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defaultThemeVersion="124226"/>
  <mc:AlternateContent xmlns:mc="http://schemas.openxmlformats.org/markup-compatibility/2006">
    <mc:Choice Requires="x15">
      <x15ac:absPath xmlns:x15ac="http://schemas.microsoft.com/office/spreadsheetml/2010/11/ac" url="G:\Kendra Boyle\JE TEMPLATE FILES 2020\LGERS\PUBLISHED\"/>
    </mc:Choice>
  </mc:AlternateContent>
  <xr:revisionPtr revIDLastSave="0" documentId="13_ncr:1_{32DC42EB-DD0D-4CAD-98C7-0EFDCBAD00F9}" xr6:coauthVersionLast="44" xr6:coauthVersionMax="44" xr10:uidLastSave="{00000000-0000-0000-0000-000000000000}"/>
  <bookViews>
    <workbookView xWindow="28680" yWindow="-120" windowWidth="29040" windowHeight="15840" tabRatio="910" xr2:uid="{00000000-000D-0000-FFFF-FFFF00000000}"/>
  </bookViews>
  <sheets>
    <sheet name="Info" sheetId="12" r:id="rId1"/>
    <sheet name="Changes to Update Template " sheetId="24" state="hidden" r:id="rId2"/>
    <sheet name="JE Template 2020" sheetId="18" r:id="rId3"/>
    <sheet name="2020 summary" sheetId="25" r:id="rId4"/>
    <sheet name="2019 summary" sheetId="16" r:id="rId5"/>
    <sheet name="2018 summary" sheetId="17" r:id="rId6"/>
    <sheet name="2017 summary" sheetId="21" state="hidden" r:id="rId7"/>
    <sheet name="LGERS Contributions FY 2019" sheetId="26" r:id="rId8"/>
    <sheet name="LGERS Contributions FY 2018" sheetId="19" r:id="rId9"/>
    <sheet name="LGERS Contributions FY 2017" sheetId="22" state="hidden" r:id="rId10"/>
    <sheet name="Deferred Amort MD 6-30-19" sheetId="20" r:id="rId11"/>
  </sheets>
  <externalReferences>
    <externalReference r:id="rId12"/>
  </externalReferences>
  <definedNames>
    <definedName name="_xlnm._FilterDatabase" localSheetId="4" hidden="1">'2019 summary'!$A$7:$T$928</definedName>
    <definedName name="_xlnm._FilterDatabase" localSheetId="3" hidden="1">'2020 summary'!$A$7:$T$932</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6">#REF!</definedName>
    <definedName name="AgencyCode" localSheetId="5">#REF!</definedName>
    <definedName name="AgencyCode" localSheetId="10">#REF!</definedName>
    <definedName name="AgencyCode" localSheetId="0">#REF!</definedName>
    <definedName name="AgencyCode" localSheetId="2">#REF!</definedName>
    <definedName name="AgencyCode">#REF!</definedName>
    <definedName name="AgencyCode1" localSheetId="2">#REF!</definedName>
    <definedName name="AgencyCode1">#REF!</definedName>
    <definedName name="AnalystGASB">[1]DeveloperInfo!$D$20</definedName>
    <definedName name="Annuity" localSheetId="6">#REF!</definedName>
    <definedName name="Annuity" localSheetId="5">#REF!</definedName>
    <definedName name="Annuity" localSheetId="10">#REF!</definedName>
    <definedName name="Annuity" localSheetId="0">#REF!</definedName>
    <definedName name="Annuity" localSheetId="2">#REF!</definedName>
    <definedName name="Annuity">#REF!</definedName>
    <definedName name="Annuity1" localSheetId="2">#REF!</definedName>
    <definedName name="Annuity1">#REF!</definedName>
    <definedName name="AnnuityLY" localSheetId="6">#REF!</definedName>
    <definedName name="AnnuityLY" localSheetId="5">#REF!</definedName>
    <definedName name="AnnuityLY" localSheetId="10">#REF!</definedName>
    <definedName name="AnnuityLY" localSheetId="2">#REF!</definedName>
    <definedName name="AnnuityLY">#REF!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6">#REF!</definedName>
    <definedName name="EmployerRates" localSheetId="5">#REF!</definedName>
    <definedName name="EmployerRates" localSheetId="10">#REF!</definedName>
    <definedName name="EmployerRates" localSheetId="0">#REF!</definedName>
    <definedName name="EmployerRates" localSheetId="2">#REF!</definedName>
    <definedName name="EmployerRates">#REF!</definedName>
    <definedName name="EmployerRates1" localSheetId="2">#REF!</definedName>
    <definedName name="EmployerRates1">#REF!</definedName>
    <definedName name="EmployerRatesLEO" localSheetId="6">#REF!</definedName>
    <definedName name="EmployerRatesLEO" localSheetId="5">#REF!</definedName>
    <definedName name="EmployerRatesLEO" localSheetId="10">#REF!</definedName>
    <definedName name="EmployerRatesLEO" localSheetId="0">#REF!</definedName>
    <definedName name="EmployerRatesLEO" localSheetId="2">#REF!</definedName>
    <definedName name="EmployerRatesLEO">#REF!</definedName>
    <definedName name="EmployerRatesLEO1" localSheetId="2">#REF!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6">#REF!</definedName>
    <definedName name="Pension" localSheetId="5">#REF!</definedName>
    <definedName name="Pension" localSheetId="10">#REF!</definedName>
    <definedName name="Pension" localSheetId="0">#REF!</definedName>
    <definedName name="Pension" localSheetId="2">#REF!</definedName>
    <definedName name="Pension">#REF!</definedName>
    <definedName name="Pension1" localSheetId="2">#REF!</definedName>
    <definedName name="Pension1">#REF!</definedName>
    <definedName name="PensionLY" localSheetId="6">#REF!</definedName>
    <definedName name="PensionLY" localSheetId="5">#REF!</definedName>
    <definedName name="PensionLY" localSheetId="10">#REF!</definedName>
    <definedName name="PensionLY" localSheetId="2">#REF!</definedName>
    <definedName name="PensionLY">#REF!</definedName>
    <definedName name="PlanNameLongGASB">[1]DeveloperInfo!$D$7</definedName>
    <definedName name="PlanNameShortGASB">[1]DeveloperInfo!$D$8</definedName>
    <definedName name="_xlnm.Print_Area" localSheetId="10">'Deferred Amort MD 6-30-19'!$A$6:$AM$919</definedName>
    <definedName name="_xlnm.Print_Area" localSheetId="2">'JE Template 2020'!$A$30:$G$57</definedName>
    <definedName name="_xlnm.Print_Titles" localSheetId="6">'2017 summary'!$6:$7</definedName>
    <definedName name="_xlnm.Print_Titles" localSheetId="5">'2018 summary'!$6:$7</definedName>
    <definedName name="_xlnm.Print_Titles" localSheetId="10">'Deferred Amort MD 6-30-19'!$A:$D,'Deferred Amort MD 6-30-19'!$6:$7</definedName>
    <definedName name="ProjDisc?">[1]DeveloperInfo!$D$65</definedName>
    <definedName name="ProValResults" localSheetId="6">#REF!</definedName>
    <definedName name="ProValResults" localSheetId="5">#REF!</definedName>
    <definedName name="ProValResults" localSheetId="10">#REF!</definedName>
    <definedName name="ProValResults" localSheetId="0">#REF!</definedName>
    <definedName name="ProValResults" localSheetId="2">#REF!</definedName>
    <definedName name="ProValResults">#REF!</definedName>
    <definedName name="ProValResults1" localSheetId="2">#REF!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6">#REF!</definedName>
    <definedName name="TableData" localSheetId="5">#REF!</definedName>
    <definedName name="TableData" localSheetId="10">#REF!</definedName>
    <definedName name="TableData" localSheetId="0">#REF!</definedName>
    <definedName name="TableData" localSheetId="2">#REF!</definedName>
    <definedName name="TableData">#REF!</definedName>
    <definedName name="TableData1" localSheetId="2">#REF!</definedName>
    <definedName name="TableData1">#REF!</definedName>
    <definedName name="Total_Summary_Data">'2020 summary'!$A$8:$T$932</definedName>
    <definedName name="Type" localSheetId="6">#REF!</definedName>
    <definedName name="Type" localSheetId="5">#REF!</definedName>
    <definedName name="Type" localSheetId="10">#REF!</definedName>
    <definedName name="Type" localSheetId="2">#REF!</definedName>
    <definedName name="Type">#REF!</definedName>
    <definedName name="TypeAnnuity" localSheetId="6">#REF!</definedName>
    <definedName name="TypeAnnuity" localSheetId="5">#REF!</definedName>
    <definedName name="TypeAnnuity" localSheetId="10">#REF!</definedName>
    <definedName name="TypeAnnuity" localSheetId="0">#REF!</definedName>
    <definedName name="TypeAnnuity" localSheetId="2">#REF!</definedName>
    <definedName name="TypeAnnuity">#REF!</definedName>
    <definedName name="TypeAnnuity1" localSheetId="2">#REF!</definedName>
    <definedName name="TypeAnnuity1">#REF!</definedName>
    <definedName name="TypePension" localSheetId="6">#REF!</definedName>
    <definedName name="TypePension" localSheetId="5">#REF!</definedName>
    <definedName name="TypePension" localSheetId="10">#REF!</definedName>
    <definedName name="TypePension" localSheetId="0">#REF!</definedName>
    <definedName name="TypePension" localSheetId="2">#REF!</definedName>
    <definedName name="TypePension">#REF!</definedName>
    <definedName name="TypePension1" localSheetId="2">#REF!</definedName>
    <definedName name="TypePension1">#REF!</definedName>
    <definedName name="UnfundedData" localSheetId="6">#REF!</definedName>
    <definedName name="UnfundedData" localSheetId="5">#REF!</definedName>
    <definedName name="UnfundedData" localSheetId="10">#REF!</definedName>
    <definedName name="UnfundedData" localSheetId="0">#REF!</definedName>
    <definedName name="UnfundedData" localSheetId="2">#REF!</definedName>
    <definedName name="UnfundedData">#REF!</definedName>
    <definedName name="UnfundedData1" localSheetId="2">#REF!</definedName>
    <definedName name="UnfundedData1">#REF!</definedName>
    <definedName name="UnfundedLY" localSheetId="6">#REF!</definedName>
    <definedName name="UnfundedLY" localSheetId="5">#REF!</definedName>
    <definedName name="UnfundedLY" localSheetId="10">#REF!</definedName>
    <definedName name="UnfundedLY" localSheetId="0">#REF!</definedName>
    <definedName name="UnfundedLY" localSheetId="2">#REF!</definedName>
    <definedName name="UnfundedLY">#REF!</definedName>
    <definedName name="UnfundedLY1" localSheetId="2">#REF!</definedName>
    <definedName name="UnfundedLY1">#REF!</definedName>
    <definedName name="UnfundedLYLEO1" localSheetId="2">#REF!</definedName>
    <definedName name="UnfundedLYLEO1">#REF!</definedName>
    <definedName name="UnfunedLYLEO" localSheetId="6">#REF!</definedName>
    <definedName name="UnfunedLYLEO" localSheetId="5">#REF!</definedName>
    <definedName name="UnfunedLYLEO" localSheetId="10">#REF!</definedName>
    <definedName name="UnfunedLYLEO" localSheetId="0">#REF!</definedName>
    <definedName name="UnfunedLYLEO" localSheetId="2">#REF!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3" i="12" l="1"/>
  <c r="T3" i="25" l="1"/>
  <c r="S3" i="25"/>
  <c r="R3" i="25"/>
  <c r="P3" i="25"/>
  <c r="O3" i="25"/>
  <c r="N3" i="25"/>
  <c r="M3" i="25"/>
  <c r="K3" i="25"/>
  <c r="J3" i="25"/>
  <c r="I3" i="25"/>
  <c r="H3" i="25"/>
  <c r="G3" i="25"/>
  <c r="E3" i="25"/>
  <c r="D3" i="25"/>
  <c r="C3" i="25"/>
  <c r="P912" i="17" l="1"/>
  <c r="K912" i="17"/>
  <c r="P162" i="16"/>
  <c r="AM2" i="20" l="1"/>
  <c r="AL2" i="20"/>
  <c r="AK2" i="20"/>
  <c r="AJ2" i="20"/>
  <c r="AI2" i="20"/>
  <c r="AG2" i="20"/>
  <c r="AF2" i="20"/>
  <c r="AE2" i="20"/>
  <c r="AE1" i="20" s="1"/>
  <c r="AD2" i="20"/>
  <c r="AC2" i="20"/>
  <c r="AA2" i="20"/>
  <c r="Z2" i="20"/>
  <c r="Y2" i="20"/>
  <c r="X2" i="20"/>
  <c r="W2" i="20"/>
  <c r="U2" i="20"/>
  <c r="T2" i="20"/>
  <c r="S2" i="20"/>
  <c r="R2" i="20"/>
  <c r="Q2" i="20"/>
  <c r="Q1" i="20" s="1"/>
  <c r="O2" i="20"/>
  <c r="N2" i="20"/>
  <c r="M2" i="20"/>
  <c r="L2" i="20"/>
  <c r="L1" i="20" s="1"/>
  <c r="K2" i="20"/>
  <c r="I2" i="20"/>
  <c r="H2" i="20"/>
  <c r="G2" i="20"/>
  <c r="F2" i="20"/>
  <c r="AL1" i="20"/>
  <c r="Z1" i="20"/>
  <c r="C2" i="20"/>
  <c r="E2" i="20"/>
  <c r="AK1" i="20"/>
  <c r="S1" i="20"/>
  <c r="R1" i="20"/>
  <c r="AM1" i="20"/>
  <c r="AA1" i="20"/>
  <c r="W1" i="20"/>
  <c r="AI1" i="20"/>
  <c r="AD1" i="20"/>
  <c r="AC1" i="20"/>
  <c r="U1" i="20"/>
  <c r="T1" i="20"/>
  <c r="O1" i="20"/>
  <c r="N1" i="20"/>
  <c r="M1" i="20"/>
  <c r="K1" i="20"/>
  <c r="G1" i="20"/>
  <c r="F1" i="20"/>
  <c r="AG1" i="20" l="1"/>
  <c r="I1" i="20"/>
  <c r="Y1" i="20"/>
  <c r="H1" i="20"/>
  <c r="E1" i="20"/>
  <c r="AJ1" i="20"/>
  <c r="AF1" i="20"/>
  <c r="X1" i="20"/>
  <c r="C2" i="25" l="1"/>
  <c r="J2" i="25" l="1"/>
  <c r="I2" i="25"/>
  <c r="O2" i="25"/>
  <c r="P2" i="25"/>
  <c r="R2" i="25"/>
  <c r="G2" i="25"/>
  <c r="S2" i="25"/>
  <c r="K2" i="25"/>
  <c r="E2" i="25"/>
  <c r="H2" i="25"/>
  <c r="T2" i="25"/>
  <c r="N2" i="25"/>
  <c r="M2" i="25"/>
  <c r="B5" i="25"/>
  <c r="C24" i="12"/>
  <c r="C23" i="12"/>
  <c r="A22" i="18" l="1"/>
  <c r="G22" i="18" s="1"/>
  <c r="A13" i="18"/>
  <c r="C1" i="26"/>
  <c r="V19" i="18" l="1"/>
  <c r="H19" i="18"/>
  <c r="O19" i="18"/>
  <c r="Q19" i="18"/>
  <c r="R19" i="18"/>
  <c r="K19" i="18"/>
  <c r="L19" i="18"/>
  <c r="T19" i="18"/>
  <c r="U19" i="18"/>
  <c r="J19" i="18"/>
  <c r="M19" i="18" l="1"/>
  <c r="A2" i="20"/>
  <c r="A1" i="25"/>
  <c r="F19" i="18"/>
  <c r="M13" i="18" l="1"/>
  <c r="Q13" i="18"/>
  <c r="A50" i="18"/>
  <c r="A51" i="18" s="1"/>
  <c r="A52" i="18" s="1"/>
  <c r="A53" i="18" s="1"/>
  <c r="A54" i="18" s="1"/>
  <c r="C7" i="24"/>
  <c r="B28" i="18"/>
  <c r="B19" i="18"/>
  <c r="A61" i="12"/>
  <c r="A60" i="12"/>
  <c r="A59" i="12"/>
  <c r="A58" i="12"/>
  <c r="J52" i="12"/>
  <c r="I52" i="12"/>
  <c r="J51" i="12"/>
  <c r="I51" i="12"/>
  <c r="J50" i="12"/>
  <c r="I50" i="12"/>
  <c r="J49" i="12"/>
  <c r="I49" i="12"/>
  <c r="C27" i="12" s="1"/>
  <c r="B53" i="12"/>
  <c r="B52" i="12"/>
  <c r="B51" i="12"/>
  <c r="B50" i="12"/>
  <c r="A53" i="12"/>
  <c r="A52" i="12"/>
  <c r="A51" i="12"/>
  <c r="A50" i="12"/>
  <c r="D31" i="12"/>
  <c r="C15" i="12"/>
  <c r="A3" i="12"/>
  <c r="D813" i="16" l="1"/>
  <c r="E813" i="16"/>
  <c r="G813" i="16"/>
  <c r="H813" i="16"/>
  <c r="I813" i="16"/>
  <c r="J813" i="16"/>
  <c r="M813" i="16"/>
  <c r="N813" i="16"/>
  <c r="O813" i="16"/>
  <c r="R813" i="16"/>
  <c r="S813" i="16"/>
  <c r="T813" i="16"/>
  <c r="C813" i="16"/>
  <c r="D797" i="16"/>
  <c r="E797" i="16"/>
  <c r="G797" i="16"/>
  <c r="H797" i="16"/>
  <c r="I797" i="16"/>
  <c r="J797" i="16"/>
  <c r="M797" i="16"/>
  <c r="N797" i="16"/>
  <c r="O797" i="16"/>
  <c r="R797" i="16"/>
  <c r="S797" i="16"/>
  <c r="T797" i="16"/>
  <c r="C797" i="16"/>
  <c r="C1" i="19" l="1"/>
  <c r="F28" i="18" s="1"/>
  <c r="C667" i="19"/>
  <c r="D687" i="16"/>
  <c r="E687" i="16"/>
  <c r="G687" i="16"/>
  <c r="H687" i="16"/>
  <c r="I687" i="16"/>
  <c r="J687" i="16"/>
  <c r="M687" i="16"/>
  <c r="N687" i="16"/>
  <c r="O687" i="16"/>
  <c r="R687" i="16"/>
  <c r="S687" i="16"/>
  <c r="T687" i="16"/>
  <c r="C687" i="16"/>
  <c r="N3" i="17"/>
  <c r="D676" i="17"/>
  <c r="E676" i="17"/>
  <c r="G676" i="17"/>
  <c r="H676" i="17"/>
  <c r="H3" i="17" s="1"/>
  <c r="I676" i="17"/>
  <c r="J676" i="17"/>
  <c r="M676" i="17"/>
  <c r="N676" i="17"/>
  <c r="O676" i="17"/>
  <c r="R676" i="17"/>
  <c r="S676" i="17"/>
  <c r="T676" i="17"/>
  <c r="C676" i="17"/>
  <c r="M256" i="16"/>
  <c r="M3" i="16" s="1"/>
  <c r="O28" i="18" s="1"/>
  <c r="N256" i="16"/>
  <c r="O256" i="16"/>
  <c r="O3" i="16" s="1"/>
  <c r="R28" i="18" s="1"/>
  <c r="R256" i="16"/>
  <c r="R3" i="16" s="1"/>
  <c r="T28" i="18" s="1"/>
  <c r="S256" i="16"/>
  <c r="T256" i="16"/>
  <c r="D256" i="16"/>
  <c r="D3" i="16" s="1"/>
  <c r="E256" i="16"/>
  <c r="E3" i="16" s="1"/>
  <c r="G256" i="16"/>
  <c r="G3" i="16" s="1"/>
  <c r="J28" i="18" s="1"/>
  <c r="H256" i="16"/>
  <c r="H3" i="16" s="1"/>
  <c r="K28" i="18" s="1"/>
  <c r="I256" i="16"/>
  <c r="I3" i="16" s="1"/>
  <c r="L28" i="18" s="1"/>
  <c r="J256" i="16"/>
  <c r="J3" i="16" s="1"/>
  <c r="M28" i="18" s="1"/>
  <c r="C256" i="16"/>
  <c r="C3" i="16" s="1"/>
  <c r="P913" i="17"/>
  <c r="K913" i="17"/>
  <c r="P911" i="17"/>
  <c r="K911" i="17"/>
  <c r="N3" i="16" l="1"/>
  <c r="Q28" i="18" s="1"/>
  <c r="T3" i="16"/>
  <c r="V28" i="18" s="1"/>
  <c r="S3" i="16"/>
  <c r="U28" i="18" s="1"/>
  <c r="H28" i="18"/>
  <c r="G19" i="18"/>
  <c r="C1" i="22"/>
  <c r="V3" i="21"/>
  <c r="U3" i="21"/>
  <c r="T3" i="21"/>
  <c r="Q3" i="21"/>
  <c r="P3" i="21"/>
  <c r="O3" i="21"/>
  <c r="N3" i="21"/>
  <c r="L3" i="21"/>
  <c r="K3" i="21"/>
  <c r="J3" i="21"/>
  <c r="I3" i="21"/>
  <c r="G3" i="21"/>
  <c r="F3" i="21"/>
  <c r="E3" i="21"/>
  <c r="D3" i="21"/>
  <c r="C3" i="21"/>
  <c r="R907" i="21"/>
  <c r="R906" i="21"/>
  <c r="R905" i="21"/>
  <c r="R904" i="21"/>
  <c r="R903" i="21"/>
  <c r="R902" i="21"/>
  <c r="R901" i="21"/>
  <c r="R900" i="21"/>
  <c r="R899" i="21"/>
  <c r="R898" i="21"/>
  <c r="R897" i="21"/>
  <c r="R896" i="21"/>
  <c r="R895" i="21"/>
  <c r="R894" i="21"/>
  <c r="R893" i="21"/>
  <c r="R892" i="21"/>
  <c r="R891" i="21"/>
  <c r="R890" i="21"/>
  <c r="R889" i="21"/>
  <c r="R888" i="21"/>
  <c r="R887" i="21"/>
  <c r="R886" i="21"/>
  <c r="R885" i="21"/>
  <c r="R884" i="21"/>
  <c r="R883" i="21"/>
  <c r="R882" i="21"/>
  <c r="R881" i="21"/>
  <c r="R880" i="21"/>
  <c r="R879" i="21"/>
  <c r="R878" i="21"/>
  <c r="R877" i="21"/>
  <c r="R876" i="21"/>
  <c r="R875" i="21"/>
  <c r="R874" i="21"/>
  <c r="R873" i="21"/>
  <c r="R872" i="21"/>
  <c r="R871" i="21"/>
  <c r="R870" i="21"/>
  <c r="R869" i="21"/>
  <c r="R868" i="21"/>
  <c r="R867" i="21"/>
  <c r="R866" i="21"/>
  <c r="R865" i="21"/>
  <c r="R864" i="21"/>
  <c r="R863" i="21"/>
  <c r="R862" i="21"/>
  <c r="R861" i="21"/>
  <c r="R860" i="21"/>
  <c r="R859" i="21"/>
  <c r="R858" i="21"/>
  <c r="R857" i="21"/>
  <c r="R856" i="21"/>
  <c r="R855" i="21"/>
  <c r="R854" i="21"/>
  <c r="R853" i="21"/>
  <c r="R852" i="21"/>
  <c r="R851" i="21"/>
  <c r="R850" i="21"/>
  <c r="R849" i="21"/>
  <c r="R848" i="21"/>
  <c r="R847" i="21"/>
  <c r="R846" i="21"/>
  <c r="R845" i="21"/>
  <c r="R844" i="21"/>
  <c r="R843" i="21"/>
  <c r="R842" i="21"/>
  <c r="R841" i="21"/>
  <c r="R840" i="21"/>
  <c r="R839" i="21"/>
  <c r="R838" i="21"/>
  <c r="R837" i="21"/>
  <c r="R836" i="21"/>
  <c r="R835" i="21"/>
  <c r="R834" i="21"/>
  <c r="R833" i="21"/>
  <c r="R832" i="21"/>
  <c r="R831" i="21"/>
  <c r="R830" i="21"/>
  <c r="R829" i="21"/>
  <c r="R828" i="21"/>
  <c r="R827" i="21"/>
  <c r="R826" i="21"/>
  <c r="R825" i="21"/>
  <c r="R824" i="21"/>
  <c r="R823" i="21"/>
  <c r="R822" i="21"/>
  <c r="R821" i="21"/>
  <c r="R820" i="21"/>
  <c r="R819" i="21"/>
  <c r="R818" i="21"/>
  <c r="R817" i="21"/>
  <c r="R816" i="21"/>
  <c r="R815" i="21"/>
  <c r="R814" i="21"/>
  <c r="R813" i="21"/>
  <c r="R812" i="21"/>
  <c r="R811" i="21"/>
  <c r="R810" i="21"/>
  <c r="R809" i="21"/>
  <c r="R808" i="21"/>
  <c r="R807" i="21"/>
  <c r="R806" i="21"/>
  <c r="R805" i="21"/>
  <c r="R804" i="21"/>
  <c r="R803" i="21"/>
  <c r="R802" i="21"/>
  <c r="R801" i="21"/>
  <c r="R800" i="21"/>
  <c r="R799" i="21"/>
  <c r="R798" i="21"/>
  <c r="R797" i="21"/>
  <c r="R796" i="21"/>
  <c r="R795" i="21"/>
  <c r="R794" i="21"/>
  <c r="R793" i="21"/>
  <c r="R792" i="21"/>
  <c r="R791" i="21"/>
  <c r="R790" i="21"/>
  <c r="R789" i="21"/>
  <c r="R788" i="21"/>
  <c r="R787" i="21"/>
  <c r="R786" i="21"/>
  <c r="R785" i="21"/>
  <c r="R784" i="21"/>
  <c r="R783" i="21"/>
  <c r="R782" i="21"/>
  <c r="R781" i="21"/>
  <c r="R780" i="21"/>
  <c r="R779" i="21"/>
  <c r="R778" i="21"/>
  <c r="R777" i="21"/>
  <c r="R776" i="21"/>
  <c r="R775" i="21"/>
  <c r="R774" i="21"/>
  <c r="R773" i="21"/>
  <c r="R772" i="21"/>
  <c r="R771" i="21"/>
  <c r="R770" i="21"/>
  <c r="R769" i="21"/>
  <c r="R768" i="21"/>
  <c r="R767" i="21"/>
  <c r="R766" i="21"/>
  <c r="R765" i="21"/>
  <c r="R764" i="21"/>
  <c r="R763" i="21"/>
  <c r="R762" i="21"/>
  <c r="R761" i="21"/>
  <c r="R760" i="21"/>
  <c r="R759" i="21"/>
  <c r="R758" i="21"/>
  <c r="R757" i="21"/>
  <c r="R756" i="21"/>
  <c r="R755" i="21"/>
  <c r="R754" i="21"/>
  <c r="R753" i="21"/>
  <c r="R752" i="21"/>
  <c r="R751" i="21"/>
  <c r="R750" i="21"/>
  <c r="R749" i="21"/>
  <c r="R748" i="21"/>
  <c r="R747" i="21"/>
  <c r="R746" i="21"/>
  <c r="R745" i="21"/>
  <c r="R744" i="21"/>
  <c r="R743" i="21"/>
  <c r="R742" i="21"/>
  <c r="R741" i="21"/>
  <c r="R740" i="21"/>
  <c r="R739" i="21"/>
  <c r="R738" i="21"/>
  <c r="R737" i="21"/>
  <c r="R736" i="21"/>
  <c r="R735" i="21"/>
  <c r="R734" i="21"/>
  <c r="R733" i="21"/>
  <c r="R732" i="21"/>
  <c r="R731" i="21"/>
  <c r="R730" i="21"/>
  <c r="R729" i="21"/>
  <c r="R728" i="21"/>
  <c r="R727" i="21"/>
  <c r="R726" i="21"/>
  <c r="R725" i="21"/>
  <c r="R724" i="21"/>
  <c r="R723" i="21"/>
  <c r="R722" i="21"/>
  <c r="R721" i="21"/>
  <c r="R720" i="21"/>
  <c r="R719" i="21"/>
  <c r="R718" i="21"/>
  <c r="R717" i="21"/>
  <c r="R716" i="21"/>
  <c r="R715" i="21"/>
  <c r="R714" i="21"/>
  <c r="R713" i="21"/>
  <c r="R712" i="21"/>
  <c r="R711" i="21"/>
  <c r="R710" i="21"/>
  <c r="R709" i="21"/>
  <c r="R708" i="21"/>
  <c r="R707" i="21"/>
  <c r="R706" i="21"/>
  <c r="R705" i="21"/>
  <c r="R704" i="21"/>
  <c r="R703" i="21"/>
  <c r="R702" i="21"/>
  <c r="R701" i="21"/>
  <c r="R700" i="21"/>
  <c r="R699" i="21"/>
  <c r="R698" i="21"/>
  <c r="R697" i="21"/>
  <c r="R696" i="21"/>
  <c r="R695" i="21"/>
  <c r="R694" i="21"/>
  <c r="R693" i="21"/>
  <c r="R692" i="21"/>
  <c r="R691" i="21"/>
  <c r="R690" i="21"/>
  <c r="R689" i="21"/>
  <c r="R688" i="21"/>
  <c r="R687" i="21"/>
  <c r="R686" i="21"/>
  <c r="R685" i="21"/>
  <c r="R684" i="21"/>
  <c r="R683" i="21"/>
  <c r="R682" i="21"/>
  <c r="R681" i="21"/>
  <c r="R680" i="21"/>
  <c r="R679" i="21"/>
  <c r="R678" i="21"/>
  <c r="R677" i="21"/>
  <c r="R676" i="21"/>
  <c r="R675" i="21"/>
  <c r="R674" i="21"/>
  <c r="R673" i="21"/>
  <c r="R672" i="21"/>
  <c r="R671" i="21"/>
  <c r="R670" i="21"/>
  <c r="R669" i="21"/>
  <c r="R668" i="21"/>
  <c r="R667" i="21"/>
  <c r="R666" i="21"/>
  <c r="R665" i="21"/>
  <c r="R664" i="21"/>
  <c r="R663" i="21"/>
  <c r="R662" i="21"/>
  <c r="R661" i="21"/>
  <c r="R660" i="21"/>
  <c r="R659" i="21"/>
  <c r="R658" i="21"/>
  <c r="R657" i="21"/>
  <c r="R656" i="21"/>
  <c r="R655" i="21"/>
  <c r="R654" i="21"/>
  <c r="R653" i="21"/>
  <c r="R652" i="21"/>
  <c r="R651" i="21"/>
  <c r="R650" i="21"/>
  <c r="R649" i="21"/>
  <c r="R648" i="21"/>
  <c r="R647" i="21"/>
  <c r="R646" i="21"/>
  <c r="R645" i="21"/>
  <c r="R644" i="21"/>
  <c r="R643" i="21"/>
  <c r="R642" i="21"/>
  <c r="R641" i="21"/>
  <c r="R640" i="21"/>
  <c r="R639" i="21"/>
  <c r="R638" i="21"/>
  <c r="R637" i="21"/>
  <c r="R636" i="21"/>
  <c r="R635" i="21"/>
  <c r="R634" i="21"/>
  <c r="R633" i="21"/>
  <c r="R632" i="21"/>
  <c r="R631" i="21"/>
  <c r="R630" i="21"/>
  <c r="R629" i="21"/>
  <c r="R628" i="21"/>
  <c r="R627" i="21"/>
  <c r="R626" i="21"/>
  <c r="R625" i="21"/>
  <c r="R624" i="21"/>
  <c r="R623" i="21"/>
  <c r="R622" i="21"/>
  <c r="R621" i="21"/>
  <c r="R620" i="21"/>
  <c r="R619" i="21"/>
  <c r="R618" i="21"/>
  <c r="R617" i="21"/>
  <c r="R616" i="21"/>
  <c r="R615" i="21"/>
  <c r="R614" i="21"/>
  <c r="R613" i="21"/>
  <c r="R612" i="21"/>
  <c r="R611" i="21"/>
  <c r="R610" i="21"/>
  <c r="R609" i="21"/>
  <c r="R608" i="21"/>
  <c r="R607" i="21"/>
  <c r="R606" i="21"/>
  <c r="R605" i="21"/>
  <c r="R604" i="21"/>
  <c r="R603" i="21"/>
  <c r="R602" i="21"/>
  <c r="R601" i="21"/>
  <c r="R600" i="21"/>
  <c r="R599" i="21"/>
  <c r="R598" i="21"/>
  <c r="R597" i="21"/>
  <c r="R596" i="21"/>
  <c r="R595" i="21"/>
  <c r="R594" i="21"/>
  <c r="R593" i="21"/>
  <c r="R592" i="21"/>
  <c r="R591" i="21"/>
  <c r="R590" i="21"/>
  <c r="R589" i="21"/>
  <c r="R588" i="21"/>
  <c r="R587" i="21"/>
  <c r="R586" i="21"/>
  <c r="R585" i="21"/>
  <c r="R584" i="21"/>
  <c r="R583" i="21"/>
  <c r="R582" i="21"/>
  <c r="R581" i="21"/>
  <c r="R580" i="21"/>
  <c r="R579" i="21"/>
  <c r="R578" i="21"/>
  <c r="R577" i="21"/>
  <c r="R576" i="21"/>
  <c r="R575" i="21"/>
  <c r="R574" i="21"/>
  <c r="R573" i="21"/>
  <c r="R572" i="21"/>
  <c r="R571" i="21"/>
  <c r="R570" i="21"/>
  <c r="R569" i="21"/>
  <c r="R568" i="21"/>
  <c r="R567" i="21"/>
  <c r="R566" i="21"/>
  <c r="R565" i="21"/>
  <c r="R564" i="21"/>
  <c r="R563" i="21"/>
  <c r="R562" i="21"/>
  <c r="R561" i="21"/>
  <c r="R560" i="21"/>
  <c r="R559" i="21"/>
  <c r="R558" i="21"/>
  <c r="R557" i="21"/>
  <c r="R556" i="21"/>
  <c r="R555" i="21"/>
  <c r="R554" i="21"/>
  <c r="R553" i="21"/>
  <c r="R552" i="21"/>
  <c r="R551" i="21"/>
  <c r="R550" i="21"/>
  <c r="R549" i="21"/>
  <c r="R548" i="21"/>
  <c r="R547" i="21"/>
  <c r="R546" i="21"/>
  <c r="R545" i="21"/>
  <c r="R544" i="21"/>
  <c r="R543" i="21"/>
  <c r="R542" i="21"/>
  <c r="R541" i="21"/>
  <c r="R540" i="21"/>
  <c r="R539" i="21"/>
  <c r="R538" i="21"/>
  <c r="R537" i="21"/>
  <c r="R536" i="21"/>
  <c r="R535" i="21"/>
  <c r="R534" i="21"/>
  <c r="R533" i="21"/>
  <c r="R532" i="21"/>
  <c r="R531" i="21"/>
  <c r="R530" i="21"/>
  <c r="R529" i="21"/>
  <c r="R528" i="21"/>
  <c r="R527" i="21"/>
  <c r="R526" i="21"/>
  <c r="R525" i="21"/>
  <c r="R524" i="21"/>
  <c r="R523" i="21"/>
  <c r="R522" i="21"/>
  <c r="R521" i="21"/>
  <c r="R520" i="21"/>
  <c r="R519" i="21"/>
  <c r="R518" i="21"/>
  <c r="R517" i="21"/>
  <c r="R516" i="21"/>
  <c r="R515" i="21"/>
  <c r="R514" i="21"/>
  <c r="R513" i="21"/>
  <c r="R512" i="21"/>
  <c r="R511" i="21"/>
  <c r="R510" i="21"/>
  <c r="R509" i="21"/>
  <c r="R508" i="21"/>
  <c r="R507" i="21"/>
  <c r="R506" i="21"/>
  <c r="R505" i="21"/>
  <c r="R504" i="21"/>
  <c r="R503" i="21"/>
  <c r="R502" i="21"/>
  <c r="R501" i="21"/>
  <c r="R500" i="21"/>
  <c r="R499" i="21"/>
  <c r="R498" i="21"/>
  <c r="R497" i="21"/>
  <c r="R496" i="21"/>
  <c r="R495" i="21"/>
  <c r="R494" i="21"/>
  <c r="R493" i="21"/>
  <c r="R492" i="21"/>
  <c r="R491" i="21"/>
  <c r="R490" i="21"/>
  <c r="R489" i="21"/>
  <c r="R488" i="21"/>
  <c r="R487" i="21"/>
  <c r="R486" i="21"/>
  <c r="R485" i="21"/>
  <c r="R484" i="21"/>
  <c r="R483" i="21"/>
  <c r="R482" i="21"/>
  <c r="R481" i="21"/>
  <c r="R480" i="21"/>
  <c r="R479" i="21"/>
  <c r="R478" i="21"/>
  <c r="R477" i="21"/>
  <c r="R476" i="21"/>
  <c r="R475" i="21"/>
  <c r="R474" i="21"/>
  <c r="R473" i="21"/>
  <c r="R472" i="21"/>
  <c r="R471" i="21"/>
  <c r="R470" i="21"/>
  <c r="R469" i="21"/>
  <c r="R468" i="21"/>
  <c r="R467" i="21"/>
  <c r="R466" i="21"/>
  <c r="R465" i="21"/>
  <c r="R464" i="21"/>
  <c r="R463" i="21"/>
  <c r="R462" i="21"/>
  <c r="R461" i="21"/>
  <c r="R460" i="21"/>
  <c r="R459" i="21"/>
  <c r="R458" i="21"/>
  <c r="R457" i="21"/>
  <c r="R456" i="21"/>
  <c r="R455" i="21"/>
  <c r="R454" i="21"/>
  <c r="R453" i="21"/>
  <c r="R452" i="21"/>
  <c r="R451" i="21"/>
  <c r="R450" i="21"/>
  <c r="R449" i="21"/>
  <c r="R448" i="21"/>
  <c r="R447" i="21"/>
  <c r="R446" i="21"/>
  <c r="R445" i="21"/>
  <c r="R444" i="21"/>
  <c r="R443" i="21"/>
  <c r="R442" i="21"/>
  <c r="R441" i="21"/>
  <c r="R440" i="21"/>
  <c r="R439" i="21"/>
  <c r="R438" i="21"/>
  <c r="R437" i="21"/>
  <c r="R436" i="21"/>
  <c r="R435" i="21"/>
  <c r="R434" i="21"/>
  <c r="R433" i="21"/>
  <c r="R432" i="21"/>
  <c r="R431" i="21"/>
  <c r="R430" i="21"/>
  <c r="R429" i="21"/>
  <c r="R428" i="21"/>
  <c r="R427" i="21"/>
  <c r="R426" i="21"/>
  <c r="R425" i="21"/>
  <c r="R424" i="21"/>
  <c r="R423" i="21"/>
  <c r="R422" i="21"/>
  <c r="R421" i="21"/>
  <c r="R420" i="21"/>
  <c r="R419" i="21"/>
  <c r="R418" i="21"/>
  <c r="R417" i="21"/>
  <c r="R416" i="21"/>
  <c r="R415" i="21"/>
  <c r="R414" i="21"/>
  <c r="R413" i="21"/>
  <c r="R412" i="21"/>
  <c r="R411" i="21"/>
  <c r="R410" i="21"/>
  <c r="R409" i="21"/>
  <c r="R408" i="21"/>
  <c r="R407" i="21"/>
  <c r="R406" i="21"/>
  <c r="R405" i="21"/>
  <c r="R404" i="21"/>
  <c r="R403" i="21"/>
  <c r="R402" i="21"/>
  <c r="R401" i="21"/>
  <c r="R400" i="21"/>
  <c r="R399" i="21"/>
  <c r="R398" i="21"/>
  <c r="R397" i="21"/>
  <c r="R396" i="21"/>
  <c r="R395" i="21"/>
  <c r="R394" i="21"/>
  <c r="R393" i="21"/>
  <c r="R392" i="21"/>
  <c r="R391" i="21"/>
  <c r="R390" i="21"/>
  <c r="R389" i="21"/>
  <c r="R388" i="21"/>
  <c r="R387" i="21"/>
  <c r="R386" i="21"/>
  <c r="R385" i="21"/>
  <c r="R384" i="21"/>
  <c r="R383" i="21"/>
  <c r="R382" i="21"/>
  <c r="R381" i="21"/>
  <c r="R380" i="21"/>
  <c r="R379" i="21"/>
  <c r="R378" i="21"/>
  <c r="R377" i="21"/>
  <c r="R376" i="21"/>
  <c r="R375" i="21"/>
  <c r="R374" i="21"/>
  <c r="R373" i="21"/>
  <c r="R372" i="21"/>
  <c r="R371" i="21"/>
  <c r="R370" i="21"/>
  <c r="R369" i="21"/>
  <c r="R368" i="21"/>
  <c r="R367" i="21"/>
  <c r="R366" i="21"/>
  <c r="R365" i="21"/>
  <c r="R364" i="21"/>
  <c r="R363" i="21"/>
  <c r="R362" i="21"/>
  <c r="R361" i="21"/>
  <c r="R360" i="21"/>
  <c r="R359" i="21"/>
  <c r="R358" i="21"/>
  <c r="R357" i="21"/>
  <c r="R356" i="21"/>
  <c r="R355" i="21"/>
  <c r="R354" i="21"/>
  <c r="R353" i="21"/>
  <c r="R352" i="21"/>
  <c r="R351" i="21"/>
  <c r="R350" i="21"/>
  <c r="R349" i="21"/>
  <c r="R348" i="21"/>
  <c r="R347" i="21"/>
  <c r="R346" i="21"/>
  <c r="R345" i="21"/>
  <c r="R344" i="21"/>
  <c r="R343" i="21"/>
  <c r="R342" i="21"/>
  <c r="R341" i="21"/>
  <c r="R340" i="21"/>
  <c r="R339" i="21"/>
  <c r="R338" i="21"/>
  <c r="R337" i="21"/>
  <c r="R336" i="21"/>
  <c r="R335" i="21"/>
  <c r="R334" i="21"/>
  <c r="R333" i="21"/>
  <c r="R332" i="21"/>
  <c r="R331" i="21"/>
  <c r="R330" i="21"/>
  <c r="R329" i="21"/>
  <c r="R328" i="21"/>
  <c r="R327" i="21"/>
  <c r="R326" i="21"/>
  <c r="R325" i="21"/>
  <c r="R324" i="21"/>
  <c r="R323" i="21"/>
  <c r="R322" i="21"/>
  <c r="R321" i="21"/>
  <c r="R320" i="21"/>
  <c r="R319" i="21"/>
  <c r="R318" i="21"/>
  <c r="R317" i="21"/>
  <c r="R316" i="21"/>
  <c r="R315" i="21"/>
  <c r="R314" i="21"/>
  <c r="R313" i="21"/>
  <c r="R312" i="21"/>
  <c r="R311" i="21"/>
  <c r="R310" i="21"/>
  <c r="R309" i="21"/>
  <c r="R308" i="21"/>
  <c r="R307" i="21"/>
  <c r="R306" i="21"/>
  <c r="R305" i="21"/>
  <c r="R304" i="21"/>
  <c r="R303" i="21"/>
  <c r="R302" i="21"/>
  <c r="R301" i="21"/>
  <c r="R300" i="21"/>
  <c r="R299" i="21"/>
  <c r="R298" i="21"/>
  <c r="R297" i="21"/>
  <c r="R296" i="21"/>
  <c r="R295" i="21"/>
  <c r="R294" i="21"/>
  <c r="R293" i="21"/>
  <c r="R292" i="21"/>
  <c r="R291" i="21"/>
  <c r="R290" i="21"/>
  <c r="R289" i="21"/>
  <c r="R288" i="21"/>
  <c r="R287" i="21"/>
  <c r="R286" i="21"/>
  <c r="R285" i="21"/>
  <c r="R284" i="21"/>
  <c r="R283" i="21"/>
  <c r="R282" i="21"/>
  <c r="R281" i="21"/>
  <c r="R280" i="21"/>
  <c r="R279" i="21"/>
  <c r="R278" i="21"/>
  <c r="R277" i="21"/>
  <c r="R276" i="21"/>
  <c r="R275" i="21"/>
  <c r="R274" i="21"/>
  <c r="R273" i="21"/>
  <c r="R272" i="21"/>
  <c r="R271" i="21"/>
  <c r="R270" i="21"/>
  <c r="R269" i="21"/>
  <c r="R268" i="21"/>
  <c r="R267" i="21"/>
  <c r="R266" i="21"/>
  <c r="R265" i="21"/>
  <c r="R264" i="21"/>
  <c r="R263" i="21"/>
  <c r="R262" i="21"/>
  <c r="R261" i="21"/>
  <c r="R260" i="21"/>
  <c r="R259" i="21"/>
  <c r="R258" i="21"/>
  <c r="R257" i="21"/>
  <c r="R256" i="21"/>
  <c r="R255" i="21"/>
  <c r="R254" i="21"/>
  <c r="R253" i="21"/>
  <c r="R252" i="21"/>
  <c r="R251" i="21"/>
  <c r="R250" i="21"/>
  <c r="R249" i="21"/>
  <c r="R248" i="21"/>
  <c r="R247" i="21"/>
  <c r="R246" i="21"/>
  <c r="R245" i="21"/>
  <c r="R244" i="21"/>
  <c r="R243" i="21"/>
  <c r="R242" i="21"/>
  <c r="R241" i="21"/>
  <c r="R240" i="21"/>
  <c r="R239" i="21"/>
  <c r="R238" i="21"/>
  <c r="R237" i="21"/>
  <c r="R236" i="21"/>
  <c r="R235" i="21"/>
  <c r="R234" i="21"/>
  <c r="R233" i="21"/>
  <c r="R232" i="21"/>
  <c r="R231" i="21"/>
  <c r="R230" i="21"/>
  <c r="R229" i="21"/>
  <c r="R228" i="21"/>
  <c r="R227" i="21"/>
  <c r="R226" i="21"/>
  <c r="R225" i="21"/>
  <c r="R224" i="21"/>
  <c r="R223" i="21"/>
  <c r="R222" i="21"/>
  <c r="R221" i="21"/>
  <c r="R220" i="21"/>
  <c r="R219" i="21"/>
  <c r="R218" i="21"/>
  <c r="R217" i="21"/>
  <c r="R216" i="21"/>
  <c r="R215" i="21"/>
  <c r="R214" i="21"/>
  <c r="R213" i="21"/>
  <c r="R212" i="21"/>
  <c r="R211" i="21"/>
  <c r="R210" i="21"/>
  <c r="R209" i="21"/>
  <c r="R208" i="21"/>
  <c r="R207" i="21"/>
  <c r="R206" i="21"/>
  <c r="R205" i="21"/>
  <c r="R204" i="21"/>
  <c r="R203" i="21"/>
  <c r="R202" i="21"/>
  <c r="R201" i="21"/>
  <c r="R200" i="21"/>
  <c r="R199" i="21"/>
  <c r="R198" i="21"/>
  <c r="R197" i="21"/>
  <c r="R196" i="21"/>
  <c r="R195" i="21"/>
  <c r="R194" i="21"/>
  <c r="R193" i="21"/>
  <c r="R192" i="21"/>
  <c r="R191" i="21"/>
  <c r="R190" i="21"/>
  <c r="R189" i="21"/>
  <c r="R188" i="21"/>
  <c r="R187" i="21"/>
  <c r="R186" i="21"/>
  <c r="R185" i="21"/>
  <c r="R184" i="21"/>
  <c r="R183" i="21"/>
  <c r="R182" i="21"/>
  <c r="R181" i="21"/>
  <c r="R180" i="21"/>
  <c r="R179" i="21"/>
  <c r="R178" i="21"/>
  <c r="R177" i="21"/>
  <c r="R176" i="21"/>
  <c r="R175" i="21"/>
  <c r="R174" i="21"/>
  <c r="R173" i="21"/>
  <c r="R172" i="21"/>
  <c r="R171" i="21"/>
  <c r="R170" i="21"/>
  <c r="R169" i="21"/>
  <c r="R168" i="21"/>
  <c r="R167" i="21"/>
  <c r="R166" i="21"/>
  <c r="R165" i="21"/>
  <c r="R164" i="21"/>
  <c r="R163" i="21"/>
  <c r="R162" i="21"/>
  <c r="R161" i="21"/>
  <c r="R160" i="21"/>
  <c r="R159" i="21"/>
  <c r="R158" i="21"/>
  <c r="R157" i="21"/>
  <c r="R156" i="21"/>
  <c r="R155" i="21"/>
  <c r="R154" i="21"/>
  <c r="R153" i="21"/>
  <c r="R152" i="21"/>
  <c r="R151" i="21"/>
  <c r="R150" i="21"/>
  <c r="R149" i="21"/>
  <c r="R148" i="21"/>
  <c r="R147" i="21"/>
  <c r="R146" i="21"/>
  <c r="R145" i="21"/>
  <c r="R144" i="21"/>
  <c r="R143" i="21"/>
  <c r="R142" i="21"/>
  <c r="R141" i="21"/>
  <c r="R140" i="21"/>
  <c r="R139" i="21"/>
  <c r="R138" i="21"/>
  <c r="R137" i="21"/>
  <c r="R136" i="21"/>
  <c r="R135" i="21"/>
  <c r="R134" i="21"/>
  <c r="R133" i="21"/>
  <c r="R132" i="21"/>
  <c r="R131" i="21"/>
  <c r="R130" i="21"/>
  <c r="R129" i="21"/>
  <c r="R128" i="21"/>
  <c r="R127" i="21"/>
  <c r="R126" i="21"/>
  <c r="R125" i="21"/>
  <c r="R124" i="21"/>
  <c r="R123" i="21"/>
  <c r="R122" i="21"/>
  <c r="R121" i="21"/>
  <c r="R120" i="21"/>
  <c r="R119" i="21"/>
  <c r="R118" i="21"/>
  <c r="R117" i="21"/>
  <c r="R116" i="21"/>
  <c r="R115" i="21"/>
  <c r="R114" i="21"/>
  <c r="R113" i="21"/>
  <c r="R112" i="21"/>
  <c r="R111" i="21"/>
  <c r="R110" i="21"/>
  <c r="R109" i="21"/>
  <c r="R108" i="21"/>
  <c r="R107" i="21"/>
  <c r="R106" i="21"/>
  <c r="R105" i="21"/>
  <c r="R104" i="21"/>
  <c r="R103" i="21"/>
  <c r="R102" i="21"/>
  <c r="R101" i="21"/>
  <c r="R100" i="21"/>
  <c r="R99" i="21"/>
  <c r="R98" i="21"/>
  <c r="R97" i="21"/>
  <c r="R96" i="21"/>
  <c r="R95" i="21"/>
  <c r="R94" i="21"/>
  <c r="R93" i="21"/>
  <c r="R92" i="21"/>
  <c r="R91" i="21"/>
  <c r="R90" i="21"/>
  <c r="R89" i="21"/>
  <c r="R88" i="21"/>
  <c r="R87" i="21"/>
  <c r="R86" i="21"/>
  <c r="R85" i="21"/>
  <c r="R84" i="21"/>
  <c r="R83" i="21"/>
  <c r="R82" i="21"/>
  <c r="R81" i="21"/>
  <c r="R80" i="21"/>
  <c r="R79" i="21"/>
  <c r="R78" i="21"/>
  <c r="R77" i="21"/>
  <c r="R76" i="21"/>
  <c r="R75" i="21"/>
  <c r="R74" i="21"/>
  <c r="R73" i="21"/>
  <c r="R72" i="21"/>
  <c r="R71" i="21"/>
  <c r="R70" i="21"/>
  <c r="R69" i="21"/>
  <c r="R68" i="21"/>
  <c r="R67" i="21"/>
  <c r="R66" i="21"/>
  <c r="R65" i="21"/>
  <c r="R64" i="21"/>
  <c r="R63" i="21"/>
  <c r="R62" i="21"/>
  <c r="R61" i="21"/>
  <c r="R60" i="21"/>
  <c r="R59" i="21"/>
  <c r="R58" i="21"/>
  <c r="R57" i="21"/>
  <c r="R56" i="21"/>
  <c r="R55" i="21"/>
  <c r="R54" i="21"/>
  <c r="R53" i="21"/>
  <c r="R52" i="21"/>
  <c r="R51" i="21"/>
  <c r="R50" i="21"/>
  <c r="R49" i="21"/>
  <c r="R48" i="21"/>
  <c r="R47" i="21"/>
  <c r="R46" i="21"/>
  <c r="R45" i="21"/>
  <c r="R44" i="21"/>
  <c r="R43" i="21"/>
  <c r="R42" i="21"/>
  <c r="R41" i="21"/>
  <c r="R40" i="21"/>
  <c r="R39" i="21"/>
  <c r="R38" i="21"/>
  <c r="R37" i="21"/>
  <c r="R36" i="21"/>
  <c r="R35" i="21"/>
  <c r="R34" i="21"/>
  <c r="R33" i="21"/>
  <c r="R32" i="21"/>
  <c r="R31" i="21"/>
  <c r="R30" i="21"/>
  <c r="R29" i="21"/>
  <c r="R28" i="21"/>
  <c r="R27" i="21"/>
  <c r="R26" i="21"/>
  <c r="R25" i="21"/>
  <c r="R24" i="21"/>
  <c r="R23" i="21"/>
  <c r="R22" i="21"/>
  <c r="R21" i="21"/>
  <c r="R20" i="21"/>
  <c r="R19" i="21"/>
  <c r="R18" i="21"/>
  <c r="R17" i="21"/>
  <c r="R16" i="21"/>
  <c r="R15" i="21"/>
  <c r="R14" i="21"/>
  <c r="R13" i="21"/>
  <c r="R12" i="21"/>
  <c r="R11" i="21"/>
  <c r="R10" i="21"/>
  <c r="R9" i="21"/>
  <c r="R8" i="21"/>
  <c r="P28" i="18" l="1"/>
  <c r="D2" i="25"/>
  <c r="P910" i="17" l="1"/>
  <c r="K910" i="17"/>
  <c r="P909" i="17"/>
  <c r="K909" i="17"/>
  <c r="T908" i="17"/>
  <c r="P908" i="17"/>
  <c r="K908" i="17"/>
  <c r="P907" i="17"/>
  <c r="K907" i="17"/>
  <c r="P906" i="17"/>
  <c r="K906" i="17"/>
  <c r="P905" i="17"/>
  <c r="K905" i="17"/>
  <c r="P904" i="17"/>
  <c r="K904" i="17"/>
  <c r="P903" i="17"/>
  <c r="K903" i="17"/>
  <c r="P902" i="17"/>
  <c r="K902" i="17"/>
  <c r="T901" i="17"/>
  <c r="P901" i="17"/>
  <c r="K901" i="17"/>
  <c r="P900" i="17"/>
  <c r="K900" i="17"/>
  <c r="P899" i="17"/>
  <c r="K899" i="17"/>
  <c r="P898" i="17"/>
  <c r="K898" i="17"/>
  <c r="T897" i="17"/>
  <c r="P897" i="17"/>
  <c r="K897" i="17"/>
  <c r="P896" i="17"/>
  <c r="K896" i="17"/>
  <c r="P895" i="17"/>
  <c r="K895" i="17"/>
  <c r="T894" i="17"/>
  <c r="P894" i="17"/>
  <c r="K894" i="17"/>
  <c r="P893" i="17"/>
  <c r="K893" i="17"/>
  <c r="P892" i="17"/>
  <c r="K892" i="17"/>
  <c r="P891" i="17"/>
  <c r="K891" i="17"/>
  <c r="P890" i="17"/>
  <c r="K890" i="17"/>
  <c r="P889" i="17"/>
  <c r="K889" i="17"/>
  <c r="T888" i="17"/>
  <c r="P888" i="17"/>
  <c r="K888" i="17"/>
  <c r="P887" i="17"/>
  <c r="K887" i="17"/>
  <c r="P886" i="17"/>
  <c r="K886" i="17"/>
  <c r="T885" i="17"/>
  <c r="P885" i="17"/>
  <c r="K885" i="17"/>
  <c r="T884" i="17"/>
  <c r="P884" i="17"/>
  <c r="K884" i="17"/>
  <c r="P883" i="17"/>
  <c r="K883" i="17"/>
  <c r="P882" i="17"/>
  <c r="K882" i="17"/>
  <c r="P881" i="17"/>
  <c r="K881" i="17"/>
  <c r="P880" i="17"/>
  <c r="K880" i="17"/>
  <c r="P879" i="17"/>
  <c r="K879" i="17"/>
  <c r="P878" i="17"/>
  <c r="K878" i="17"/>
  <c r="P877" i="17"/>
  <c r="K877" i="17"/>
  <c r="P876" i="17"/>
  <c r="K876" i="17"/>
  <c r="T875" i="17"/>
  <c r="P875" i="17"/>
  <c r="K875" i="17"/>
  <c r="P874" i="17"/>
  <c r="K874" i="17"/>
  <c r="P873" i="17"/>
  <c r="K873" i="17"/>
  <c r="P872" i="17"/>
  <c r="K872" i="17"/>
  <c r="P871" i="17"/>
  <c r="K871" i="17"/>
  <c r="P870" i="17"/>
  <c r="K870" i="17"/>
  <c r="P869" i="17"/>
  <c r="K869" i="17"/>
  <c r="P868" i="17"/>
  <c r="K868" i="17"/>
  <c r="T867" i="17"/>
  <c r="P867" i="17"/>
  <c r="K867" i="17"/>
  <c r="P866" i="17"/>
  <c r="K866" i="17"/>
  <c r="P865" i="17"/>
  <c r="K865" i="17"/>
  <c r="P864" i="17"/>
  <c r="K864" i="17"/>
  <c r="P863" i="17"/>
  <c r="K863" i="17"/>
  <c r="T862" i="17"/>
  <c r="P862" i="17"/>
  <c r="K862" i="17"/>
  <c r="P861" i="17"/>
  <c r="K861" i="17"/>
  <c r="P860" i="17"/>
  <c r="K860" i="17"/>
  <c r="P859" i="17"/>
  <c r="K859" i="17"/>
  <c r="P858" i="17"/>
  <c r="K858" i="17"/>
  <c r="T857" i="17"/>
  <c r="P857" i="17"/>
  <c r="K857" i="17"/>
  <c r="T856" i="17"/>
  <c r="P856" i="17"/>
  <c r="K856" i="17"/>
  <c r="P855" i="17"/>
  <c r="K855" i="17"/>
  <c r="P854" i="17"/>
  <c r="K854" i="17"/>
  <c r="P853" i="17"/>
  <c r="K853" i="17"/>
  <c r="P852" i="17"/>
  <c r="K852" i="17"/>
  <c r="P851" i="17"/>
  <c r="K851" i="17"/>
  <c r="P850" i="17"/>
  <c r="K850" i="17"/>
  <c r="T849" i="17"/>
  <c r="P849" i="17"/>
  <c r="K849" i="17"/>
  <c r="P848" i="17"/>
  <c r="K848" i="17"/>
  <c r="P847" i="17"/>
  <c r="K847" i="17"/>
  <c r="P846" i="17"/>
  <c r="K846" i="17"/>
  <c r="P845" i="17"/>
  <c r="K845" i="17"/>
  <c r="T844" i="17"/>
  <c r="P844" i="17"/>
  <c r="K844" i="17"/>
  <c r="P843" i="17"/>
  <c r="K843" i="17"/>
  <c r="T842" i="17"/>
  <c r="P842" i="17"/>
  <c r="K842" i="17"/>
  <c r="T841" i="17"/>
  <c r="P841" i="17"/>
  <c r="K841" i="17"/>
  <c r="P840" i="17"/>
  <c r="K840" i="17"/>
  <c r="P839" i="17"/>
  <c r="K839" i="17"/>
  <c r="T838" i="17"/>
  <c r="P838" i="17"/>
  <c r="K838" i="17"/>
  <c r="P837" i="17"/>
  <c r="K837" i="17"/>
  <c r="P836" i="17"/>
  <c r="K836" i="17"/>
  <c r="P835" i="17"/>
  <c r="K835" i="17"/>
  <c r="P834" i="17"/>
  <c r="K834" i="17"/>
  <c r="P833" i="17"/>
  <c r="K833" i="17"/>
  <c r="P832" i="17"/>
  <c r="K832" i="17"/>
  <c r="T831" i="17"/>
  <c r="P831" i="17"/>
  <c r="K831" i="17"/>
  <c r="T830" i="17"/>
  <c r="P830" i="17"/>
  <c r="K830" i="17"/>
  <c r="P829" i="17"/>
  <c r="K829" i="17"/>
  <c r="T828" i="17"/>
  <c r="P828" i="17"/>
  <c r="K828" i="17"/>
  <c r="T827" i="17"/>
  <c r="P827" i="17"/>
  <c r="K827" i="17"/>
  <c r="P826" i="17"/>
  <c r="K826" i="17"/>
  <c r="P825" i="17"/>
  <c r="K825" i="17"/>
  <c r="T824" i="17"/>
  <c r="P824" i="17"/>
  <c r="K824" i="17"/>
  <c r="T823" i="17"/>
  <c r="P823" i="17"/>
  <c r="K823" i="17"/>
  <c r="P822" i="17"/>
  <c r="K822" i="17"/>
  <c r="P821" i="17"/>
  <c r="K821" i="17"/>
  <c r="P820" i="17"/>
  <c r="K820" i="17"/>
  <c r="T819" i="17"/>
  <c r="P819" i="17"/>
  <c r="K819" i="17"/>
  <c r="P818" i="17"/>
  <c r="K818" i="17"/>
  <c r="P817" i="17"/>
  <c r="K817" i="17"/>
  <c r="T816" i="17"/>
  <c r="P816" i="17"/>
  <c r="K816" i="17"/>
  <c r="P815" i="17"/>
  <c r="K815" i="17"/>
  <c r="P814" i="17"/>
  <c r="K814" i="17"/>
  <c r="P813" i="17"/>
  <c r="K813" i="17"/>
  <c r="T812" i="17"/>
  <c r="P812" i="17"/>
  <c r="K812" i="17"/>
  <c r="P811" i="17"/>
  <c r="K811" i="17"/>
  <c r="P810" i="17"/>
  <c r="K810" i="17"/>
  <c r="T809" i="17"/>
  <c r="P809" i="17"/>
  <c r="K809" i="17"/>
  <c r="P808" i="17"/>
  <c r="K808" i="17"/>
  <c r="P807" i="17"/>
  <c r="K807" i="17"/>
  <c r="P806" i="17"/>
  <c r="K806" i="17"/>
  <c r="P805" i="17"/>
  <c r="K805" i="17"/>
  <c r="P804" i="17"/>
  <c r="K804" i="17"/>
  <c r="T803" i="17"/>
  <c r="P803" i="17"/>
  <c r="K803" i="17"/>
  <c r="P802" i="17"/>
  <c r="K802" i="17"/>
  <c r="P801" i="17"/>
  <c r="K801" i="17"/>
  <c r="T800" i="17"/>
  <c r="P800" i="17"/>
  <c r="K800" i="17"/>
  <c r="T799" i="17"/>
  <c r="P799" i="17"/>
  <c r="K799" i="17"/>
  <c r="P798" i="17"/>
  <c r="K798" i="17"/>
  <c r="P797" i="17"/>
  <c r="K797" i="17"/>
  <c r="T796" i="17"/>
  <c r="S796" i="17"/>
  <c r="O796" i="17"/>
  <c r="P796" i="17" s="1"/>
  <c r="J796" i="17"/>
  <c r="K796" i="17" s="1"/>
  <c r="P795" i="17"/>
  <c r="K795" i="17"/>
  <c r="P794" i="17"/>
  <c r="K794" i="17"/>
  <c r="P793" i="17"/>
  <c r="K793" i="17"/>
  <c r="T792" i="17"/>
  <c r="P792" i="17"/>
  <c r="K792" i="17"/>
  <c r="P791" i="17"/>
  <c r="K791" i="17"/>
  <c r="T790" i="17"/>
  <c r="P790" i="17"/>
  <c r="K790" i="17"/>
  <c r="P789" i="17"/>
  <c r="K789" i="17"/>
  <c r="P788" i="17"/>
  <c r="K788" i="17"/>
  <c r="T787" i="17"/>
  <c r="P787" i="17"/>
  <c r="K787" i="17"/>
  <c r="T786" i="17"/>
  <c r="P786" i="17"/>
  <c r="K786" i="17"/>
  <c r="P785" i="17"/>
  <c r="K785" i="17"/>
  <c r="P784" i="17"/>
  <c r="K784" i="17"/>
  <c r="T783" i="17"/>
  <c r="S783" i="17"/>
  <c r="R783" i="17"/>
  <c r="R3" i="17" s="1"/>
  <c r="O783" i="17"/>
  <c r="M783" i="17"/>
  <c r="M3" i="17" s="1"/>
  <c r="I783" i="17"/>
  <c r="G783" i="17"/>
  <c r="E783" i="17"/>
  <c r="E3" i="17" s="1"/>
  <c r="G28" i="18" s="1"/>
  <c r="C783" i="17"/>
  <c r="P782" i="17"/>
  <c r="K782" i="17"/>
  <c r="T781" i="17"/>
  <c r="P781" i="17"/>
  <c r="K781" i="17"/>
  <c r="P780" i="17"/>
  <c r="K780" i="17"/>
  <c r="T779" i="17"/>
  <c r="P779" i="17"/>
  <c r="K779" i="17"/>
  <c r="P778" i="17"/>
  <c r="K778" i="17"/>
  <c r="P777" i="17"/>
  <c r="K777" i="17"/>
  <c r="T776" i="17"/>
  <c r="P776" i="17"/>
  <c r="K776" i="17"/>
  <c r="P775" i="17"/>
  <c r="K775" i="17"/>
  <c r="T774" i="17"/>
  <c r="P774" i="17"/>
  <c r="K774" i="17"/>
  <c r="P773" i="17"/>
  <c r="K773" i="17"/>
  <c r="T772" i="17"/>
  <c r="P772" i="17"/>
  <c r="K772" i="17"/>
  <c r="P771" i="17"/>
  <c r="K771" i="17"/>
  <c r="P770" i="17"/>
  <c r="K770" i="17"/>
  <c r="T769" i="17"/>
  <c r="P769" i="17"/>
  <c r="K769" i="17"/>
  <c r="P768" i="17"/>
  <c r="K768" i="17"/>
  <c r="P767" i="17"/>
  <c r="K767" i="17"/>
  <c r="P766" i="17"/>
  <c r="K766" i="17"/>
  <c r="P765" i="17"/>
  <c r="K765" i="17"/>
  <c r="P764" i="17"/>
  <c r="K764" i="17"/>
  <c r="T763" i="17"/>
  <c r="P763" i="17"/>
  <c r="K763" i="17"/>
  <c r="P762" i="17"/>
  <c r="K762" i="17"/>
  <c r="P761" i="17"/>
  <c r="K761" i="17"/>
  <c r="T760" i="17"/>
  <c r="P760" i="17"/>
  <c r="K760" i="17"/>
  <c r="P759" i="17"/>
  <c r="K759" i="17"/>
  <c r="P758" i="17"/>
  <c r="K758" i="17"/>
  <c r="T757" i="17"/>
  <c r="P757" i="17"/>
  <c r="K757" i="17"/>
  <c r="T756" i="17"/>
  <c r="P756" i="17"/>
  <c r="K756" i="17"/>
  <c r="P755" i="17"/>
  <c r="K755" i="17"/>
  <c r="P754" i="17"/>
  <c r="K754" i="17"/>
  <c r="P753" i="17"/>
  <c r="K753" i="17"/>
  <c r="P752" i="17"/>
  <c r="K752" i="17"/>
  <c r="P751" i="17"/>
  <c r="K751" i="17"/>
  <c r="T750" i="17"/>
  <c r="P750" i="17"/>
  <c r="K750" i="17"/>
  <c r="P749" i="17"/>
  <c r="K749" i="17"/>
  <c r="P748" i="17"/>
  <c r="K748" i="17"/>
  <c r="P747" i="17"/>
  <c r="K747" i="17"/>
  <c r="P746" i="17"/>
  <c r="K746" i="17"/>
  <c r="P745" i="17"/>
  <c r="K745" i="17"/>
  <c r="P744" i="17"/>
  <c r="K744" i="17"/>
  <c r="T743" i="17"/>
  <c r="P743" i="17"/>
  <c r="K743" i="17"/>
  <c r="P742" i="17"/>
  <c r="K742" i="17"/>
  <c r="P741" i="17"/>
  <c r="K741" i="17"/>
  <c r="T740" i="17"/>
  <c r="P740" i="17"/>
  <c r="K740" i="17"/>
  <c r="P739" i="17"/>
  <c r="K739" i="17"/>
  <c r="P738" i="17"/>
  <c r="K738" i="17"/>
  <c r="T737" i="17"/>
  <c r="P737" i="17"/>
  <c r="K737" i="17"/>
  <c r="P736" i="17"/>
  <c r="K736" i="17"/>
  <c r="P735" i="17"/>
  <c r="K735" i="17"/>
  <c r="P734" i="17"/>
  <c r="K734" i="17"/>
  <c r="T733" i="17"/>
  <c r="P733" i="17"/>
  <c r="K733" i="17"/>
  <c r="T732" i="17"/>
  <c r="P732" i="17"/>
  <c r="K732" i="17"/>
  <c r="P731" i="17"/>
  <c r="K731" i="17"/>
  <c r="P730" i="17"/>
  <c r="K730" i="17"/>
  <c r="P729" i="17"/>
  <c r="K729" i="17"/>
  <c r="P728" i="17"/>
  <c r="K728" i="17"/>
  <c r="P727" i="17"/>
  <c r="K727" i="17"/>
  <c r="T726" i="17"/>
  <c r="P726" i="17"/>
  <c r="K726" i="17"/>
  <c r="T725" i="17"/>
  <c r="P725" i="17"/>
  <c r="K725" i="17"/>
  <c r="P724" i="17"/>
  <c r="K724" i="17"/>
  <c r="P723" i="17"/>
  <c r="K723" i="17"/>
  <c r="T722" i="17"/>
  <c r="P722" i="17"/>
  <c r="K722" i="17"/>
  <c r="T721" i="17"/>
  <c r="P721" i="17"/>
  <c r="K721" i="17"/>
  <c r="T720" i="17"/>
  <c r="P720" i="17"/>
  <c r="K720" i="17"/>
  <c r="T719" i="17"/>
  <c r="P719" i="17"/>
  <c r="K719" i="17"/>
  <c r="P718" i="17"/>
  <c r="K718" i="17"/>
  <c r="P717" i="17"/>
  <c r="K717" i="17"/>
  <c r="P716" i="17"/>
  <c r="K716" i="17"/>
  <c r="P715" i="17"/>
  <c r="K715" i="17"/>
  <c r="P714" i="17"/>
  <c r="K714" i="17"/>
  <c r="P713" i="17"/>
  <c r="K713" i="17"/>
  <c r="P712" i="17"/>
  <c r="K712" i="17"/>
  <c r="T711" i="17"/>
  <c r="P711" i="17"/>
  <c r="K711" i="17"/>
  <c r="P710" i="17"/>
  <c r="K710" i="17"/>
  <c r="T709" i="17"/>
  <c r="P709" i="17"/>
  <c r="K709" i="17"/>
  <c r="P708" i="17"/>
  <c r="K708" i="17"/>
  <c r="P707" i="17"/>
  <c r="K707" i="17"/>
  <c r="P706" i="17"/>
  <c r="K706" i="17"/>
  <c r="P705" i="17"/>
  <c r="K705" i="17"/>
  <c r="P704" i="17"/>
  <c r="K704" i="17"/>
  <c r="P703" i="17"/>
  <c r="K703" i="17"/>
  <c r="P702" i="17"/>
  <c r="K702" i="17"/>
  <c r="P701" i="17"/>
  <c r="K701" i="17"/>
  <c r="T700" i="17"/>
  <c r="P700" i="17"/>
  <c r="K700" i="17"/>
  <c r="P699" i="17"/>
  <c r="K699" i="17"/>
  <c r="P698" i="17"/>
  <c r="K698" i="17"/>
  <c r="P697" i="17"/>
  <c r="K697" i="17"/>
  <c r="P696" i="17"/>
  <c r="K696" i="17"/>
  <c r="P695" i="17"/>
  <c r="K695" i="17"/>
  <c r="P694" i="17"/>
  <c r="K694" i="17"/>
  <c r="P693" i="17"/>
  <c r="K693" i="17"/>
  <c r="P692" i="17"/>
  <c r="K692" i="17"/>
  <c r="T691" i="17"/>
  <c r="P691" i="17"/>
  <c r="K691" i="17"/>
  <c r="P690" i="17"/>
  <c r="K690" i="17"/>
  <c r="P689" i="17"/>
  <c r="K689" i="17"/>
  <c r="P688" i="17"/>
  <c r="K688" i="17"/>
  <c r="T687" i="17"/>
  <c r="P687" i="17"/>
  <c r="K687" i="17"/>
  <c r="P686" i="17"/>
  <c r="K686" i="17"/>
  <c r="P685" i="17"/>
  <c r="K685" i="17"/>
  <c r="P684" i="17"/>
  <c r="K684" i="17"/>
  <c r="T683" i="17"/>
  <c r="P683" i="17"/>
  <c r="K683" i="17"/>
  <c r="P682" i="17"/>
  <c r="K682" i="17"/>
  <c r="P681" i="17"/>
  <c r="K681" i="17"/>
  <c r="P680" i="17"/>
  <c r="K680" i="17"/>
  <c r="P679" i="17"/>
  <c r="K679" i="17"/>
  <c r="P678" i="17"/>
  <c r="K678" i="17"/>
  <c r="P677" i="17"/>
  <c r="K677" i="17"/>
  <c r="P675" i="17"/>
  <c r="K675" i="17"/>
  <c r="P674" i="17"/>
  <c r="P676" i="17" s="1"/>
  <c r="K674" i="17"/>
  <c r="P673" i="17"/>
  <c r="K673" i="17"/>
  <c r="P672" i="17"/>
  <c r="K672" i="17"/>
  <c r="P671" i="17"/>
  <c r="K671" i="17"/>
  <c r="P670" i="17"/>
  <c r="K670" i="17"/>
  <c r="P669" i="17"/>
  <c r="K669" i="17"/>
  <c r="P668" i="17"/>
  <c r="K668" i="17"/>
  <c r="P667" i="17"/>
  <c r="K667" i="17"/>
  <c r="P666" i="17"/>
  <c r="K666" i="17"/>
  <c r="P665" i="17"/>
  <c r="K665" i="17"/>
  <c r="P664" i="17"/>
  <c r="K664" i="17"/>
  <c r="T663" i="17"/>
  <c r="P663" i="17"/>
  <c r="K663" i="17"/>
  <c r="T662" i="17"/>
  <c r="P662" i="17"/>
  <c r="K662" i="17"/>
  <c r="P661" i="17"/>
  <c r="K661" i="17"/>
  <c r="P660" i="17"/>
  <c r="K660" i="17"/>
  <c r="T659" i="17"/>
  <c r="P659" i="17"/>
  <c r="K659" i="17"/>
  <c r="P658" i="17"/>
  <c r="K658" i="17"/>
  <c r="P657" i="17"/>
  <c r="K657" i="17"/>
  <c r="P656" i="17"/>
  <c r="K656" i="17"/>
  <c r="P655" i="17"/>
  <c r="K655" i="17"/>
  <c r="P654" i="17"/>
  <c r="K654" i="17"/>
  <c r="T653" i="17"/>
  <c r="P653" i="17"/>
  <c r="K653" i="17"/>
  <c r="P652" i="17"/>
  <c r="K652" i="17"/>
  <c r="P651" i="17"/>
  <c r="K651" i="17"/>
  <c r="P650" i="17"/>
  <c r="K650" i="17"/>
  <c r="P649" i="17"/>
  <c r="K649" i="17"/>
  <c r="P648" i="17"/>
  <c r="K648" i="17"/>
  <c r="P647" i="17"/>
  <c r="K647" i="17"/>
  <c r="P646" i="17"/>
  <c r="K646" i="17"/>
  <c r="P645" i="17"/>
  <c r="K645" i="17"/>
  <c r="P644" i="17"/>
  <c r="K644" i="17"/>
  <c r="P643" i="17"/>
  <c r="K643" i="17"/>
  <c r="P642" i="17"/>
  <c r="K642" i="17"/>
  <c r="P641" i="17"/>
  <c r="K641" i="17"/>
  <c r="P640" i="17"/>
  <c r="K640" i="17"/>
  <c r="T639" i="17"/>
  <c r="P639" i="17"/>
  <c r="K639" i="17"/>
  <c r="T638" i="17"/>
  <c r="P638" i="17"/>
  <c r="K638" i="17"/>
  <c r="P637" i="17"/>
  <c r="K637" i="17"/>
  <c r="P636" i="17"/>
  <c r="K636" i="17"/>
  <c r="P635" i="17"/>
  <c r="K635" i="17"/>
  <c r="T634" i="17"/>
  <c r="P634" i="17"/>
  <c r="K634" i="17"/>
  <c r="P633" i="17"/>
  <c r="K633" i="17"/>
  <c r="P632" i="17"/>
  <c r="K632" i="17"/>
  <c r="P631" i="17"/>
  <c r="K631" i="17"/>
  <c r="P630" i="17"/>
  <c r="K630" i="17"/>
  <c r="P629" i="17"/>
  <c r="K629" i="17"/>
  <c r="P628" i="17"/>
  <c r="K628" i="17"/>
  <c r="P627" i="17"/>
  <c r="K627" i="17"/>
  <c r="P626" i="17"/>
  <c r="K626" i="17"/>
  <c r="P625" i="17"/>
  <c r="K625" i="17"/>
  <c r="P624" i="17"/>
  <c r="K624" i="17"/>
  <c r="P623" i="17"/>
  <c r="K623" i="17"/>
  <c r="P622" i="17"/>
  <c r="K622" i="17"/>
  <c r="P621" i="17"/>
  <c r="K621" i="17"/>
  <c r="P620" i="17"/>
  <c r="K620" i="17"/>
  <c r="P619" i="17"/>
  <c r="K619" i="17"/>
  <c r="T618" i="17"/>
  <c r="P618" i="17"/>
  <c r="K618" i="17"/>
  <c r="P617" i="17"/>
  <c r="K617" i="17"/>
  <c r="P616" i="17"/>
  <c r="K616" i="17"/>
  <c r="T615" i="17"/>
  <c r="P615" i="17"/>
  <c r="K615" i="17"/>
  <c r="T614" i="17"/>
  <c r="P614" i="17"/>
  <c r="K614" i="17"/>
  <c r="P613" i="17"/>
  <c r="K613" i="17"/>
  <c r="T612" i="17"/>
  <c r="P612" i="17"/>
  <c r="K612" i="17"/>
  <c r="P611" i="17"/>
  <c r="K611" i="17"/>
  <c r="T610" i="17"/>
  <c r="P610" i="17"/>
  <c r="K610" i="17"/>
  <c r="T609" i="17"/>
  <c r="P609" i="17"/>
  <c r="K609" i="17"/>
  <c r="P608" i="17"/>
  <c r="K608" i="17"/>
  <c r="P607" i="17"/>
  <c r="K607" i="17"/>
  <c r="T606" i="17"/>
  <c r="P606" i="17"/>
  <c r="K606" i="17"/>
  <c r="P605" i="17"/>
  <c r="K605" i="17"/>
  <c r="T604" i="17"/>
  <c r="P604" i="17"/>
  <c r="K604" i="17"/>
  <c r="P603" i="17"/>
  <c r="K603" i="17"/>
  <c r="P602" i="17"/>
  <c r="K602" i="17"/>
  <c r="P601" i="17"/>
  <c r="K601" i="17"/>
  <c r="P600" i="17"/>
  <c r="K600" i="17"/>
  <c r="T599" i="17"/>
  <c r="P599" i="17"/>
  <c r="K599" i="17"/>
  <c r="P598" i="17"/>
  <c r="K598" i="17"/>
  <c r="P597" i="17"/>
  <c r="K597" i="17"/>
  <c r="T596" i="17"/>
  <c r="P596" i="17"/>
  <c r="K596" i="17"/>
  <c r="T595" i="17"/>
  <c r="P595" i="17"/>
  <c r="K595" i="17"/>
  <c r="P594" i="17"/>
  <c r="K594" i="17"/>
  <c r="P593" i="17"/>
  <c r="K593" i="17"/>
  <c r="P592" i="17"/>
  <c r="K592" i="17"/>
  <c r="P591" i="17"/>
  <c r="K591" i="17"/>
  <c r="P590" i="17"/>
  <c r="K590" i="17"/>
  <c r="P589" i="17"/>
  <c r="K589" i="17"/>
  <c r="P588" i="17"/>
  <c r="K588" i="17"/>
  <c r="P587" i="17"/>
  <c r="K587" i="17"/>
  <c r="P586" i="17"/>
  <c r="K586" i="17"/>
  <c r="P585" i="17"/>
  <c r="K585" i="17"/>
  <c r="P584" i="17"/>
  <c r="K584" i="17"/>
  <c r="T583" i="17"/>
  <c r="P583" i="17"/>
  <c r="K583" i="17"/>
  <c r="P582" i="17"/>
  <c r="K582" i="17"/>
  <c r="P581" i="17"/>
  <c r="K581" i="17"/>
  <c r="P580" i="17"/>
  <c r="K580" i="17"/>
  <c r="P579" i="17"/>
  <c r="K579" i="17"/>
  <c r="P578" i="17"/>
  <c r="K578" i="17"/>
  <c r="P577" i="17"/>
  <c r="K577" i="17"/>
  <c r="P576" i="17"/>
  <c r="K576" i="17"/>
  <c r="P575" i="17"/>
  <c r="K575" i="17"/>
  <c r="P574" i="17"/>
  <c r="K574" i="17"/>
  <c r="P573" i="17"/>
  <c r="K573" i="17"/>
  <c r="P572" i="17"/>
  <c r="K572" i="17"/>
  <c r="P571" i="17"/>
  <c r="K571" i="17"/>
  <c r="P570" i="17"/>
  <c r="K570" i="17"/>
  <c r="T569" i="17"/>
  <c r="P569" i="17"/>
  <c r="K569" i="17"/>
  <c r="P568" i="17"/>
  <c r="K568" i="17"/>
  <c r="T567" i="17"/>
  <c r="P567" i="17"/>
  <c r="K567" i="17"/>
  <c r="P566" i="17"/>
  <c r="K566" i="17"/>
  <c r="T565" i="17"/>
  <c r="P565" i="17"/>
  <c r="K565" i="17"/>
  <c r="P564" i="17"/>
  <c r="K564" i="17"/>
  <c r="P563" i="17"/>
  <c r="K563" i="17"/>
  <c r="P562" i="17"/>
  <c r="K562" i="17"/>
  <c r="P561" i="17"/>
  <c r="K561" i="17"/>
  <c r="P560" i="17"/>
  <c r="K560" i="17"/>
  <c r="P559" i="17"/>
  <c r="K559" i="17"/>
  <c r="P558" i="17"/>
  <c r="K558" i="17"/>
  <c r="P557" i="17"/>
  <c r="K557" i="17"/>
  <c r="P556" i="17"/>
  <c r="K556" i="17"/>
  <c r="P555" i="17"/>
  <c r="K555" i="17"/>
  <c r="P554" i="17"/>
  <c r="K554" i="17"/>
  <c r="P553" i="17"/>
  <c r="K553" i="17"/>
  <c r="P552" i="17"/>
  <c r="K552" i="17"/>
  <c r="P551" i="17"/>
  <c r="K551" i="17"/>
  <c r="P550" i="17"/>
  <c r="K550" i="17"/>
  <c r="P549" i="17"/>
  <c r="K549" i="17"/>
  <c r="P548" i="17"/>
  <c r="K548" i="17"/>
  <c r="P547" i="17"/>
  <c r="K547" i="17"/>
  <c r="T546" i="17"/>
  <c r="P546" i="17"/>
  <c r="K546" i="17"/>
  <c r="P545" i="17"/>
  <c r="K545" i="17"/>
  <c r="P544" i="17"/>
  <c r="K544" i="17"/>
  <c r="P543" i="17"/>
  <c r="K543" i="17"/>
  <c r="P542" i="17"/>
  <c r="K542" i="17"/>
  <c r="P541" i="17"/>
  <c r="K541" i="17"/>
  <c r="P540" i="17"/>
  <c r="K540" i="17"/>
  <c r="P539" i="17"/>
  <c r="K539" i="17"/>
  <c r="T538" i="17"/>
  <c r="P538" i="17"/>
  <c r="K538" i="17"/>
  <c r="P537" i="17"/>
  <c r="K537" i="17"/>
  <c r="P536" i="17"/>
  <c r="K536" i="17"/>
  <c r="P535" i="17"/>
  <c r="K535" i="17"/>
  <c r="P534" i="17"/>
  <c r="K534" i="17"/>
  <c r="P533" i="17"/>
  <c r="K533" i="17"/>
  <c r="T532" i="17"/>
  <c r="P532" i="17"/>
  <c r="K532" i="17"/>
  <c r="T531" i="17"/>
  <c r="P531" i="17"/>
  <c r="K531" i="17"/>
  <c r="P530" i="17"/>
  <c r="K530" i="17"/>
  <c r="P529" i="17"/>
  <c r="K529" i="17"/>
  <c r="P528" i="17"/>
  <c r="K528" i="17"/>
  <c r="T527" i="17"/>
  <c r="P527" i="17"/>
  <c r="K527" i="17"/>
  <c r="P526" i="17"/>
  <c r="K526" i="17"/>
  <c r="P525" i="17"/>
  <c r="K525" i="17"/>
  <c r="T524" i="17"/>
  <c r="P524" i="17"/>
  <c r="K524" i="17"/>
  <c r="P523" i="17"/>
  <c r="K523" i="17"/>
  <c r="T522" i="17"/>
  <c r="P522" i="17"/>
  <c r="K522" i="17"/>
  <c r="P521" i="17"/>
  <c r="K521" i="17"/>
  <c r="P520" i="17"/>
  <c r="K520" i="17"/>
  <c r="P519" i="17"/>
  <c r="K519" i="17"/>
  <c r="P518" i="17"/>
  <c r="K518" i="17"/>
  <c r="T517" i="17"/>
  <c r="P517" i="17"/>
  <c r="K517" i="17"/>
  <c r="P516" i="17"/>
  <c r="K516" i="17"/>
  <c r="P515" i="17"/>
  <c r="K515" i="17"/>
  <c r="T514" i="17"/>
  <c r="P514" i="17"/>
  <c r="K514" i="17"/>
  <c r="P513" i="17"/>
  <c r="K513" i="17"/>
  <c r="P512" i="17"/>
  <c r="K512" i="17"/>
  <c r="P511" i="17"/>
  <c r="K511" i="17"/>
  <c r="T510" i="17"/>
  <c r="P510" i="17"/>
  <c r="K510" i="17"/>
  <c r="P509" i="17"/>
  <c r="K509" i="17"/>
  <c r="P508" i="17"/>
  <c r="K508" i="17"/>
  <c r="P507" i="17"/>
  <c r="K507" i="17"/>
  <c r="P506" i="17"/>
  <c r="K506" i="17"/>
  <c r="P505" i="17"/>
  <c r="K505" i="17"/>
  <c r="P504" i="17"/>
  <c r="K504" i="17"/>
  <c r="T503" i="17"/>
  <c r="P503" i="17"/>
  <c r="K503" i="17"/>
  <c r="P502" i="17"/>
  <c r="K502" i="17"/>
  <c r="P501" i="17"/>
  <c r="K501" i="17"/>
  <c r="P500" i="17"/>
  <c r="K500" i="17"/>
  <c r="P499" i="17"/>
  <c r="K499" i="17"/>
  <c r="P498" i="17"/>
  <c r="K498" i="17"/>
  <c r="P497" i="17"/>
  <c r="K497" i="17"/>
  <c r="P496" i="17"/>
  <c r="K496" i="17"/>
  <c r="P495" i="17"/>
  <c r="K495" i="17"/>
  <c r="P494" i="17"/>
  <c r="K494" i="17"/>
  <c r="P493" i="17"/>
  <c r="K493" i="17"/>
  <c r="P492" i="17"/>
  <c r="K492" i="17"/>
  <c r="P491" i="17"/>
  <c r="K491" i="17"/>
  <c r="P490" i="17"/>
  <c r="K490" i="17"/>
  <c r="P489" i="17"/>
  <c r="K489" i="17"/>
  <c r="P488" i="17"/>
  <c r="K488" i="17"/>
  <c r="P487" i="17"/>
  <c r="K487" i="17"/>
  <c r="P486" i="17"/>
  <c r="K486" i="17"/>
  <c r="P485" i="17"/>
  <c r="K485" i="17"/>
  <c r="P484" i="17"/>
  <c r="K484" i="17"/>
  <c r="P483" i="17"/>
  <c r="K483" i="17"/>
  <c r="P482" i="17"/>
  <c r="K482" i="17"/>
  <c r="P481" i="17"/>
  <c r="K481" i="17"/>
  <c r="P480" i="17"/>
  <c r="K480" i="17"/>
  <c r="P479" i="17"/>
  <c r="K479" i="17"/>
  <c r="P478" i="17"/>
  <c r="K478" i="17"/>
  <c r="P477" i="17"/>
  <c r="K477" i="17"/>
  <c r="P476" i="17"/>
  <c r="K476" i="17"/>
  <c r="P475" i="17"/>
  <c r="K475" i="17"/>
  <c r="P474" i="17"/>
  <c r="K474" i="17"/>
  <c r="P473" i="17"/>
  <c r="K473" i="17"/>
  <c r="P472" i="17"/>
  <c r="K472" i="17"/>
  <c r="P471" i="17"/>
  <c r="K471" i="17"/>
  <c r="P470" i="17"/>
  <c r="K470" i="17"/>
  <c r="P469" i="17"/>
  <c r="K469" i="17"/>
  <c r="P468" i="17"/>
  <c r="K468" i="17"/>
  <c r="P467" i="17"/>
  <c r="K467" i="17"/>
  <c r="P466" i="17"/>
  <c r="K466" i="17"/>
  <c r="P465" i="17"/>
  <c r="K465" i="17"/>
  <c r="P464" i="17"/>
  <c r="K464" i="17"/>
  <c r="P463" i="17"/>
  <c r="K463" i="17"/>
  <c r="P462" i="17"/>
  <c r="K462" i="17"/>
  <c r="P461" i="17"/>
  <c r="K461" i="17"/>
  <c r="P460" i="17"/>
  <c r="K460" i="17"/>
  <c r="P459" i="17"/>
  <c r="K459" i="17"/>
  <c r="P458" i="17"/>
  <c r="K458" i="17"/>
  <c r="P457" i="17"/>
  <c r="K457" i="17"/>
  <c r="P456" i="17"/>
  <c r="K456" i="17"/>
  <c r="P455" i="17"/>
  <c r="K455" i="17"/>
  <c r="P454" i="17"/>
  <c r="K454" i="17"/>
  <c r="P453" i="17"/>
  <c r="K453" i="17"/>
  <c r="P452" i="17"/>
  <c r="K452" i="17"/>
  <c r="P451" i="17"/>
  <c r="K451" i="17"/>
  <c r="P450" i="17"/>
  <c r="K450" i="17"/>
  <c r="P449" i="17"/>
  <c r="K449" i="17"/>
  <c r="P448" i="17"/>
  <c r="K448" i="17"/>
  <c r="P447" i="17"/>
  <c r="K447" i="17"/>
  <c r="P446" i="17"/>
  <c r="K446" i="17"/>
  <c r="P445" i="17"/>
  <c r="K445" i="17"/>
  <c r="P444" i="17"/>
  <c r="K444" i="17"/>
  <c r="P443" i="17"/>
  <c r="K443" i="17"/>
  <c r="P442" i="17"/>
  <c r="K442" i="17"/>
  <c r="P441" i="17"/>
  <c r="K441" i="17"/>
  <c r="P440" i="17"/>
  <c r="K440" i="17"/>
  <c r="P439" i="17"/>
  <c r="K439" i="17"/>
  <c r="P438" i="17"/>
  <c r="K438" i="17"/>
  <c r="P437" i="17"/>
  <c r="K437" i="17"/>
  <c r="P436" i="17"/>
  <c r="K436" i="17"/>
  <c r="P435" i="17"/>
  <c r="K435" i="17"/>
  <c r="P434" i="17"/>
  <c r="K434" i="17"/>
  <c r="P433" i="17"/>
  <c r="K433" i="17"/>
  <c r="P432" i="17"/>
  <c r="K432" i="17"/>
  <c r="P431" i="17"/>
  <c r="K431" i="17"/>
  <c r="P430" i="17"/>
  <c r="K430" i="17"/>
  <c r="P429" i="17"/>
  <c r="K429" i="17"/>
  <c r="P428" i="17"/>
  <c r="K428" i="17"/>
  <c r="P427" i="17"/>
  <c r="K427" i="17"/>
  <c r="P426" i="17"/>
  <c r="K426" i="17"/>
  <c r="P425" i="17"/>
  <c r="K425" i="17"/>
  <c r="P424" i="17"/>
  <c r="K424" i="17"/>
  <c r="P423" i="17"/>
  <c r="K423" i="17"/>
  <c r="P422" i="17"/>
  <c r="K422" i="17"/>
  <c r="P421" i="17"/>
  <c r="K421" i="17"/>
  <c r="P420" i="17"/>
  <c r="K420" i="17"/>
  <c r="P419" i="17"/>
  <c r="K419" i="17"/>
  <c r="P418" i="17"/>
  <c r="K418" i="17"/>
  <c r="P417" i="17"/>
  <c r="K417" i="17"/>
  <c r="P416" i="17"/>
  <c r="K416" i="17"/>
  <c r="P415" i="17"/>
  <c r="K415" i="17"/>
  <c r="P414" i="17"/>
  <c r="K414" i="17"/>
  <c r="P413" i="17"/>
  <c r="K413" i="17"/>
  <c r="P412" i="17"/>
  <c r="K412" i="17"/>
  <c r="P411" i="17"/>
  <c r="K411" i="17"/>
  <c r="P410" i="17"/>
  <c r="K410" i="17"/>
  <c r="P409" i="17"/>
  <c r="K409" i="17"/>
  <c r="P408" i="17"/>
  <c r="K408" i="17"/>
  <c r="P407" i="17"/>
  <c r="K407" i="17"/>
  <c r="P406" i="17"/>
  <c r="K406" i="17"/>
  <c r="P405" i="17"/>
  <c r="K405" i="17"/>
  <c r="P404" i="17"/>
  <c r="K404" i="17"/>
  <c r="P403" i="17"/>
  <c r="K403" i="17"/>
  <c r="P402" i="17"/>
  <c r="K402" i="17"/>
  <c r="P401" i="17"/>
  <c r="K401" i="17"/>
  <c r="P400" i="17"/>
  <c r="K400" i="17"/>
  <c r="P399" i="17"/>
  <c r="K399" i="17"/>
  <c r="P398" i="17"/>
  <c r="K398" i="17"/>
  <c r="P397" i="17"/>
  <c r="K397" i="17"/>
  <c r="P396" i="17"/>
  <c r="K396" i="17"/>
  <c r="P395" i="17"/>
  <c r="K395" i="17"/>
  <c r="P394" i="17"/>
  <c r="K394" i="17"/>
  <c r="P393" i="17"/>
  <c r="K393" i="17"/>
  <c r="P392" i="17"/>
  <c r="K392" i="17"/>
  <c r="P391" i="17"/>
  <c r="K391" i="17"/>
  <c r="P390" i="17"/>
  <c r="K390" i="17"/>
  <c r="P389" i="17"/>
  <c r="K389" i="17"/>
  <c r="P388" i="17"/>
  <c r="K388" i="17"/>
  <c r="P387" i="17"/>
  <c r="K387" i="17"/>
  <c r="P386" i="17"/>
  <c r="K386" i="17"/>
  <c r="P385" i="17"/>
  <c r="K385" i="17"/>
  <c r="P384" i="17"/>
  <c r="K384" i="17"/>
  <c r="P383" i="17"/>
  <c r="K383" i="17"/>
  <c r="P382" i="17"/>
  <c r="K382" i="17"/>
  <c r="P381" i="17"/>
  <c r="K381" i="17"/>
  <c r="P380" i="17"/>
  <c r="K380" i="17"/>
  <c r="P379" i="17"/>
  <c r="K379" i="17"/>
  <c r="P378" i="17"/>
  <c r="K378" i="17"/>
  <c r="P377" i="17"/>
  <c r="K377" i="17"/>
  <c r="P376" i="17"/>
  <c r="K376" i="17"/>
  <c r="T375" i="17"/>
  <c r="P375" i="17"/>
  <c r="K375" i="17"/>
  <c r="P374" i="17"/>
  <c r="K374" i="17"/>
  <c r="P373" i="17"/>
  <c r="K373" i="17"/>
  <c r="P372" i="17"/>
  <c r="K372" i="17"/>
  <c r="P371" i="17"/>
  <c r="K371" i="17"/>
  <c r="P370" i="17"/>
  <c r="K370" i="17"/>
  <c r="P369" i="17"/>
  <c r="K369" i="17"/>
  <c r="T368" i="17"/>
  <c r="P368" i="17"/>
  <c r="K368" i="17"/>
  <c r="P367" i="17"/>
  <c r="K367" i="17"/>
  <c r="P366" i="17"/>
  <c r="K366" i="17"/>
  <c r="P365" i="17"/>
  <c r="K365" i="17"/>
  <c r="T364" i="17"/>
  <c r="P364" i="17"/>
  <c r="K364" i="17"/>
  <c r="P363" i="17"/>
  <c r="K363" i="17"/>
  <c r="P362" i="17"/>
  <c r="K362" i="17"/>
  <c r="P361" i="17"/>
  <c r="K361" i="17"/>
  <c r="P360" i="17"/>
  <c r="K360" i="17"/>
  <c r="T359" i="17"/>
  <c r="P359" i="17"/>
  <c r="K359" i="17"/>
  <c r="P358" i="17"/>
  <c r="K358" i="17"/>
  <c r="P357" i="17"/>
  <c r="K357" i="17"/>
  <c r="P356" i="17"/>
  <c r="K356" i="17"/>
  <c r="T355" i="17"/>
  <c r="P355" i="17"/>
  <c r="K355" i="17"/>
  <c r="P354" i="17"/>
  <c r="K354" i="17"/>
  <c r="P353" i="17"/>
  <c r="K353" i="17"/>
  <c r="T352" i="17"/>
  <c r="P352" i="17"/>
  <c r="K352" i="17"/>
  <c r="T351" i="17"/>
  <c r="P351" i="17"/>
  <c r="K351" i="17"/>
  <c r="P350" i="17"/>
  <c r="K350" i="17"/>
  <c r="P349" i="17"/>
  <c r="K349" i="17"/>
  <c r="T348" i="17"/>
  <c r="P348" i="17"/>
  <c r="K348" i="17"/>
  <c r="T347" i="17"/>
  <c r="P347" i="17"/>
  <c r="K347" i="17"/>
  <c r="P346" i="17"/>
  <c r="K346" i="17"/>
  <c r="P345" i="17"/>
  <c r="K345" i="17"/>
  <c r="P344" i="17"/>
  <c r="K344" i="17"/>
  <c r="P343" i="17"/>
  <c r="K343" i="17"/>
  <c r="T342" i="17"/>
  <c r="P342" i="17"/>
  <c r="K342" i="17"/>
  <c r="T341" i="17"/>
  <c r="P341" i="17"/>
  <c r="K341" i="17"/>
  <c r="P340" i="17"/>
  <c r="K340" i="17"/>
  <c r="P339" i="17"/>
  <c r="K339" i="17"/>
  <c r="P338" i="17"/>
  <c r="K338" i="17"/>
  <c r="P337" i="17"/>
  <c r="K337" i="17"/>
  <c r="P336" i="17"/>
  <c r="K336" i="17"/>
  <c r="P335" i="17"/>
  <c r="K335" i="17"/>
  <c r="P334" i="17"/>
  <c r="K334" i="17"/>
  <c r="P333" i="17"/>
  <c r="K333" i="17"/>
  <c r="T332" i="17"/>
  <c r="P332" i="17"/>
  <c r="K332" i="17"/>
  <c r="T331" i="17"/>
  <c r="P331" i="17"/>
  <c r="K331" i="17"/>
  <c r="P330" i="17"/>
  <c r="K330" i="17"/>
  <c r="T329" i="17"/>
  <c r="P329" i="17"/>
  <c r="K329" i="17"/>
  <c r="P328" i="17"/>
  <c r="K328" i="17"/>
  <c r="P327" i="17"/>
  <c r="K327" i="17"/>
  <c r="P326" i="17"/>
  <c r="K326" i="17"/>
  <c r="P325" i="17"/>
  <c r="K325" i="17"/>
  <c r="T324" i="17"/>
  <c r="P324" i="17"/>
  <c r="K324" i="17"/>
  <c r="T323" i="17"/>
  <c r="P323" i="17"/>
  <c r="K323" i="17"/>
  <c r="P322" i="17"/>
  <c r="K322" i="17"/>
  <c r="P321" i="17"/>
  <c r="K321" i="17"/>
  <c r="P320" i="17"/>
  <c r="K320" i="17"/>
  <c r="P319" i="17"/>
  <c r="K319" i="17"/>
  <c r="T318" i="17"/>
  <c r="P318" i="17"/>
  <c r="K318" i="17"/>
  <c r="T317" i="17"/>
  <c r="P317" i="17"/>
  <c r="K317" i="17"/>
  <c r="P316" i="17"/>
  <c r="K316" i="17"/>
  <c r="P315" i="17"/>
  <c r="K315" i="17"/>
  <c r="P314" i="17"/>
  <c r="K314" i="17"/>
  <c r="P313" i="17"/>
  <c r="K313" i="17"/>
  <c r="P312" i="17"/>
  <c r="K312" i="17"/>
  <c r="T311" i="17"/>
  <c r="P311" i="17"/>
  <c r="K311" i="17"/>
  <c r="P310" i="17"/>
  <c r="K310" i="17"/>
  <c r="P309" i="17"/>
  <c r="K309" i="17"/>
  <c r="P308" i="17"/>
  <c r="K308" i="17"/>
  <c r="P307" i="17"/>
  <c r="K307" i="17"/>
  <c r="T306" i="17"/>
  <c r="P306" i="17"/>
  <c r="K306" i="17"/>
  <c r="T305" i="17"/>
  <c r="P305" i="17"/>
  <c r="K305" i="17"/>
  <c r="P304" i="17"/>
  <c r="K304" i="17"/>
  <c r="P303" i="17"/>
  <c r="K303" i="17"/>
  <c r="P302" i="17"/>
  <c r="K302" i="17"/>
  <c r="P301" i="17"/>
  <c r="K301" i="17"/>
  <c r="T300" i="17"/>
  <c r="P300" i="17"/>
  <c r="K300" i="17"/>
  <c r="T299" i="17"/>
  <c r="P299" i="17"/>
  <c r="K299" i="17"/>
  <c r="P298" i="17"/>
  <c r="K298" i="17"/>
  <c r="P297" i="17"/>
  <c r="K297" i="17"/>
  <c r="P296" i="17"/>
  <c r="K296" i="17"/>
  <c r="P295" i="17"/>
  <c r="K295" i="17"/>
  <c r="P294" i="17"/>
  <c r="K294" i="17"/>
  <c r="P293" i="17"/>
  <c r="K293" i="17"/>
  <c r="P292" i="17"/>
  <c r="K292" i="17"/>
  <c r="P291" i="17"/>
  <c r="K291" i="17"/>
  <c r="P290" i="17"/>
  <c r="K290" i="17"/>
  <c r="P289" i="17"/>
  <c r="K289" i="17"/>
  <c r="P288" i="17"/>
  <c r="K288" i="17"/>
  <c r="P287" i="17"/>
  <c r="K287" i="17"/>
  <c r="T286" i="17"/>
  <c r="P286" i="17"/>
  <c r="K286" i="17"/>
  <c r="P285" i="17"/>
  <c r="K285" i="17"/>
  <c r="P284" i="17"/>
  <c r="K284" i="17"/>
  <c r="P283" i="17"/>
  <c r="K283" i="17"/>
  <c r="T282" i="17"/>
  <c r="P282" i="17"/>
  <c r="K282" i="17"/>
  <c r="T281" i="17"/>
  <c r="P281" i="17"/>
  <c r="K281" i="17"/>
  <c r="P280" i="17"/>
  <c r="K280" i="17"/>
  <c r="P279" i="17"/>
  <c r="K279" i="17"/>
  <c r="T278" i="17"/>
  <c r="P278" i="17"/>
  <c r="K278" i="17"/>
  <c r="P277" i="17"/>
  <c r="K277" i="17"/>
  <c r="P276" i="17"/>
  <c r="K276" i="17"/>
  <c r="P275" i="17"/>
  <c r="K275" i="17"/>
  <c r="P274" i="17"/>
  <c r="K274" i="17"/>
  <c r="T273" i="17"/>
  <c r="P273" i="17"/>
  <c r="K273" i="17"/>
  <c r="T272" i="17"/>
  <c r="P272" i="17"/>
  <c r="K272" i="17"/>
  <c r="T271" i="17"/>
  <c r="P271" i="17"/>
  <c r="K271" i="17"/>
  <c r="P270" i="17"/>
  <c r="K270" i="17"/>
  <c r="T269" i="17"/>
  <c r="P269" i="17"/>
  <c r="K269" i="17"/>
  <c r="P268" i="17"/>
  <c r="K268" i="17"/>
  <c r="T267" i="17"/>
  <c r="P267" i="17"/>
  <c r="K267" i="17"/>
  <c r="P266" i="17"/>
  <c r="K266" i="17"/>
  <c r="P265" i="17"/>
  <c r="K265" i="17"/>
  <c r="P264" i="17"/>
  <c r="K264" i="17"/>
  <c r="P263" i="17"/>
  <c r="K263" i="17"/>
  <c r="P262" i="17"/>
  <c r="K262" i="17"/>
  <c r="P261" i="17"/>
  <c r="K261" i="17"/>
  <c r="P260" i="17"/>
  <c r="K260" i="17"/>
  <c r="T259" i="17"/>
  <c r="P259" i="17"/>
  <c r="K259" i="17"/>
  <c r="P258" i="17"/>
  <c r="K258" i="17"/>
  <c r="P257" i="17"/>
  <c r="K257" i="17"/>
  <c r="T256" i="17"/>
  <c r="P256" i="17"/>
  <c r="K256" i="17"/>
  <c r="P255" i="17"/>
  <c r="K255" i="17"/>
  <c r="T254" i="17"/>
  <c r="P254" i="17"/>
  <c r="K254" i="17"/>
  <c r="P253" i="17"/>
  <c r="K253" i="17"/>
  <c r="P252" i="17"/>
  <c r="K252" i="17"/>
  <c r="P251" i="17"/>
  <c r="K251" i="17"/>
  <c r="P250" i="17"/>
  <c r="K250" i="17"/>
  <c r="T249" i="17"/>
  <c r="S249" i="17"/>
  <c r="S3" i="17" s="1"/>
  <c r="O249" i="17"/>
  <c r="O3" i="17" s="1"/>
  <c r="J249" i="17"/>
  <c r="T248" i="17"/>
  <c r="P248" i="17"/>
  <c r="K248" i="17"/>
  <c r="P247" i="17"/>
  <c r="K247" i="17"/>
  <c r="T246" i="17"/>
  <c r="P246" i="17"/>
  <c r="K246" i="17"/>
  <c r="P245" i="17"/>
  <c r="K245" i="17"/>
  <c r="P244" i="17"/>
  <c r="K244" i="17"/>
  <c r="P243" i="17"/>
  <c r="K243" i="17"/>
  <c r="P242" i="17"/>
  <c r="K242" i="17"/>
  <c r="P241" i="17"/>
  <c r="K241" i="17"/>
  <c r="T240" i="17"/>
  <c r="P240" i="17"/>
  <c r="K240" i="17"/>
  <c r="P239" i="17"/>
  <c r="K239" i="17"/>
  <c r="P238" i="17"/>
  <c r="K238" i="17"/>
  <c r="T237" i="17"/>
  <c r="P237" i="17"/>
  <c r="K237" i="17"/>
  <c r="P236" i="17"/>
  <c r="K236" i="17"/>
  <c r="P235" i="17"/>
  <c r="K235" i="17"/>
  <c r="P234" i="17"/>
  <c r="K234" i="17"/>
  <c r="P233" i="17"/>
  <c r="K233" i="17"/>
  <c r="P232" i="17"/>
  <c r="K232" i="17"/>
  <c r="P231" i="17"/>
  <c r="K231" i="17"/>
  <c r="T230" i="17"/>
  <c r="P230" i="17"/>
  <c r="K230" i="17"/>
  <c r="P229" i="17"/>
  <c r="K229" i="17"/>
  <c r="T228" i="17"/>
  <c r="P228" i="17"/>
  <c r="K228" i="17"/>
  <c r="T227" i="17"/>
  <c r="P227" i="17"/>
  <c r="K227" i="17"/>
  <c r="P226" i="17"/>
  <c r="K226" i="17"/>
  <c r="P225" i="17"/>
  <c r="K225" i="17"/>
  <c r="P224" i="17"/>
  <c r="K224" i="17"/>
  <c r="P223" i="17"/>
  <c r="K223" i="17"/>
  <c r="P222" i="17"/>
  <c r="K222" i="17"/>
  <c r="P221" i="17"/>
  <c r="K221" i="17"/>
  <c r="P220" i="17"/>
  <c r="K220" i="17"/>
  <c r="P219" i="17"/>
  <c r="K219" i="17"/>
  <c r="P218" i="17"/>
  <c r="K218" i="17"/>
  <c r="P217" i="17"/>
  <c r="K217" i="17"/>
  <c r="P216" i="17"/>
  <c r="K216" i="17"/>
  <c r="T215" i="17"/>
  <c r="P215" i="17"/>
  <c r="K215" i="17"/>
  <c r="P214" i="17"/>
  <c r="K214" i="17"/>
  <c r="T213" i="17"/>
  <c r="P213" i="17"/>
  <c r="K213" i="17"/>
  <c r="T212" i="17"/>
  <c r="P212" i="17"/>
  <c r="K212" i="17"/>
  <c r="P211" i="17"/>
  <c r="K211" i="17"/>
  <c r="T210" i="17"/>
  <c r="P210" i="17"/>
  <c r="K210" i="17"/>
  <c r="T209" i="17"/>
  <c r="P209" i="17"/>
  <c r="K209" i="17"/>
  <c r="P208" i="17"/>
  <c r="K208" i="17"/>
  <c r="P207" i="17"/>
  <c r="K207" i="17"/>
  <c r="P206" i="17"/>
  <c r="K206" i="17"/>
  <c r="P205" i="17"/>
  <c r="K205" i="17"/>
  <c r="P204" i="17"/>
  <c r="K204" i="17"/>
  <c r="P203" i="17"/>
  <c r="K203" i="17"/>
  <c r="P202" i="17"/>
  <c r="K202" i="17"/>
  <c r="P201" i="17"/>
  <c r="K201" i="17"/>
  <c r="P200" i="17"/>
  <c r="K200" i="17"/>
  <c r="T199" i="17"/>
  <c r="P199" i="17"/>
  <c r="K199" i="17"/>
  <c r="P198" i="17"/>
  <c r="K198" i="17"/>
  <c r="P197" i="17"/>
  <c r="K197" i="17"/>
  <c r="P196" i="17"/>
  <c r="K196" i="17"/>
  <c r="T195" i="17"/>
  <c r="P195" i="17"/>
  <c r="K195" i="17"/>
  <c r="P194" i="17"/>
  <c r="K194" i="17"/>
  <c r="T193" i="17"/>
  <c r="P193" i="17"/>
  <c r="K193" i="17"/>
  <c r="P192" i="17"/>
  <c r="K192" i="17"/>
  <c r="P191" i="17"/>
  <c r="K191" i="17"/>
  <c r="P190" i="17"/>
  <c r="K190" i="17"/>
  <c r="P189" i="17"/>
  <c r="K189" i="17"/>
  <c r="T188" i="17"/>
  <c r="P188" i="17"/>
  <c r="K188" i="17"/>
  <c r="P187" i="17"/>
  <c r="K187" i="17"/>
  <c r="P186" i="17"/>
  <c r="K186" i="17"/>
  <c r="P185" i="17"/>
  <c r="K185" i="17"/>
  <c r="P184" i="17"/>
  <c r="K184" i="17"/>
  <c r="T183" i="17"/>
  <c r="P183" i="17"/>
  <c r="K183" i="17"/>
  <c r="P182" i="17"/>
  <c r="K182" i="17"/>
  <c r="P181" i="17"/>
  <c r="K181" i="17"/>
  <c r="P180" i="17"/>
  <c r="K180" i="17"/>
  <c r="P179" i="17"/>
  <c r="K179" i="17"/>
  <c r="P178" i="17"/>
  <c r="K178" i="17"/>
  <c r="T177" i="17"/>
  <c r="P177" i="17"/>
  <c r="K177" i="17"/>
  <c r="P176" i="17"/>
  <c r="K176" i="17"/>
  <c r="P175" i="17"/>
  <c r="K175" i="17"/>
  <c r="T174" i="17"/>
  <c r="P174" i="17"/>
  <c r="K174" i="17"/>
  <c r="T173" i="17"/>
  <c r="P173" i="17"/>
  <c r="K173" i="17"/>
  <c r="P172" i="17"/>
  <c r="K172" i="17"/>
  <c r="P171" i="17"/>
  <c r="K171" i="17"/>
  <c r="P170" i="17"/>
  <c r="K170" i="17"/>
  <c r="P169" i="17"/>
  <c r="K169" i="17"/>
  <c r="T168" i="17"/>
  <c r="P168" i="17"/>
  <c r="K168" i="17"/>
  <c r="P167" i="17"/>
  <c r="K167" i="17"/>
  <c r="P166" i="17"/>
  <c r="K166" i="17"/>
  <c r="P165" i="17"/>
  <c r="K165" i="17"/>
  <c r="P164" i="17"/>
  <c r="K164" i="17"/>
  <c r="T163" i="17"/>
  <c r="P163" i="17"/>
  <c r="K163" i="17"/>
  <c r="P162" i="17"/>
  <c r="K162" i="17"/>
  <c r="P161" i="17"/>
  <c r="K161" i="17"/>
  <c r="P160" i="17"/>
  <c r="K160" i="17"/>
  <c r="P159" i="17"/>
  <c r="K159" i="17"/>
  <c r="T158" i="17"/>
  <c r="P158" i="17"/>
  <c r="K158" i="17"/>
  <c r="P157" i="17"/>
  <c r="K157" i="17"/>
  <c r="P156" i="17"/>
  <c r="K156" i="17"/>
  <c r="P155" i="17"/>
  <c r="K155" i="17"/>
  <c r="T154" i="17"/>
  <c r="P154" i="17"/>
  <c r="K154" i="17"/>
  <c r="P153" i="17"/>
  <c r="K153" i="17"/>
  <c r="T152" i="17"/>
  <c r="P152" i="17"/>
  <c r="K152" i="17"/>
  <c r="P151" i="17"/>
  <c r="K151" i="17"/>
  <c r="P150" i="17"/>
  <c r="K150" i="17"/>
  <c r="P149" i="17"/>
  <c r="K149" i="17"/>
  <c r="P148" i="17"/>
  <c r="K148" i="17"/>
  <c r="T147" i="17"/>
  <c r="P147" i="17"/>
  <c r="K147" i="17"/>
  <c r="P146" i="17"/>
  <c r="K146" i="17"/>
  <c r="T145" i="17"/>
  <c r="P145" i="17"/>
  <c r="K145" i="17"/>
  <c r="P144" i="17"/>
  <c r="K144" i="17"/>
  <c r="P143" i="17"/>
  <c r="K143" i="17"/>
  <c r="P142" i="17"/>
  <c r="K142" i="17"/>
  <c r="P141" i="17"/>
  <c r="K141" i="17"/>
  <c r="P140" i="17"/>
  <c r="K140" i="17"/>
  <c r="P139" i="17"/>
  <c r="K139" i="17"/>
  <c r="P138" i="17"/>
  <c r="K138" i="17"/>
  <c r="P137" i="17"/>
  <c r="K137" i="17"/>
  <c r="T136" i="17"/>
  <c r="P136" i="17"/>
  <c r="K136" i="17"/>
  <c r="P135" i="17"/>
  <c r="K135" i="17"/>
  <c r="P134" i="17"/>
  <c r="K134" i="17"/>
  <c r="T133" i="17"/>
  <c r="P133" i="17"/>
  <c r="K133" i="17"/>
  <c r="P132" i="17"/>
  <c r="K132" i="17"/>
  <c r="T131" i="17"/>
  <c r="P131" i="17"/>
  <c r="K131" i="17"/>
  <c r="T130" i="17"/>
  <c r="P130" i="17"/>
  <c r="K130" i="17"/>
  <c r="T129" i="17"/>
  <c r="P129" i="17"/>
  <c r="K129" i="17"/>
  <c r="P128" i="17"/>
  <c r="K128" i="17"/>
  <c r="P127" i="17"/>
  <c r="K127" i="17"/>
  <c r="P126" i="17"/>
  <c r="K126" i="17"/>
  <c r="P125" i="17"/>
  <c r="K125" i="17"/>
  <c r="T124" i="17"/>
  <c r="P124" i="17"/>
  <c r="K124" i="17"/>
  <c r="P123" i="17"/>
  <c r="K123" i="17"/>
  <c r="P122" i="17"/>
  <c r="K122" i="17"/>
  <c r="P121" i="17"/>
  <c r="K121" i="17"/>
  <c r="P120" i="17"/>
  <c r="K120" i="17"/>
  <c r="P119" i="17"/>
  <c r="K119" i="17"/>
  <c r="P118" i="17"/>
  <c r="K118" i="17"/>
  <c r="P117" i="17"/>
  <c r="K117" i="17"/>
  <c r="T116" i="17"/>
  <c r="P116" i="17"/>
  <c r="K116" i="17"/>
  <c r="P115" i="17"/>
  <c r="K115" i="17"/>
  <c r="T114" i="17"/>
  <c r="P114" i="17"/>
  <c r="K114" i="17"/>
  <c r="P113" i="17"/>
  <c r="K113" i="17"/>
  <c r="T112" i="17"/>
  <c r="P112" i="17"/>
  <c r="K112" i="17"/>
  <c r="P111" i="17"/>
  <c r="K111" i="17"/>
  <c r="P110" i="17"/>
  <c r="K110" i="17"/>
  <c r="P109" i="17"/>
  <c r="K109" i="17"/>
  <c r="P108" i="17"/>
  <c r="K108" i="17"/>
  <c r="T107" i="17"/>
  <c r="P107" i="17"/>
  <c r="K107" i="17"/>
  <c r="P106" i="17"/>
  <c r="K106" i="17"/>
  <c r="T105" i="17"/>
  <c r="P105" i="17"/>
  <c r="K105" i="17"/>
  <c r="P104" i="17"/>
  <c r="K104" i="17"/>
  <c r="P103" i="17"/>
  <c r="K103" i="17"/>
  <c r="T102" i="17"/>
  <c r="P102" i="17"/>
  <c r="K102" i="17"/>
  <c r="P101" i="17"/>
  <c r="K101" i="17"/>
  <c r="T100" i="17"/>
  <c r="P100" i="17"/>
  <c r="K100" i="17"/>
  <c r="P99" i="17"/>
  <c r="K99" i="17"/>
  <c r="P98" i="17"/>
  <c r="K98" i="17"/>
  <c r="P97" i="17"/>
  <c r="K97" i="17"/>
  <c r="T96" i="17"/>
  <c r="P96" i="17"/>
  <c r="K96" i="17"/>
  <c r="P95" i="17"/>
  <c r="K95" i="17"/>
  <c r="T94" i="17"/>
  <c r="P94" i="17"/>
  <c r="K94" i="17"/>
  <c r="P93" i="17"/>
  <c r="K93" i="17"/>
  <c r="P92" i="17"/>
  <c r="K92" i="17"/>
  <c r="P91" i="17"/>
  <c r="K91" i="17"/>
  <c r="P90" i="17"/>
  <c r="K90" i="17"/>
  <c r="P89" i="17"/>
  <c r="K89" i="17"/>
  <c r="P88" i="17"/>
  <c r="K88" i="17"/>
  <c r="P87" i="17"/>
  <c r="K87" i="17"/>
  <c r="P86" i="17"/>
  <c r="K86" i="17"/>
  <c r="P85" i="17"/>
  <c r="K85" i="17"/>
  <c r="P84" i="17"/>
  <c r="K84" i="17"/>
  <c r="T83" i="17"/>
  <c r="P83" i="17"/>
  <c r="K83" i="17"/>
  <c r="P82" i="17"/>
  <c r="K82" i="17"/>
  <c r="P81" i="17"/>
  <c r="K81" i="17"/>
  <c r="T80" i="17"/>
  <c r="P80" i="17"/>
  <c r="K80" i="17"/>
  <c r="P79" i="17"/>
  <c r="K79" i="17"/>
  <c r="P78" i="17"/>
  <c r="K78" i="17"/>
  <c r="P77" i="17"/>
  <c r="K77" i="17"/>
  <c r="P76" i="17"/>
  <c r="K76" i="17"/>
  <c r="T75" i="17"/>
  <c r="P75" i="17"/>
  <c r="K75" i="17"/>
  <c r="P74" i="17"/>
  <c r="K74" i="17"/>
  <c r="P73" i="17"/>
  <c r="K73" i="17"/>
  <c r="T72" i="17"/>
  <c r="P72" i="17"/>
  <c r="K72" i="17"/>
  <c r="P71" i="17"/>
  <c r="K71" i="17"/>
  <c r="P70" i="17"/>
  <c r="K70" i="17"/>
  <c r="P69" i="17"/>
  <c r="K69" i="17"/>
  <c r="P68" i="17"/>
  <c r="K68" i="17"/>
  <c r="P67" i="17"/>
  <c r="K67" i="17"/>
  <c r="P66" i="17"/>
  <c r="K66" i="17"/>
  <c r="T65" i="17"/>
  <c r="P65" i="17"/>
  <c r="K65" i="17"/>
  <c r="P64" i="17"/>
  <c r="K64" i="17"/>
  <c r="P63" i="17"/>
  <c r="K63" i="17"/>
  <c r="P62" i="17"/>
  <c r="K62" i="17"/>
  <c r="T61" i="17"/>
  <c r="P61" i="17"/>
  <c r="K61" i="17"/>
  <c r="P60" i="17"/>
  <c r="K60" i="17"/>
  <c r="T59" i="17"/>
  <c r="P59" i="17"/>
  <c r="K59" i="17"/>
  <c r="P58" i="17"/>
  <c r="K58" i="17"/>
  <c r="T57" i="17"/>
  <c r="P57" i="17"/>
  <c r="K57" i="17"/>
  <c r="P56" i="17"/>
  <c r="K56" i="17"/>
  <c r="P55" i="17"/>
  <c r="K55" i="17"/>
  <c r="P54" i="17"/>
  <c r="K54" i="17"/>
  <c r="T53" i="17"/>
  <c r="P53" i="17"/>
  <c r="K53" i="17"/>
  <c r="T52" i="17"/>
  <c r="P52" i="17"/>
  <c r="K52" i="17"/>
  <c r="P51" i="17"/>
  <c r="K51" i="17"/>
  <c r="P50" i="17"/>
  <c r="K50" i="17"/>
  <c r="T49" i="17"/>
  <c r="P49" i="17"/>
  <c r="K49" i="17"/>
  <c r="P48" i="17"/>
  <c r="K48" i="17"/>
  <c r="P47" i="17"/>
  <c r="K47" i="17"/>
  <c r="T46" i="17"/>
  <c r="P46" i="17"/>
  <c r="K46" i="17"/>
  <c r="T45" i="17"/>
  <c r="P45" i="17"/>
  <c r="K45" i="17"/>
  <c r="P44" i="17"/>
  <c r="K44" i="17"/>
  <c r="P43" i="17"/>
  <c r="K43" i="17"/>
  <c r="P42" i="17"/>
  <c r="K42" i="17"/>
  <c r="T41" i="17"/>
  <c r="P41" i="17"/>
  <c r="K41" i="17"/>
  <c r="P40" i="17"/>
  <c r="K40" i="17"/>
  <c r="P39" i="17"/>
  <c r="K39" i="17"/>
  <c r="P38" i="17"/>
  <c r="K38" i="17"/>
  <c r="P37" i="17"/>
  <c r="K37" i="17"/>
  <c r="P36" i="17"/>
  <c r="K36" i="17"/>
  <c r="P35" i="17"/>
  <c r="K35" i="17"/>
  <c r="P34" i="17"/>
  <c r="K34" i="17"/>
  <c r="P33" i="17"/>
  <c r="K33" i="17"/>
  <c r="P32" i="17"/>
  <c r="K32" i="17"/>
  <c r="P31" i="17"/>
  <c r="K31" i="17"/>
  <c r="P30" i="17"/>
  <c r="K30" i="17"/>
  <c r="P29" i="17"/>
  <c r="K29" i="17"/>
  <c r="P28" i="17"/>
  <c r="K28" i="17"/>
  <c r="P27" i="17"/>
  <c r="K27" i="17"/>
  <c r="P26" i="17"/>
  <c r="K26" i="17"/>
  <c r="P25" i="17"/>
  <c r="K25" i="17"/>
  <c r="T24" i="17"/>
  <c r="P24" i="17"/>
  <c r="K24" i="17"/>
  <c r="P23" i="17"/>
  <c r="K23" i="17"/>
  <c r="P22" i="17"/>
  <c r="K22" i="17"/>
  <c r="T21" i="17"/>
  <c r="P21" i="17"/>
  <c r="K21" i="17"/>
  <c r="P20" i="17"/>
  <c r="K20" i="17"/>
  <c r="P19" i="17"/>
  <c r="K19" i="17"/>
  <c r="P18" i="17"/>
  <c r="K18" i="17"/>
  <c r="T17" i="17"/>
  <c r="P17" i="17"/>
  <c r="K17" i="17"/>
  <c r="P16" i="17"/>
  <c r="K16" i="17"/>
  <c r="P15" i="17"/>
  <c r="K15" i="17"/>
  <c r="T14" i="17"/>
  <c r="P14" i="17"/>
  <c r="K14" i="17"/>
  <c r="P13" i="17"/>
  <c r="K13" i="17"/>
  <c r="P12" i="17"/>
  <c r="K12" i="17"/>
  <c r="P11" i="17"/>
  <c r="K11" i="17"/>
  <c r="P9" i="17"/>
  <c r="K9" i="17"/>
  <c r="K676" i="17" l="1"/>
  <c r="T3" i="17"/>
  <c r="J3" i="17"/>
  <c r="I3" i="17"/>
  <c r="P3" i="17"/>
  <c r="G3" i="17"/>
  <c r="P783" i="17"/>
  <c r="K783" i="17"/>
  <c r="K249" i="17"/>
  <c r="K3" i="17" s="1"/>
  <c r="P249" i="17"/>
  <c r="P812" i="16" l="1"/>
  <c r="P804" i="16"/>
  <c r="K812" i="16"/>
  <c r="K804" i="16"/>
  <c r="P694" i="16"/>
  <c r="K694" i="16"/>
  <c r="P253" i="16"/>
  <c r="K253" i="16"/>
  <c r="P361" i="16"/>
  <c r="K361" i="16"/>
  <c r="P254" i="16"/>
  <c r="P222" i="16"/>
  <c r="K254" i="16"/>
  <c r="K222" i="16"/>
  <c r="P97" i="16"/>
  <c r="K97" i="16"/>
  <c r="F95" i="18" l="1"/>
  <c r="A29" i="12" l="1"/>
  <c r="E42" i="18" l="1"/>
  <c r="A31" i="12" l="1"/>
  <c r="F94" i="18" l="1"/>
  <c r="E94" i="18"/>
  <c r="P928" i="16" l="1"/>
  <c r="K928" i="16"/>
  <c r="P927" i="16"/>
  <c r="K927" i="16"/>
  <c r="P926" i="16"/>
  <c r="K926" i="16"/>
  <c r="P925" i="16"/>
  <c r="K925" i="16"/>
  <c r="P924" i="16"/>
  <c r="K924" i="16"/>
  <c r="P923" i="16"/>
  <c r="K923" i="16"/>
  <c r="P922" i="16"/>
  <c r="K922" i="16"/>
  <c r="P921" i="16"/>
  <c r="K921" i="16"/>
  <c r="P920" i="16"/>
  <c r="K920" i="16"/>
  <c r="P919" i="16"/>
  <c r="K919" i="16"/>
  <c r="P918" i="16"/>
  <c r="K918" i="16"/>
  <c r="P917" i="16"/>
  <c r="K917" i="16"/>
  <c r="P916" i="16"/>
  <c r="K916" i="16"/>
  <c r="P915" i="16"/>
  <c r="K915" i="16"/>
  <c r="P914" i="16"/>
  <c r="K914" i="16"/>
  <c r="P913" i="16"/>
  <c r="K913" i="16"/>
  <c r="P912" i="16"/>
  <c r="K912" i="16"/>
  <c r="P911" i="16"/>
  <c r="K911" i="16"/>
  <c r="P910" i="16"/>
  <c r="K910" i="16"/>
  <c r="P909" i="16"/>
  <c r="K909" i="16"/>
  <c r="P908" i="16"/>
  <c r="K908" i="16"/>
  <c r="P907" i="16"/>
  <c r="K907" i="16"/>
  <c r="P906" i="16"/>
  <c r="K906" i="16"/>
  <c r="P905" i="16"/>
  <c r="K905" i="16"/>
  <c r="P904" i="16"/>
  <c r="K904" i="16"/>
  <c r="P903" i="16"/>
  <c r="K903" i="16"/>
  <c r="P902" i="16"/>
  <c r="K902" i="16"/>
  <c r="P901" i="16"/>
  <c r="K901" i="16"/>
  <c r="P900" i="16"/>
  <c r="K900" i="16"/>
  <c r="P899" i="16"/>
  <c r="K899" i="16"/>
  <c r="P898" i="16"/>
  <c r="K898" i="16"/>
  <c r="P897" i="16"/>
  <c r="K897" i="16"/>
  <c r="P896" i="16"/>
  <c r="K896" i="16"/>
  <c r="P895" i="16"/>
  <c r="K895" i="16"/>
  <c r="P894" i="16"/>
  <c r="K894" i="16"/>
  <c r="P893" i="16"/>
  <c r="K893" i="16"/>
  <c r="P892" i="16"/>
  <c r="K892" i="16"/>
  <c r="P891" i="16"/>
  <c r="K891" i="16"/>
  <c r="P890" i="16"/>
  <c r="K890" i="16"/>
  <c r="P889" i="16"/>
  <c r="K889" i="16"/>
  <c r="P888" i="16"/>
  <c r="K888" i="16"/>
  <c r="P887" i="16"/>
  <c r="K887" i="16"/>
  <c r="P886" i="16"/>
  <c r="K886" i="16"/>
  <c r="P885" i="16"/>
  <c r="K885" i="16"/>
  <c r="P884" i="16"/>
  <c r="K884" i="16"/>
  <c r="P883" i="16"/>
  <c r="K883" i="16"/>
  <c r="P882" i="16"/>
  <c r="K882" i="16"/>
  <c r="P881" i="16"/>
  <c r="K881" i="16"/>
  <c r="P880" i="16"/>
  <c r="K880" i="16"/>
  <c r="P879" i="16"/>
  <c r="K879" i="16"/>
  <c r="P878" i="16"/>
  <c r="K878" i="16"/>
  <c r="P877" i="16"/>
  <c r="K877" i="16"/>
  <c r="P876" i="16"/>
  <c r="K876" i="16"/>
  <c r="P875" i="16"/>
  <c r="K875" i="16"/>
  <c r="P874" i="16"/>
  <c r="K874" i="16"/>
  <c r="P873" i="16"/>
  <c r="K873" i="16"/>
  <c r="P872" i="16"/>
  <c r="K872" i="16"/>
  <c r="P871" i="16"/>
  <c r="K871" i="16"/>
  <c r="P870" i="16"/>
  <c r="K870" i="16"/>
  <c r="P869" i="16"/>
  <c r="K869" i="16"/>
  <c r="P868" i="16"/>
  <c r="K868" i="16"/>
  <c r="P867" i="16"/>
  <c r="K867" i="16"/>
  <c r="P866" i="16"/>
  <c r="K866" i="16"/>
  <c r="P865" i="16"/>
  <c r="K865" i="16"/>
  <c r="P864" i="16"/>
  <c r="K864" i="16"/>
  <c r="P863" i="16"/>
  <c r="K863" i="16"/>
  <c r="P862" i="16"/>
  <c r="K862" i="16"/>
  <c r="P861" i="16"/>
  <c r="K861" i="16"/>
  <c r="P860" i="16"/>
  <c r="K860" i="16"/>
  <c r="P859" i="16"/>
  <c r="K859" i="16"/>
  <c r="P858" i="16"/>
  <c r="K858" i="16"/>
  <c r="P857" i="16"/>
  <c r="K857" i="16"/>
  <c r="P856" i="16"/>
  <c r="K856" i="16"/>
  <c r="P855" i="16"/>
  <c r="K855" i="16"/>
  <c r="P854" i="16"/>
  <c r="K854" i="16"/>
  <c r="P853" i="16"/>
  <c r="K853" i="16"/>
  <c r="P852" i="16"/>
  <c r="K852" i="16"/>
  <c r="P851" i="16"/>
  <c r="K851" i="16"/>
  <c r="P850" i="16"/>
  <c r="K850" i="16"/>
  <c r="P849" i="16"/>
  <c r="K849" i="16"/>
  <c r="P848" i="16"/>
  <c r="K848" i="16"/>
  <c r="P847" i="16"/>
  <c r="K847" i="16"/>
  <c r="P846" i="16"/>
  <c r="K846" i="16"/>
  <c r="P845" i="16"/>
  <c r="K845" i="16"/>
  <c r="P844" i="16"/>
  <c r="K844" i="16"/>
  <c r="P843" i="16"/>
  <c r="K843" i="16"/>
  <c r="P842" i="16"/>
  <c r="K842" i="16"/>
  <c r="P841" i="16"/>
  <c r="K841" i="16"/>
  <c r="P840" i="16"/>
  <c r="K840" i="16"/>
  <c r="P839" i="16"/>
  <c r="K839" i="16"/>
  <c r="P838" i="16"/>
  <c r="K838" i="16"/>
  <c r="P837" i="16"/>
  <c r="K837" i="16"/>
  <c r="P836" i="16"/>
  <c r="K836" i="16"/>
  <c r="P835" i="16"/>
  <c r="K835" i="16"/>
  <c r="P834" i="16"/>
  <c r="K834" i="16"/>
  <c r="P833" i="16"/>
  <c r="K833" i="16"/>
  <c r="P832" i="16"/>
  <c r="K832" i="16"/>
  <c r="P831" i="16"/>
  <c r="K831" i="16"/>
  <c r="P830" i="16"/>
  <c r="K830" i="16"/>
  <c r="P829" i="16"/>
  <c r="K829" i="16"/>
  <c r="P828" i="16"/>
  <c r="K828" i="16"/>
  <c r="P827" i="16"/>
  <c r="K827" i="16"/>
  <c r="P826" i="16"/>
  <c r="K826" i="16"/>
  <c r="P825" i="16"/>
  <c r="K825" i="16"/>
  <c r="P824" i="16"/>
  <c r="K824" i="16"/>
  <c r="P823" i="16"/>
  <c r="K823" i="16"/>
  <c r="P821" i="16"/>
  <c r="K821" i="16"/>
  <c r="P820" i="16"/>
  <c r="K820" i="16"/>
  <c r="P819" i="16"/>
  <c r="K819" i="16"/>
  <c r="P818" i="16"/>
  <c r="K818" i="16"/>
  <c r="P817" i="16"/>
  <c r="K817" i="16"/>
  <c r="P816" i="16"/>
  <c r="K816" i="16"/>
  <c r="P815" i="16"/>
  <c r="K815" i="16"/>
  <c r="P814" i="16"/>
  <c r="K814" i="16"/>
  <c r="P811" i="16"/>
  <c r="P813" i="16" s="1"/>
  <c r="K811" i="16"/>
  <c r="K813" i="16" s="1"/>
  <c r="P810" i="16"/>
  <c r="K810" i="16"/>
  <c r="P809" i="16"/>
  <c r="K809" i="16"/>
  <c r="P808" i="16"/>
  <c r="K808" i="16"/>
  <c r="P807" i="16"/>
  <c r="K807" i="16"/>
  <c r="P806" i="16"/>
  <c r="K806" i="16"/>
  <c r="P805" i="16"/>
  <c r="K805" i="16"/>
  <c r="P803" i="16"/>
  <c r="K803" i="16"/>
  <c r="P802" i="16"/>
  <c r="K802" i="16"/>
  <c r="P801" i="16"/>
  <c r="K801" i="16"/>
  <c r="P800" i="16"/>
  <c r="K800" i="16"/>
  <c r="P799" i="16"/>
  <c r="K799" i="16"/>
  <c r="P798" i="16"/>
  <c r="K798" i="16"/>
  <c r="F59" i="18"/>
  <c r="P794" i="16"/>
  <c r="K794" i="16"/>
  <c r="P793" i="16"/>
  <c r="K793" i="16"/>
  <c r="P792" i="16"/>
  <c r="K792" i="16"/>
  <c r="P791" i="16"/>
  <c r="K791" i="16"/>
  <c r="P790" i="16"/>
  <c r="K790" i="16"/>
  <c r="P789" i="16"/>
  <c r="K789" i="16"/>
  <c r="P788" i="16"/>
  <c r="K788" i="16"/>
  <c r="P787" i="16"/>
  <c r="K787" i="16"/>
  <c r="P786" i="16"/>
  <c r="K786" i="16"/>
  <c r="P785" i="16"/>
  <c r="K785" i="16"/>
  <c r="P784" i="16"/>
  <c r="K784" i="16"/>
  <c r="P783" i="16"/>
  <c r="K783" i="16"/>
  <c r="P782" i="16"/>
  <c r="K782" i="16"/>
  <c r="P781" i="16"/>
  <c r="K781" i="16"/>
  <c r="P780" i="16"/>
  <c r="K780" i="16"/>
  <c r="P779" i="16"/>
  <c r="K779" i="16"/>
  <c r="P778" i="16"/>
  <c r="K778" i="16"/>
  <c r="P777" i="16"/>
  <c r="K777" i="16"/>
  <c r="P776" i="16"/>
  <c r="K776" i="16"/>
  <c r="P775" i="16"/>
  <c r="K775" i="16"/>
  <c r="P774" i="16"/>
  <c r="K774" i="16"/>
  <c r="P773" i="16"/>
  <c r="K773" i="16"/>
  <c r="P772" i="16"/>
  <c r="K772" i="16"/>
  <c r="P771" i="16"/>
  <c r="K771" i="16"/>
  <c r="P770" i="16"/>
  <c r="K770" i="16"/>
  <c r="P769" i="16"/>
  <c r="K769" i="16"/>
  <c r="P768" i="16"/>
  <c r="K768" i="16"/>
  <c r="P767" i="16"/>
  <c r="K767" i="16"/>
  <c r="P766" i="16"/>
  <c r="K766" i="16"/>
  <c r="P765" i="16"/>
  <c r="K765" i="16"/>
  <c r="P764" i="16"/>
  <c r="K764" i="16"/>
  <c r="P763" i="16"/>
  <c r="K763" i="16"/>
  <c r="P762" i="16"/>
  <c r="K762" i="16"/>
  <c r="P761" i="16"/>
  <c r="K761" i="16"/>
  <c r="P760" i="16"/>
  <c r="K760" i="16"/>
  <c r="P759" i="16"/>
  <c r="K759" i="16"/>
  <c r="P758" i="16"/>
  <c r="K758" i="16"/>
  <c r="P757" i="16"/>
  <c r="K757" i="16"/>
  <c r="P756" i="16"/>
  <c r="K756" i="16"/>
  <c r="P755" i="16"/>
  <c r="K755" i="16"/>
  <c r="P754" i="16"/>
  <c r="K754" i="16"/>
  <c r="P753" i="16"/>
  <c r="K753" i="16"/>
  <c r="P752" i="16"/>
  <c r="K752" i="16"/>
  <c r="P751" i="16"/>
  <c r="K751" i="16"/>
  <c r="P750" i="16"/>
  <c r="K750" i="16"/>
  <c r="P749" i="16"/>
  <c r="K749" i="16"/>
  <c r="P748" i="16"/>
  <c r="K748" i="16"/>
  <c r="P747" i="16"/>
  <c r="K747" i="16"/>
  <c r="P746" i="16"/>
  <c r="K746" i="16"/>
  <c r="P745" i="16"/>
  <c r="K745" i="16"/>
  <c r="P744" i="16"/>
  <c r="K744" i="16"/>
  <c r="P743" i="16"/>
  <c r="K743" i="16"/>
  <c r="P742" i="16"/>
  <c r="K742" i="16"/>
  <c r="P741" i="16"/>
  <c r="K741" i="16"/>
  <c r="P740" i="16"/>
  <c r="K740" i="16"/>
  <c r="P739" i="16"/>
  <c r="K739" i="16"/>
  <c r="P738" i="16"/>
  <c r="K738" i="16"/>
  <c r="P737" i="16"/>
  <c r="K737" i="16"/>
  <c r="P736" i="16"/>
  <c r="K736" i="16"/>
  <c r="P735" i="16"/>
  <c r="K735" i="16"/>
  <c r="P734" i="16"/>
  <c r="K734" i="16"/>
  <c r="P733" i="16"/>
  <c r="K733" i="16"/>
  <c r="P732" i="16"/>
  <c r="K732" i="16"/>
  <c r="P731" i="16"/>
  <c r="K731" i="16"/>
  <c r="P730" i="16"/>
  <c r="K730" i="16"/>
  <c r="P729" i="16"/>
  <c r="K729" i="16"/>
  <c r="P728" i="16"/>
  <c r="K728" i="16"/>
  <c r="P727" i="16"/>
  <c r="K727" i="16"/>
  <c r="P726" i="16"/>
  <c r="K726" i="16"/>
  <c r="P725" i="16"/>
  <c r="K725" i="16"/>
  <c r="P724" i="16"/>
  <c r="K724" i="16"/>
  <c r="P723" i="16"/>
  <c r="K723" i="16"/>
  <c r="P722" i="16"/>
  <c r="K722" i="16"/>
  <c r="P721" i="16"/>
  <c r="K721" i="16"/>
  <c r="P720" i="16"/>
  <c r="K720" i="16"/>
  <c r="P719" i="16"/>
  <c r="K719" i="16"/>
  <c r="P718" i="16"/>
  <c r="K718" i="16"/>
  <c r="P717" i="16"/>
  <c r="K717" i="16"/>
  <c r="P716" i="16"/>
  <c r="K716" i="16"/>
  <c r="P715" i="16"/>
  <c r="K715" i="16"/>
  <c r="P714" i="16"/>
  <c r="K714" i="16"/>
  <c r="P713" i="16"/>
  <c r="K713" i="16"/>
  <c r="P712" i="16"/>
  <c r="K712" i="16"/>
  <c r="P711" i="16"/>
  <c r="K711" i="16"/>
  <c r="P710" i="16"/>
  <c r="K710" i="16"/>
  <c r="P709" i="16"/>
  <c r="K709" i="16"/>
  <c r="P708" i="16"/>
  <c r="K708" i="16"/>
  <c r="P707" i="16"/>
  <c r="K707" i="16"/>
  <c r="P706" i="16"/>
  <c r="K706" i="16"/>
  <c r="P705" i="16"/>
  <c r="K705" i="16"/>
  <c r="P704" i="16"/>
  <c r="K704" i="16"/>
  <c r="P703" i="16"/>
  <c r="K703" i="16"/>
  <c r="P702" i="16"/>
  <c r="K702" i="16"/>
  <c r="P701" i="16"/>
  <c r="K701" i="16"/>
  <c r="P700" i="16"/>
  <c r="K700" i="16"/>
  <c r="P699" i="16"/>
  <c r="K699" i="16"/>
  <c r="P698" i="16"/>
  <c r="K698" i="16"/>
  <c r="P697" i="16"/>
  <c r="K697" i="16"/>
  <c r="P696" i="16"/>
  <c r="K696" i="16"/>
  <c r="P695" i="16"/>
  <c r="K695" i="16"/>
  <c r="P693" i="16"/>
  <c r="K693" i="16"/>
  <c r="P692" i="16"/>
  <c r="K692" i="16"/>
  <c r="P691" i="16"/>
  <c r="K691" i="16"/>
  <c r="P690" i="16"/>
  <c r="K690" i="16"/>
  <c r="P689" i="16"/>
  <c r="K689" i="16"/>
  <c r="P688" i="16"/>
  <c r="K688" i="16"/>
  <c r="P686" i="16"/>
  <c r="K686" i="16"/>
  <c r="P685" i="16"/>
  <c r="K685" i="16"/>
  <c r="P684" i="16"/>
  <c r="K684" i="16"/>
  <c r="P683" i="16"/>
  <c r="K683" i="16"/>
  <c r="P682" i="16"/>
  <c r="K682" i="16"/>
  <c r="P681" i="16"/>
  <c r="K681" i="16"/>
  <c r="P680" i="16"/>
  <c r="K680" i="16"/>
  <c r="P679" i="16"/>
  <c r="K679" i="16"/>
  <c r="P678" i="16"/>
  <c r="K678" i="16"/>
  <c r="P677" i="16"/>
  <c r="K677" i="16"/>
  <c r="P676" i="16"/>
  <c r="K676" i="16"/>
  <c r="P675" i="16"/>
  <c r="K675" i="16"/>
  <c r="P674" i="16"/>
  <c r="K674" i="16"/>
  <c r="P673" i="16"/>
  <c r="K673" i="16"/>
  <c r="P672" i="16"/>
  <c r="K672" i="16"/>
  <c r="P671" i="16"/>
  <c r="K671" i="16"/>
  <c r="P670" i="16"/>
  <c r="K670" i="16"/>
  <c r="P669" i="16"/>
  <c r="K669" i="16"/>
  <c r="P668" i="16"/>
  <c r="K668" i="16"/>
  <c r="P667" i="16"/>
  <c r="K667" i="16"/>
  <c r="P666" i="16"/>
  <c r="K666" i="16"/>
  <c r="P665" i="16"/>
  <c r="K665" i="16"/>
  <c r="P664" i="16"/>
  <c r="K664" i="16"/>
  <c r="P663" i="16"/>
  <c r="K663" i="16"/>
  <c r="P662" i="16"/>
  <c r="K662" i="16"/>
  <c r="P661" i="16"/>
  <c r="K661" i="16"/>
  <c r="P660" i="16"/>
  <c r="K660" i="16"/>
  <c r="P659" i="16"/>
  <c r="K659" i="16"/>
  <c r="P658" i="16"/>
  <c r="K658" i="16"/>
  <c r="P657" i="16"/>
  <c r="K657" i="16"/>
  <c r="P656" i="16"/>
  <c r="K656" i="16"/>
  <c r="P655" i="16"/>
  <c r="K655" i="16"/>
  <c r="P654" i="16"/>
  <c r="K654" i="16"/>
  <c r="P653" i="16"/>
  <c r="K653" i="16"/>
  <c r="P652" i="16"/>
  <c r="K652" i="16"/>
  <c r="P651" i="16"/>
  <c r="K651" i="16"/>
  <c r="P650" i="16"/>
  <c r="K650" i="16"/>
  <c r="P649" i="16"/>
  <c r="K649" i="16"/>
  <c r="P648" i="16"/>
  <c r="K648" i="16"/>
  <c r="P647" i="16"/>
  <c r="K647" i="16"/>
  <c r="P646" i="16"/>
  <c r="K646" i="16"/>
  <c r="P645" i="16"/>
  <c r="K645" i="16"/>
  <c r="P644" i="16"/>
  <c r="K644" i="16"/>
  <c r="P643" i="16"/>
  <c r="K643" i="16"/>
  <c r="P642" i="16"/>
  <c r="K642" i="16"/>
  <c r="P641" i="16"/>
  <c r="K641" i="16"/>
  <c r="P640" i="16"/>
  <c r="K640" i="16"/>
  <c r="P639" i="16"/>
  <c r="K639" i="16"/>
  <c r="P638" i="16"/>
  <c r="K638" i="16"/>
  <c r="P637" i="16"/>
  <c r="K637" i="16"/>
  <c r="P636" i="16"/>
  <c r="K636" i="16"/>
  <c r="P635" i="16"/>
  <c r="K635" i="16"/>
  <c r="P634" i="16"/>
  <c r="K634" i="16"/>
  <c r="P633" i="16"/>
  <c r="K633" i="16"/>
  <c r="P632" i="16"/>
  <c r="K632" i="16"/>
  <c r="P631" i="16"/>
  <c r="K631" i="16"/>
  <c r="P630" i="16"/>
  <c r="K630" i="16"/>
  <c r="P629" i="16"/>
  <c r="K629" i="16"/>
  <c r="P628" i="16"/>
  <c r="K628" i="16"/>
  <c r="P627" i="16"/>
  <c r="K627" i="16"/>
  <c r="P626" i="16"/>
  <c r="K626" i="16"/>
  <c r="P625" i="16"/>
  <c r="K625" i="16"/>
  <c r="P624" i="16"/>
  <c r="K624" i="16"/>
  <c r="P623" i="16"/>
  <c r="K623" i="16"/>
  <c r="P622" i="16"/>
  <c r="K622" i="16"/>
  <c r="P621" i="16"/>
  <c r="K621" i="16"/>
  <c r="P620" i="16"/>
  <c r="K620" i="16"/>
  <c r="P619" i="16"/>
  <c r="K619" i="16"/>
  <c r="P618" i="16"/>
  <c r="K618" i="16"/>
  <c r="P617" i="16"/>
  <c r="K617" i="16"/>
  <c r="P616" i="16"/>
  <c r="K616" i="16"/>
  <c r="P615" i="16"/>
  <c r="K615" i="16"/>
  <c r="P613" i="16"/>
  <c r="K613" i="16"/>
  <c r="P612" i="16"/>
  <c r="K612" i="16"/>
  <c r="P611" i="16"/>
  <c r="K611" i="16"/>
  <c r="P610" i="16"/>
  <c r="K610" i="16"/>
  <c r="P609" i="16"/>
  <c r="K609" i="16"/>
  <c r="P608" i="16"/>
  <c r="K608" i="16"/>
  <c r="P607" i="16"/>
  <c r="K607" i="16"/>
  <c r="P606" i="16"/>
  <c r="K606" i="16"/>
  <c r="P605" i="16"/>
  <c r="K605" i="16"/>
  <c r="P604" i="16"/>
  <c r="K604" i="16"/>
  <c r="P603" i="16"/>
  <c r="K603" i="16"/>
  <c r="P602" i="16"/>
  <c r="K602" i="16"/>
  <c r="P601" i="16"/>
  <c r="K601" i="16"/>
  <c r="P600" i="16"/>
  <c r="K600" i="16"/>
  <c r="P599" i="16"/>
  <c r="K599" i="16"/>
  <c r="P598" i="16"/>
  <c r="K598" i="16"/>
  <c r="P597" i="16"/>
  <c r="K597" i="16"/>
  <c r="P596" i="16"/>
  <c r="K596" i="16"/>
  <c r="P595" i="16"/>
  <c r="K595" i="16"/>
  <c r="P594" i="16"/>
  <c r="K594" i="16"/>
  <c r="P593" i="16"/>
  <c r="K593" i="16"/>
  <c r="P592" i="16"/>
  <c r="K592" i="16"/>
  <c r="P591" i="16"/>
  <c r="K591" i="16"/>
  <c r="P590" i="16"/>
  <c r="K590" i="16"/>
  <c r="P589" i="16"/>
  <c r="K589" i="16"/>
  <c r="P588" i="16"/>
  <c r="K588" i="16"/>
  <c r="P587" i="16"/>
  <c r="K587" i="16"/>
  <c r="P586" i="16"/>
  <c r="K586" i="16"/>
  <c r="P585" i="16"/>
  <c r="K585" i="16"/>
  <c r="P584" i="16"/>
  <c r="K584" i="16"/>
  <c r="P583" i="16"/>
  <c r="K583" i="16"/>
  <c r="P582" i="16"/>
  <c r="K582" i="16"/>
  <c r="P581" i="16"/>
  <c r="K581" i="16"/>
  <c r="P580" i="16"/>
  <c r="K580" i="16"/>
  <c r="P579" i="16"/>
  <c r="K579" i="16"/>
  <c r="P578" i="16"/>
  <c r="K578" i="16"/>
  <c r="P577" i="16"/>
  <c r="K577" i="16"/>
  <c r="P576" i="16"/>
  <c r="K576" i="16"/>
  <c r="P575" i="16"/>
  <c r="K575" i="16"/>
  <c r="P574" i="16"/>
  <c r="K574" i="16"/>
  <c r="P573" i="16"/>
  <c r="K573" i="16"/>
  <c r="P572" i="16"/>
  <c r="K572" i="16"/>
  <c r="P571" i="16"/>
  <c r="K571" i="16"/>
  <c r="P570" i="16"/>
  <c r="K570" i="16"/>
  <c r="P569" i="16"/>
  <c r="K569" i="16"/>
  <c r="P568" i="16"/>
  <c r="K568" i="16"/>
  <c r="P567" i="16"/>
  <c r="K567" i="16"/>
  <c r="P566" i="16"/>
  <c r="K566" i="16"/>
  <c r="P565" i="16"/>
  <c r="K565" i="16"/>
  <c r="P564" i="16"/>
  <c r="K564" i="16"/>
  <c r="P563" i="16"/>
  <c r="K563" i="16"/>
  <c r="P562" i="16"/>
  <c r="K562" i="16"/>
  <c r="P561" i="16"/>
  <c r="K561" i="16"/>
  <c r="P560" i="16"/>
  <c r="K560" i="16"/>
  <c r="P559" i="16"/>
  <c r="K559" i="16"/>
  <c r="P558" i="16"/>
  <c r="K558" i="16"/>
  <c r="P557" i="16"/>
  <c r="K557" i="16"/>
  <c r="P556" i="16"/>
  <c r="K556" i="16"/>
  <c r="P555" i="16"/>
  <c r="K555" i="16"/>
  <c r="P554" i="16"/>
  <c r="K554" i="16"/>
  <c r="P553" i="16"/>
  <c r="K553" i="16"/>
  <c r="P552" i="16"/>
  <c r="K552" i="16"/>
  <c r="P551" i="16"/>
  <c r="K551" i="16"/>
  <c r="P550" i="16"/>
  <c r="K550" i="16"/>
  <c r="P549" i="16"/>
  <c r="K549" i="16"/>
  <c r="P548" i="16"/>
  <c r="K548" i="16"/>
  <c r="P547" i="16"/>
  <c r="K547" i="16"/>
  <c r="P546" i="16"/>
  <c r="K546" i="16"/>
  <c r="P545" i="16"/>
  <c r="K545" i="16"/>
  <c r="P544" i="16"/>
  <c r="K544" i="16"/>
  <c r="P543" i="16"/>
  <c r="K543" i="16"/>
  <c r="P542" i="16"/>
  <c r="K542" i="16"/>
  <c r="P541" i="16"/>
  <c r="K541" i="16"/>
  <c r="P540" i="16"/>
  <c r="K540" i="16"/>
  <c r="P539" i="16"/>
  <c r="K539" i="16"/>
  <c r="P538" i="16"/>
  <c r="K538" i="16"/>
  <c r="P537" i="16"/>
  <c r="K537" i="16"/>
  <c r="P536" i="16"/>
  <c r="K536" i="16"/>
  <c r="P535" i="16"/>
  <c r="K535" i="16"/>
  <c r="P534" i="16"/>
  <c r="K534" i="16"/>
  <c r="P533" i="16"/>
  <c r="K533" i="16"/>
  <c r="P532" i="16"/>
  <c r="K532" i="16"/>
  <c r="P531" i="16"/>
  <c r="K531" i="16"/>
  <c r="P530" i="16"/>
  <c r="K530" i="16"/>
  <c r="P529" i="16"/>
  <c r="K529" i="16"/>
  <c r="P528" i="16"/>
  <c r="K528" i="16"/>
  <c r="P527" i="16"/>
  <c r="K527" i="16"/>
  <c r="P526" i="16"/>
  <c r="K526" i="16"/>
  <c r="P525" i="16"/>
  <c r="K525" i="16"/>
  <c r="P524" i="16"/>
  <c r="K524" i="16"/>
  <c r="P523" i="16"/>
  <c r="K523" i="16"/>
  <c r="P522" i="16"/>
  <c r="K522" i="16"/>
  <c r="P521" i="16"/>
  <c r="K521" i="16"/>
  <c r="P520" i="16"/>
  <c r="K520" i="16"/>
  <c r="P519" i="16"/>
  <c r="K519" i="16"/>
  <c r="P518" i="16"/>
  <c r="K518" i="16"/>
  <c r="P517" i="16"/>
  <c r="K517" i="16"/>
  <c r="P516" i="16"/>
  <c r="K516" i="16"/>
  <c r="P515" i="16"/>
  <c r="K515" i="16"/>
  <c r="P514" i="16"/>
  <c r="K514" i="16"/>
  <c r="P513" i="16"/>
  <c r="K513" i="16"/>
  <c r="P512" i="16"/>
  <c r="K512" i="16"/>
  <c r="P511" i="16"/>
  <c r="K511" i="16"/>
  <c r="P510" i="16"/>
  <c r="K510" i="16"/>
  <c r="P509" i="16"/>
  <c r="K509" i="16"/>
  <c r="P508" i="16"/>
  <c r="K508" i="16"/>
  <c r="P507" i="16"/>
  <c r="K507" i="16"/>
  <c r="P506" i="16"/>
  <c r="K506" i="16"/>
  <c r="P505" i="16"/>
  <c r="K505" i="16"/>
  <c r="P504" i="16"/>
  <c r="K504" i="16"/>
  <c r="P503" i="16"/>
  <c r="K503" i="16"/>
  <c r="P502" i="16"/>
  <c r="K502" i="16"/>
  <c r="P501" i="16"/>
  <c r="K501" i="16"/>
  <c r="P500" i="16"/>
  <c r="K500" i="16"/>
  <c r="P499" i="16"/>
  <c r="K499" i="16"/>
  <c r="P498" i="16"/>
  <c r="K498" i="16"/>
  <c r="P497" i="16"/>
  <c r="K497" i="16"/>
  <c r="P496" i="16"/>
  <c r="K496" i="16"/>
  <c r="P495" i="16"/>
  <c r="K495" i="16"/>
  <c r="P494" i="16"/>
  <c r="K494" i="16"/>
  <c r="P493" i="16"/>
  <c r="K493" i="16"/>
  <c r="P492" i="16"/>
  <c r="K492" i="16"/>
  <c r="P491" i="16"/>
  <c r="K491" i="16"/>
  <c r="P490" i="16"/>
  <c r="K490" i="16"/>
  <c r="P489" i="16"/>
  <c r="K489" i="16"/>
  <c r="P488" i="16"/>
  <c r="K488" i="16"/>
  <c r="P487" i="16"/>
  <c r="K487" i="16"/>
  <c r="P486" i="16"/>
  <c r="K486" i="16"/>
  <c r="P485" i="16"/>
  <c r="K485" i="16"/>
  <c r="P484" i="16"/>
  <c r="K484" i="16"/>
  <c r="P483" i="16"/>
  <c r="K483" i="16"/>
  <c r="P481" i="16"/>
  <c r="K481" i="16"/>
  <c r="P479" i="16"/>
  <c r="K479" i="16"/>
  <c r="P478" i="16"/>
  <c r="K478" i="16"/>
  <c r="P477" i="16"/>
  <c r="K477" i="16"/>
  <c r="P476" i="16"/>
  <c r="K476" i="16"/>
  <c r="P475" i="16"/>
  <c r="K475" i="16"/>
  <c r="P474" i="16"/>
  <c r="K474" i="16"/>
  <c r="P473" i="16"/>
  <c r="K473" i="16"/>
  <c r="P472" i="16"/>
  <c r="K472" i="16"/>
  <c r="P471" i="16"/>
  <c r="K471" i="16"/>
  <c r="P470" i="16"/>
  <c r="K470" i="16"/>
  <c r="P469" i="16"/>
  <c r="K469" i="16"/>
  <c r="P468" i="16"/>
  <c r="K468" i="16"/>
  <c r="P467" i="16"/>
  <c r="K467" i="16"/>
  <c r="P466" i="16"/>
  <c r="K466" i="16"/>
  <c r="P465" i="16"/>
  <c r="K465" i="16"/>
  <c r="P464" i="16"/>
  <c r="K464" i="16"/>
  <c r="P463" i="16"/>
  <c r="K463" i="16"/>
  <c r="P462" i="16"/>
  <c r="K462" i="16"/>
  <c r="P461" i="16"/>
  <c r="K461" i="16"/>
  <c r="P460" i="16"/>
  <c r="K460" i="16"/>
  <c r="P459" i="16"/>
  <c r="K459" i="16"/>
  <c r="P458" i="16"/>
  <c r="K458" i="16"/>
  <c r="P457" i="16"/>
  <c r="K457" i="16"/>
  <c r="P456" i="16"/>
  <c r="K456" i="16"/>
  <c r="P455" i="16"/>
  <c r="K455" i="16"/>
  <c r="P454" i="16"/>
  <c r="K454" i="16"/>
  <c r="P453" i="16"/>
  <c r="K453" i="16"/>
  <c r="P452" i="16"/>
  <c r="K452" i="16"/>
  <c r="P451" i="16"/>
  <c r="K451" i="16"/>
  <c r="P450" i="16"/>
  <c r="K450" i="16"/>
  <c r="P449" i="16"/>
  <c r="K449" i="16"/>
  <c r="P448" i="16"/>
  <c r="K448" i="16"/>
  <c r="P447" i="16"/>
  <c r="K447" i="16"/>
  <c r="P446" i="16"/>
  <c r="K446" i="16"/>
  <c r="P445" i="16"/>
  <c r="K445" i="16"/>
  <c r="P444" i="16"/>
  <c r="K444" i="16"/>
  <c r="P443" i="16"/>
  <c r="K443" i="16"/>
  <c r="P442" i="16"/>
  <c r="K442" i="16"/>
  <c r="P441" i="16"/>
  <c r="K441" i="16"/>
  <c r="P440" i="16"/>
  <c r="K440" i="16"/>
  <c r="P439" i="16"/>
  <c r="K439" i="16"/>
  <c r="P438" i="16"/>
  <c r="K438" i="16"/>
  <c r="P437" i="16"/>
  <c r="K437" i="16"/>
  <c r="P436" i="16"/>
  <c r="K436" i="16"/>
  <c r="P435" i="16"/>
  <c r="K435" i="16"/>
  <c r="P434" i="16"/>
  <c r="K434" i="16"/>
  <c r="P433" i="16"/>
  <c r="K433" i="16"/>
  <c r="P432" i="16"/>
  <c r="K432" i="16"/>
  <c r="P431" i="16"/>
  <c r="K431" i="16"/>
  <c r="P430" i="16"/>
  <c r="K430" i="16"/>
  <c r="P429" i="16"/>
  <c r="K429" i="16"/>
  <c r="P428" i="16"/>
  <c r="K428" i="16"/>
  <c r="P427" i="16"/>
  <c r="K427" i="16"/>
  <c r="P426" i="16"/>
  <c r="K426" i="16"/>
  <c r="P425" i="16"/>
  <c r="K425" i="16"/>
  <c r="P424" i="16"/>
  <c r="K424" i="16"/>
  <c r="P423" i="16"/>
  <c r="K423" i="16"/>
  <c r="P422" i="16"/>
  <c r="K422" i="16"/>
  <c r="P421" i="16"/>
  <c r="K421" i="16"/>
  <c r="P420" i="16"/>
  <c r="K420" i="16"/>
  <c r="P419" i="16"/>
  <c r="K419" i="16"/>
  <c r="P418" i="16"/>
  <c r="K418" i="16"/>
  <c r="P417" i="16"/>
  <c r="K417" i="16"/>
  <c r="P416" i="16"/>
  <c r="K416" i="16"/>
  <c r="P415" i="16"/>
  <c r="K415" i="16"/>
  <c r="P414" i="16"/>
  <c r="K414" i="16"/>
  <c r="P413" i="16"/>
  <c r="K413" i="16"/>
  <c r="P412" i="16"/>
  <c r="K412" i="16"/>
  <c r="P411" i="16"/>
  <c r="K411" i="16"/>
  <c r="P410" i="16"/>
  <c r="K410" i="16"/>
  <c r="P409" i="16"/>
  <c r="K409" i="16"/>
  <c r="P408" i="16"/>
  <c r="K408" i="16"/>
  <c r="P407" i="16"/>
  <c r="K407" i="16"/>
  <c r="P406" i="16"/>
  <c r="K406" i="16"/>
  <c r="P405" i="16"/>
  <c r="K405" i="16"/>
  <c r="P404" i="16"/>
  <c r="K404" i="16"/>
  <c r="P403" i="16"/>
  <c r="K403" i="16"/>
  <c r="P402" i="16"/>
  <c r="K402" i="16"/>
  <c r="P401" i="16"/>
  <c r="K401" i="16"/>
  <c r="P400" i="16"/>
  <c r="K400" i="16"/>
  <c r="P399" i="16"/>
  <c r="K399" i="16"/>
  <c r="P398" i="16"/>
  <c r="K398" i="16"/>
  <c r="P397" i="16"/>
  <c r="K397" i="16"/>
  <c r="P396" i="16"/>
  <c r="K396" i="16"/>
  <c r="P395" i="16"/>
  <c r="K395" i="16"/>
  <c r="P394" i="16"/>
  <c r="K394" i="16"/>
  <c r="P393" i="16"/>
  <c r="K393" i="16"/>
  <c r="P392" i="16"/>
  <c r="K392" i="16"/>
  <c r="P391" i="16"/>
  <c r="K391" i="16"/>
  <c r="P390" i="16"/>
  <c r="K390" i="16"/>
  <c r="P389" i="16"/>
  <c r="K389" i="16"/>
  <c r="P388" i="16"/>
  <c r="K388" i="16"/>
  <c r="P387" i="16"/>
  <c r="K387" i="16"/>
  <c r="P386" i="16"/>
  <c r="K386" i="16"/>
  <c r="P385" i="16"/>
  <c r="K385" i="16"/>
  <c r="P384" i="16"/>
  <c r="K384" i="16"/>
  <c r="P383" i="16"/>
  <c r="K383" i="16"/>
  <c r="P382" i="16"/>
  <c r="K382" i="16"/>
  <c r="P381" i="16"/>
  <c r="K381" i="16"/>
  <c r="P380" i="16"/>
  <c r="K380" i="16"/>
  <c r="P379" i="16"/>
  <c r="K379" i="16"/>
  <c r="P378" i="16"/>
  <c r="K378" i="16"/>
  <c r="P377" i="16"/>
  <c r="K377" i="16"/>
  <c r="P376" i="16"/>
  <c r="K376" i="16"/>
  <c r="P375" i="16"/>
  <c r="K375" i="16"/>
  <c r="P374" i="16"/>
  <c r="K374" i="16"/>
  <c r="P373" i="16"/>
  <c r="K373" i="16"/>
  <c r="P372" i="16"/>
  <c r="K372" i="16"/>
  <c r="P371" i="16"/>
  <c r="K371" i="16"/>
  <c r="P370" i="16"/>
  <c r="K370" i="16"/>
  <c r="P369" i="16"/>
  <c r="K369" i="16"/>
  <c r="P368" i="16"/>
  <c r="K368" i="16"/>
  <c r="P367" i="16"/>
  <c r="K367" i="16"/>
  <c r="P366" i="16"/>
  <c r="K366" i="16"/>
  <c r="P365" i="16"/>
  <c r="K365" i="16"/>
  <c r="P364" i="16"/>
  <c r="K364" i="16"/>
  <c r="P363" i="16"/>
  <c r="K363" i="16"/>
  <c r="P362" i="16"/>
  <c r="K362" i="16"/>
  <c r="P360" i="16"/>
  <c r="K360" i="16"/>
  <c r="P359" i="16"/>
  <c r="K359" i="16"/>
  <c r="P358" i="16"/>
  <c r="K358" i="16"/>
  <c r="P357" i="16"/>
  <c r="K357" i="16"/>
  <c r="P356" i="16"/>
  <c r="K356" i="16"/>
  <c r="P355" i="16"/>
  <c r="K355" i="16"/>
  <c r="P354" i="16"/>
  <c r="K354" i="16"/>
  <c r="P353" i="16"/>
  <c r="K353" i="16"/>
  <c r="P352" i="16"/>
  <c r="K352" i="16"/>
  <c r="P351" i="16"/>
  <c r="K351" i="16"/>
  <c r="P350" i="16"/>
  <c r="K350" i="16"/>
  <c r="P349" i="16"/>
  <c r="K349" i="16"/>
  <c r="P348" i="16"/>
  <c r="K348" i="16"/>
  <c r="P347" i="16"/>
  <c r="K347" i="16"/>
  <c r="P346" i="16"/>
  <c r="K346" i="16"/>
  <c r="P345" i="16"/>
  <c r="K345" i="16"/>
  <c r="P344" i="16"/>
  <c r="K344" i="16"/>
  <c r="P343" i="16"/>
  <c r="K343" i="16"/>
  <c r="P342" i="16"/>
  <c r="K342" i="16"/>
  <c r="P341" i="16"/>
  <c r="K341" i="16"/>
  <c r="P340" i="16"/>
  <c r="K340" i="16"/>
  <c r="P339" i="16"/>
  <c r="K339" i="16"/>
  <c r="P338" i="16"/>
  <c r="K338" i="16"/>
  <c r="P337" i="16"/>
  <c r="K337" i="16"/>
  <c r="P336" i="16"/>
  <c r="K336" i="16"/>
  <c r="P335" i="16"/>
  <c r="K335" i="16"/>
  <c r="P334" i="16"/>
  <c r="K334" i="16"/>
  <c r="P333" i="16"/>
  <c r="K333" i="16"/>
  <c r="P332" i="16"/>
  <c r="K332" i="16"/>
  <c r="P331" i="16"/>
  <c r="K331" i="16"/>
  <c r="P330" i="16"/>
  <c r="K330" i="16"/>
  <c r="P329" i="16"/>
  <c r="K329" i="16"/>
  <c r="P328" i="16"/>
  <c r="K328" i="16"/>
  <c r="P327" i="16"/>
  <c r="K327" i="16"/>
  <c r="P326" i="16"/>
  <c r="K326" i="16"/>
  <c r="P325" i="16"/>
  <c r="K325" i="16"/>
  <c r="P324" i="16"/>
  <c r="K324" i="16"/>
  <c r="P323" i="16"/>
  <c r="K323" i="16"/>
  <c r="P322" i="16"/>
  <c r="K322" i="16"/>
  <c r="P321" i="16"/>
  <c r="K321" i="16"/>
  <c r="P320" i="16"/>
  <c r="K320" i="16"/>
  <c r="P319" i="16"/>
  <c r="K319" i="16"/>
  <c r="P318" i="16"/>
  <c r="K318" i="16"/>
  <c r="P317" i="16"/>
  <c r="K317" i="16"/>
  <c r="P316" i="16"/>
  <c r="K316" i="16"/>
  <c r="P315" i="16"/>
  <c r="K315" i="16"/>
  <c r="P314" i="16"/>
  <c r="K314" i="16"/>
  <c r="P313" i="16"/>
  <c r="K313" i="16"/>
  <c r="P312" i="16"/>
  <c r="K312" i="16"/>
  <c r="P311" i="16"/>
  <c r="K311" i="16"/>
  <c r="P310" i="16"/>
  <c r="K310" i="16"/>
  <c r="P309" i="16"/>
  <c r="K309" i="16"/>
  <c r="P308" i="16"/>
  <c r="K308" i="16"/>
  <c r="P307" i="16"/>
  <c r="K307" i="16"/>
  <c r="P306" i="16"/>
  <c r="K306" i="16"/>
  <c r="P305" i="16"/>
  <c r="K305" i="16"/>
  <c r="P304" i="16"/>
  <c r="K304" i="16"/>
  <c r="P303" i="16"/>
  <c r="K303" i="16"/>
  <c r="P302" i="16"/>
  <c r="K302" i="16"/>
  <c r="P301" i="16"/>
  <c r="K301" i="16"/>
  <c r="P300" i="16"/>
  <c r="K300" i="16"/>
  <c r="P299" i="16"/>
  <c r="K299" i="16"/>
  <c r="P298" i="16"/>
  <c r="K298" i="16"/>
  <c r="P297" i="16"/>
  <c r="K297" i="16"/>
  <c r="P296" i="16"/>
  <c r="K296" i="16"/>
  <c r="P295" i="16"/>
  <c r="K295" i="16"/>
  <c r="P294" i="16"/>
  <c r="K294" i="16"/>
  <c r="P293" i="16"/>
  <c r="K293" i="16"/>
  <c r="P292" i="16"/>
  <c r="K292" i="16"/>
  <c r="P291" i="16"/>
  <c r="K291" i="16"/>
  <c r="P290" i="16"/>
  <c r="K290" i="16"/>
  <c r="P289" i="16"/>
  <c r="K289" i="16"/>
  <c r="P288" i="16"/>
  <c r="K288" i="16"/>
  <c r="P287" i="16"/>
  <c r="K287" i="16"/>
  <c r="P286" i="16"/>
  <c r="K286" i="16"/>
  <c r="P285" i="16"/>
  <c r="K285" i="16"/>
  <c r="P284" i="16"/>
  <c r="K284" i="16"/>
  <c r="P283" i="16"/>
  <c r="K283" i="16"/>
  <c r="P282" i="16"/>
  <c r="K282" i="16"/>
  <c r="P281" i="16"/>
  <c r="K281" i="16"/>
  <c r="P280" i="16"/>
  <c r="K280" i="16"/>
  <c r="P279" i="16"/>
  <c r="K279" i="16"/>
  <c r="P278" i="16"/>
  <c r="K278" i="16"/>
  <c r="P277" i="16"/>
  <c r="K277" i="16"/>
  <c r="P276" i="16"/>
  <c r="K276" i="16"/>
  <c r="P275" i="16"/>
  <c r="K275" i="16"/>
  <c r="P274" i="16"/>
  <c r="K274" i="16"/>
  <c r="P273" i="16"/>
  <c r="K273" i="16"/>
  <c r="P272" i="16"/>
  <c r="K272" i="16"/>
  <c r="P271" i="16"/>
  <c r="K271" i="16"/>
  <c r="P270" i="16"/>
  <c r="K270" i="16"/>
  <c r="P269" i="16"/>
  <c r="K269" i="16"/>
  <c r="P268" i="16"/>
  <c r="K268" i="16"/>
  <c r="P267" i="16"/>
  <c r="K267" i="16"/>
  <c r="P266" i="16"/>
  <c r="K266" i="16"/>
  <c r="P265" i="16"/>
  <c r="K265" i="16"/>
  <c r="P264" i="16"/>
  <c r="K264" i="16"/>
  <c r="P263" i="16"/>
  <c r="K263" i="16"/>
  <c r="P262" i="16"/>
  <c r="K262" i="16"/>
  <c r="P261" i="16"/>
  <c r="K261" i="16"/>
  <c r="P260" i="16"/>
  <c r="K260" i="16"/>
  <c r="P259" i="16"/>
  <c r="K259" i="16"/>
  <c r="P258" i="16"/>
  <c r="K258" i="16"/>
  <c r="P257" i="16"/>
  <c r="K257" i="16"/>
  <c r="P252" i="16"/>
  <c r="K252" i="16"/>
  <c r="P250" i="16"/>
  <c r="K250" i="16"/>
  <c r="P249" i="16"/>
  <c r="K249" i="16"/>
  <c r="P248" i="16"/>
  <c r="K248" i="16"/>
  <c r="P247" i="16"/>
  <c r="K247" i="16"/>
  <c r="P246" i="16"/>
  <c r="K246" i="16"/>
  <c r="P245" i="16"/>
  <c r="K245" i="16"/>
  <c r="P244" i="16"/>
  <c r="K244" i="16"/>
  <c r="P243" i="16"/>
  <c r="K243" i="16"/>
  <c r="P242" i="16"/>
  <c r="K242" i="16"/>
  <c r="P241" i="16"/>
  <c r="K241" i="16"/>
  <c r="P240" i="16"/>
  <c r="K240" i="16"/>
  <c r="P239" i="16"/>
  <c r="K239" i="16"/>
  <c r="P238" i="16"/>
  <c r="K238" i="16"/>
  <c r="P237" i="16"/>
  <c r="K237" i="16"/>
  <c r="P236" i="16"/>
  <c r="K236" i="16"/>
  <c r="P235" i="16"/>
  <c r="K235" i="16"/>
  <c r="P234" i="16"/>
  <c r="K234" i="16"/>
  <c r="P233" i="16"/>
  <c r="K233" i="16"/>
  <c r="P232" i="16"/>
  <c r="K232" i="16"/>
  <c r="P231" i="16"/>
  <c r="K231" i="16"/>
  <c r="P230" i="16"/>
  <c r="K230" i="16"/>
  <c r="P229" i="16"/>
  <c r="K229" i="16"/>
  <c r="P228" i="16"/>
  <c r="K228" i="16"/>
  <c r="P227" i="16"/>
  <c r="K227" i="16"/>
  <c r="P226" i="16"/>
  <c r="K226" i="16"/>
  <c r="P225" i="16"/>
  <c r="K225" i="16"/>
  <c r="P224" i="16"/>
  <c r="K224" i="16"/>
  <c r="P223" i="16"/>
  <c r="K223" i="16"/>
  <c r="P221" i="16"/>
  <c r="K221" i="16"/>
  <c r="P220" i="16"/>
  <c r="K220" i="16"/>
  <c r="P219" i="16"/>
  <c r="K219" i="16"/>
  <c r="P218" i="16"/>
  <c r="K218" i="16"/>
  <c r="P217" i="16"/>
  <c r="K217" i="16"/>
  <c r="P216" i="16"/>
  <c r="K216" i="16"/>
  <c r="P215" i="16"/>
  <c r="K215" i="16"/>
  <c r="P214" i="16"/>
  <c r="K214" i="16"/>
  <c r="P213" i="16"/>
  <c r="K213" i="16"/>
  <c r="P212" i="16"/>
  <c r="K212" i="16"/>
  <c r="P211" i="16"/>
  <c r="K211" i="16"/>
  <c r="P210" i="16"/>
  <c r="K210" i="16"/>
  <c r="P209" i="16"/>
  <c r="K209" i="16"/>
  <c r="P208" i="16"/>
  <c r="K208" i="16"/>
  <c r="P207" i="16"/>
  <c r="K207" i="16"/>
  <c r="P206" i="16"/>
  <c r="K206" i="16"/>
  <c r="P205" i="16"/>
  <c r="K205" i="16"/>
  <c r="P204" i="16"/>
  <c r="K204" i="16"/>
  <c r="P203" i="16"/>
  <c r="K203" i="16"/>
  <c r="P202" i="16"/>
  <c r="K202" i="16"/>
  <c r="P201" i="16"/>
  <c r="K201" i="16"/>
  <c r="P200" i="16"/>
  <c r="K200" i="16"/>
  <c r="P199" i="16"/>
  <c r="K199" i="16"/>
  <c r="P198" i="16"/>
  <c r="K198" i="16"/>
  <c r="P197" i="16"/>
  <c r="K197" i="16"/>
  <c r="P196" i="16"/>
  <c r="K196" i="16"/>
  <c r="P195" i="16"/>
  <c r="K195" i="16"/>
  <c r="P194" i="16"/>
  <c r="K194" i="16"/>
  <c r="P193" i="16"/>
  <c r="K193" i="16"/>
  <c r="P192" i="16"/>
  <c r="K192" i="16"/>
  <c r="P191" i="16"/>
  <c r="K191" i="16"/>
  <c r="P190" i="16"/>
  <c r="K190" i="16"/>
  <c r="P189" i="16"/>
  <c r="K189" i="16"/>
  <c r="P188" i="16"/>
  <c r="K188" i="16"/>
  <c r="P187" i="16"/>
  <c r="K187" i="16"/>
  <c r="P186" i="16"/>
  <c r="K186" i="16"/>
  <c r="P185" i="16"/>
  <c r="K185" i="16"/>
  <c r="P184" i="16"/>
  <c r="K184" i="16"/>
  <c r="P183" i="16"/>
  <c r="K183" i="16"/>
  <c r="P182" i="16"/>
  <c r="K182" i="16"/>
  <c r="P181" i="16"/>
  <c r="K181" i="16"/>
  <c r="P180" i="16"/>
  <c r="K180" i="16"/>
  <c r="P179" i="16"/>
  <c r="K179" i="16"/>
  <c r="P178" i="16"/>
  <c r="K178" i="16"/>
  <c r="P177" i="16"/>
  <c r="K177" i="16"/>
  <c r="P176" i="16"/>
  <c r="K176" i="16"/>
  <c r="P175" i="16"/>
  <c r="K175" i="16"/>
  <c r="P174" i="16"/>
  <c r="K174" i="16"/>
  <c r="P173" i="16"/>
  <c r="K173" i="16"/>
  <c r="P172" i="16"/>
  <c r="K172" i="16"/>
  <c r="P171" i="16"/>
  <c r="K171" i="16"/>
  <c r="P170" i="16"/>
  <c r="K170" i="16"/>
  <c r="P169" i="16"/>
  <c r="K169" i="16"/>
  <c r="P168" i="16"/>
  <c r="K168" i="16"/>
  <c r="P167" i="16"/>
  <c r="K167" i="16"/>
  <c r="P166" i="16"/>
  <c r="K166" i="16"/>
  <c r="P165" i="16"/>
  <c r="K165" i="16"/>
  <c r="P164" i="16"/>
  <c r="K164" i="16"/>
  <c r="P163" i="16"/>
  <c r="K163" i="16"/>
  <c r="P161" i="16"/>
  <c r="K161" i="16"/>
  <c r="P160" i="16"/>
  <c r="K160" i="16"/>
  <c r="P159" i="16"/>
  <c r="K159" i="16"/>
  <c r="P158" i="16"/>
  <c r="K158" i="16"/>
  <c r="P157" i="16"/>
  <c r="K157" i="16"/>
  <c r="P156" i="16"/>
  <c r="K156" i="16"/>
  <c r="P155" i="16"/>
  <c r="K155" i="16"/>
  <c r="P154" i="16"/>
  <c r="K154" i="16"/>
  <c r="P153" i="16"/>
  <c r="K153" i="16"/>
  <c r="P152" i="16"/>
  <c r="K152" i="16"/>
  <c r="P151" i="16"/>
  <c r="K151" i="16"/>
  <c r="P150" i="16"/>
  <c r="K150" i="16"/>
  <c r="P149" i="16"/>
  <c r="K149" i="16"/>
  <c r="P148" i="16"/>
  <c r="K148" i="16"/>
  <c r="P147" i="16"/>
  <c r="K147" i="16"/>
  <c r="P146" i="16"/>
  <c r="K146" i="16"/>
  <c r="P145" i="16"/>
  <c r="K145" i="16"/>
  <c r="P144" i="16"/>
  <c r="K144" i="16"/>
  <c r="P143" i="16"/>
  <c r="K143" i="16"/>
  <c r="P142" i="16"/>
  <c r="K142" i="16"/>
  <c r="P141" i="16"/>
  <c r="K141" i="16"/>
  <c r="P140" i="16"/>
  <c r="K140" i="16"/>
  <c r="P139" i="16"/>
  <c r="K139" i="16"/>
  <c r="P138" i="16"/>
  <c r="K138" i="16"/>
  <c r="P137" i="16"/>
  <c r="K137" i="16"/>
  <c r="P136" i="16"/>
  <c r="K136" i="16"/>
  <c r="P135" i="16"/>
  <c r="K135" i="16"/>
  <c r="P134" i="16"/>
  <c r="K134" i="16"/>
  <c r="P133" i="16"/>
  <c r="K133" i="16"/>
  <c r="P132" i="16"/>
  <c r="K132" i="16"/>
  <c r="P131" i="16"/>
  <c r="K131" i="16"/>
  <c r="P130" i="16"/>
  <c r="K130" i="16"/>
  <c r="P129" i="16"/>
  <c r="K129" i="16"/>
  <c r="P128" i="16"/>
  <c r="K128" i="16"/>
  <c r="P127" i="16"/>
  <c r="K127" i="16"/>
  <c r="P126" i="16"/>
  <c r="K126" i="16"/>
  <c r="P125" i="16"/>
  <c r="K125" i="16"/>
  <c r="P124" i="16"/>
  <c r="K124" i="16"/>
  <c r="P123" i="16"/>
  <c r="K123" i="16"/>
  <c r="P122" i="16"/>
  <c r="K122" i="16"/>
  <c r="P121" i="16"/>
  <c r="K121" i="16"/>
  <c r="P120" i="16"/>
  <c r="K120" i="16"/>
  <c r="P119" i="16"/>
  <c r="K119" i="16"/>
  <c r="P118" i="16"/>
  <c r="K118" i="16"/>
  <c r="P117" i="16"/>
  <c r="K117" i="16"/>
  <c r="P116" i="16"/>
  <c r="K116" i="16"/>
  <c r="P115" i="16"/>
  <c r="K115" i="16"/>
  <c r="P114" i="16"/>
  <c r="K114" i="16"/>
  <c r="P113" i="16"/>
  <c r="K113" i="16"/>
  <c r="P112" i="16"/>
  <c r="K112" i="16"/>
  <c r="P111" i="16"/>
  <c r="K111" i="16"/>
  <c r="P110" i="16"/>
  <c r="K110" i="16"/>
  <c r="P109" i="16"/>
  <c r="K109" i="16"/>
  <c r="P108" i="16"/>
  <c r="K108" i="16"/>
  <c r="P107" i="16"/>
  <c r="K107" i="16"/>
  <c r="P106" i="16"/>
  <c r="K106" i="16"/>
  <c r="P105" i="16"/>
  <c r="K105" i="16"/>
  <c r="P104" i="16"/>
  <c r="K104" i="16"/>
  <c r="P103" i="16"/>
  <c r="K103" i="16"/>
  <c r="P102" i="16"/>
  <c r="K102" i="16"/>
  <c r="P101" i="16"/>
  <c r="K101" i="16"/>
  <c r="P100" i="16"/>
  <c r="K100" i="16"/>
  <c r="P99" i="16"/>
  <c r="K99" i="16"/>
  <c r="P98" i="16"/>
  <c r="K98" i="16"/>
  <c r="P96" i="16"/>
  <c r="K96" i="16"/>
  <c r="P95" i="16"/>
  <c r="K95" i="16"/>
  <c r="P94" i="16"/>
  <c r="K94" i="16"/>
  <c r="P93" i="16"/>
  <c r="K93" i="16"/>
  <c r="P92" i="16"/>
  <c r="K92" i="16"/>
  <c r="P91" i="16"/>
  <c r="K91" i="16"/>
  <c r="P90" i="16"/>
  <c r="K90" i="16"/>
  <c r="P89" i="16"/>
  <c r="K89" i="16"/>
  <c r="P88" i="16"/>
  <c r="K88" i="16"/>
  <c r="P87" i="16"/>
  <c r="K87" i="16"/>
  <c r="P86" i="16"/>
  <c r="K86" i="16"/>
  <c r="P85" i="16"/>
  <c r="K85" i="16"/>
  <c r="P84" i="16"/>
  <c r="K84" i="16"/>
  <c r="P83" i="16"/>
  <c r="K83" i="16"/>
  <c r="P82" i="16"/>
  <c r="K82" i="16"/>
  <c r="P81" i="16"/>
  <c r="K81" i="16"/>
  <c r="P80" i="16"/>
  <c r="K80" i="16"/>
  <c r="P79" i="16"/>
  <c r="K79" i="16"/>
  <c r="P78" i="16"/>
  <c r="K78" i="16"/>
  <c r="P77" i="16"/>
  <c r="K77" i="16"/>
  <c r="P76" i="16"/>
  <c r="K76" i="16"/>
  <c r="P75" i="16"/>
  <c r="K75" i="16"/>
  <c r="P74" i="16"/>
  <c r="K74" i="16"/>
  <c r="P73" i="16"/>
  <c r="K73" i="16"/>
  <c r="P72" i="16"/>
  <c r="K72" i="16"/>
  <c r="P71" i="16"/>
  <c r="K71" i="16"/>
  <c r="P70" i="16"/>
  <c r="K70" i="16"/>
  <c r="P69" i="16"/>
  <c r="K69" i="16"/>
  <c r="P68" i="16"/>
  <c r="K68" i="16"/>
  <c r="P67" i="16"/>
  <c r="K67" i="16"/>
  <c r="P66" i="16"/>
  <c r="K66" i="16"/>
  <c r="P65" i="16"/>
  <c r="K65" i="16"/>
  <c r="P64" i="16"/>
  <c r="K64" i="16"/>
  <c r="P63" i="16"/>
  <c r="K63" i="16"/>
  <c r="P62" i="16"/>
  <c r="K62" i="16"/>
  <c r="P61" i="16"/>
  <c r="K61" i="16"/>
  <c r="P60" i="16"/>
  <c r="K60" i="16"/>
  <c r="P59" i="16"/>
  <c r="K59" i="16"/>
  <c r="P58" i="16"/>
  <c r="K58" i="16"/>
  <c r="P57" i="16"/>
  <c r="K57" i="16"/>
  <c r="P56" i="16"/>
  <c r="K56" i="16"/>
  <c r="P55" i="16"/>
  <c r="K55" i="16"/>
  <c r="P54" i="16"/>
  <c r="K54" i="16"/>
  <c r="P53" i="16"/>
  <c r="K53" i="16"/>
  <c r="P52" i="16"/>
  <c r="K52" i="16"/>
  <c r="P51" i="16"/>
  <c r="K51" i="16"/>
  <c r="P50" i="16"/>
  <c r="K50" i="16"/>
  <c r="P49" i="16"/>
  <c r="K49" i="16"/>
  <c r="P48" i="16"/>
  <c r="K48" i="16"/>
  <c r="P47" i="16"/>
  <c r="K47" i="16"/>
  <c r="P46" i="16"/>
  <c r="K46" i="16"/>
  <c r="P45" i="16"/>
  <c r="K45" i="16"/>
  <c r="P44" i="16"/>
  <c r="K44" i="16"/>
  <c r="P43" i="16"/>
  <c r="K43" i="16"/>
  <c r="P42" i="16"/>
  <c r="K42" i="16"/>
  <c r="P41" i="16"/>
  <c r="K41" i="16"/>
  <c r="P40" i="16"/>
  <c r="K40" i="16"/>
  <c r="P39" i="16"/>
  <c r="K39" i="16"/>
  <c r="P38" i="16"/>
  <c r="K38" i="16"/>
  <c r="P37" i="16"/>
  <c r="K37" i="16"/>
  <c r="P36" i="16"/>
  <c r="K36" i="16"/>
  <c r="P35" i="16"/>
  <c r="K35" i="16"/>
  <c r="P34" i="16"/>
  <c r="K34" i="16"/>
  <c r="P33" i="16"/>
  <c r="K33" i="16"/>
  <c r="P32" i="16"/>
  <c r="K32" i="16"/>
  <c r="P31" i="16"/>
  <c r="K31" i="16"/>
  <c r="P30" i="16"/>
  <c r="K30" i="16"/>
  <c r="P29" i="16"/>
  <c r="K29" i="16"/>
  <c r="P28" i="16"/>
  <c r="K28" i="16"/>
  <c r="P27" i="16"/>
  <c r="K27" i="16"/>
  <c r="P26" i="16"/>
  <c r="K26" i="16"/>
  <c r="P25" i="16"/>
  <c r="K25" i="16"/>
  <c r="P24" i="16"/>
  <c r="K24" i="16"/>
  <c r="P23" i="16"/>
  <c r="K23" i="16"/>
  <c r="P22" i="16"/>
  <c r="K22" i="16"/>
  <c r="P21" i="16"/>
  <c r="K21" i="16"/>
  <c r="P20" i="16"/>
  <c r="K20" i="16"/>
  <c r="P19" i="16"/>
  <c r="K19" i="16"/>
  <c r="P18" i="16"/>
  <c r="K18" i="16"/>
  <c r="P17" i="16"/>
  <c r="K17" i="16"/>
  <c r="P16" i="16"/>
  <c r="K16" i="16"/>
  <c r="P15" i="16"/>
  <c r="K15" i="16"/>
  <c r="P14" i="16"/>
  <c r="K14" i="16"/>
  <c r="P13" i="16"/>
  <c r="K13" i="16"/>
  <c r="P12" i="16"/>
  <c r="K12" i="16"/>
  <c r="P11" i="16"/>
  <c r="K11" i="16"/>
  <c r="P9" i="16"/>
  <c r="K9" i="16"/>
  <c r="K687" i="16" l="1"/>
  <c r="P687" i="16"/>
  <c r="P795" i="16"/>
  <c r="P797" i="16" s="1"/>
  <c r="P255" i="16"/>
  <c r="P256" i="16" s="1"/>
  <c r="K255" i="16"/>
  <c r="K256" i="16" s="1"/>
  <c r="K795" i="16"/>
  <c r="K797" i="16" s="1"/>
  <c r="P3" i="16" l="1"/>
  <c r="K3" i="16"/>
  <c r="C3" i="18" l="1"/>
  <c r="C2" i="18" l="1"/>
  <c r="A15" i="18"/>
  <c r="A24" i="18"/>
  <c r="G24" i="18" s="1"/>
  <c r="D24" i="18" l="1"/>
  <c r="C24" i="18"/>
  <c r="B24" i="18"/>
  <c r="C15" i="18"/>
  <c r="B15" i="18"/>
  <c r="D15" i="18"/>
  <c r="H15" i="18"/>
  <c r="O15" i="18"/>
  <c r="G15" i="18"/>
  <c r="L15" i="18"/>
  <c r="V15" i="18"/>
  <c r="J15" i="18"/>
  <c r="R15" i="18"/>
  <c r="M15" i="18"/>
  <c r="K15" i="18"/>
  <c r="U15" i="18"/>
  <c r="Q15" i="18"/>
  <c r="T15" i="18"/>
  <c r="F15" i="18"/>
  <c r="M24" i="18"/>
  <c r="V24" i="18"/>
  <c r="U24" i="18"/>
  <c r="F24" i="18"/>
  <c r="H24" i="18"/>
  <c r="R24" i="18"/>
  <c r="Q24" i="18"/>
  <c r="L24" i="18"/>
  <c r="K24" i="18"/>
  <c r="J24" i="18"/>
  <c r="T24" i="18"/>
  <c r="O24" i="18"/>
  <c r="P17" i="18"/>
  <c r="D22" i="18" l="1"/>
  <c r="D26" i="18" s="1"/>
  <c r="C22" i="18"/>
  <c r="C26" i="18" s="1"/>
  <c r="B22" i="18"/>
  <c r="J13" i="18"/>
  <c r="J17" i="18" s="1"/>
  <c r="B13" i="18"/>
  <c r="D13" i="18"/>
  <c r="D17" i="18" s="1"/>
  <c r="H13" i="18"/>
  <c r="C13" i="18"/>
  <c r="R22" i="18"/>
  <c r="R26" i="18" s="1"/>
  <c r="O22" i="18"/>
  <c r="O26" i="18" s="1"/>
  <c r="M22" i="18"/>
  <c r="M26" i="18" s="1"/>
  <c r="K22" i="18"/>
  <c r="K26" i="18" s="1"/>
  <c r="H22" i="18"/>
  <c r="H26" i="18" s="1"/>
  <c r="Q22" i="18"/>
  <c r="Q26" i="18" s="1"/>
  <c r="F91" i="18" s="1"/>
  <c r="G26" i="18"/>
  <c r="L22" i="18"/>
  <c r="L26" i="18" s="1"/>
  <c r="F22" i="18"/>
  <c r="F26" i="18" s="1"/>
  <c r="V22" i="18"/>
  <c r="V26" i="18" s="1"/>
  <c r="J22" i="18"/>
  <c r="J26" i="18" s="1"/>
  <c r="T22" i="18"/>
  <c r="T26" i="18" s="1"/>
  <c r="U22" i="18"/>
  <c r="U26" i="18" s="1"/>
  <c r="R13" i="18"/>
  <c r="R17" i="18" s="1"/>
  <c r="K13" i="18"/>
  <c r="F13" i="18"/>
  <c r="Q17" i="18"/>
  <c r="G13" i="18"/>
  <c r="G17" i="18" s="1"/>
  <c r="O13" i="18"/>
  <c r="O17" i="18" s="1"/>
  <c r="L13" i="18"/>
  <c r="L17" i="18" s="1"/>
  <c r="V13" i="18"/>
  <c r="V17" i="18" s="1"/>
  <c r="U13" i="18"/>
  <c r="U17" i="18" s="1"/>
  <c r="T13" i="18"/>
  <c r="T17" i="18" s="1"/>
  <c r="M17" i="18"/>
  <c r="D50" i="18"/>
  <c r="D52" i="18"/>
  <c r="D51" i="18"/>
  <c r="P26" i="18"/>
  <c r="D54" i="18"/>
  <c r="D53" i="18"/>
  <c r="E24" i="18"/>
  <c r="E15" i="18"/>
  <c r="E13" i="18" l="1"/>
  <c r="E17" i="18" s="1"/>
  <c r="E86" i="18"/>
  <c r="H17" i="18"/>
  <c r="F99" i="18" s="1"/>
  <c r="E92" i="18"/>
  <c r="F92" i="18"/>
  <c r="F90" i="18"/>
  <c r="E93" i="18"/>
  <c r="F96" i="18"/>
  <c r="E96" i="18"/>
  <c r="E87" i="18"/>
  <c r="F86" i="18"/>
  <c r="F89" i="18"/>
  <c r="F39" i="18"/>
  <c r="E91" i="18"/>
  <c r="F93" i="18"/>
  <c r="E89" i="18"/>
  <c r="F87" i="18"/>
  <c r="E90" i="18"/>
  <c r="D56" i="18"/>
  <c r="E41" i="18"/>
  <c r="F41" i="18"/>
  <c r="F38" i="18"/>
  <c r="E39" i="18"/>
  <c r="E38" i="18"/>
  <c r="E22" i="18"/>
  <c r="E26" i="18" s="1"/>
  <c r="K17" i="18"/>
  <c r="E88" i="18" s="1"/>
  <c r="C17" i="18"/>
  <c r="G61" i="18" s="1"/>
  <c r="F17" i="18"/>
  <c r="C31" i="18" l="1"/>
  <c r="E99" i="18"/>
  <c r="F61" i="18"/>
  <c r="E97" i="18"/>
  <c r="F97" i="18"/>
  <c r="F88" i="18"/>
  <c r="C33" i="18"/>
  <c r="E40" i="18"/>
  <c r="F40" i="18" s="1"/>
  <c r="E61" i="18"/>
  <c r="E98" i="18" l="1"/>
  <c r="C32" i="18" s="1"/>
  <c r="C34" i="18"/>
  <c r="D34" i="18" s="1"/>
  <c r="F98" i="18"/>
  <c r="E100" i="18" l="1"/>
  <c r="F43" i="18"/>
  <c r="E43" i="18"/>
  <c r="F100" i="18" l="1"/>
  <c r="G100"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tc={28AF635C-2109-40AE-B7C6-6E334C9B3DCB}</author>
  </authors>
  <commentList>
    <comment ref="E7" authorId="0" shapeId="0" xr:uid="{28AF635C-2109-40AE-B7C6-6E334C9B3DCB}">
      <text>
        <t>[Threaded comment]
Your version of Excel allows you to read this threaded comment; however, any edits to it will get removed if the file is opened in a newer version of Excel. Learn more: https://go.microsoft.com/fwlink/?linkid=870924
Comment:
    All # come from Office of State Auditor Report Schedule 2</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A10" authorId="0" shapeId="0" xr:uid="{6BEBFD93-E013-43AF-8DB9-FCA5DC56E4B0}">
      <text>
        <r>
          <rPr>
            <b/>
            <sz val="9"/>
            <color indexed="81"/>
            <rFont val="Tahoma"/>
            <family val="2"/>
          </rPr>
          <t>Preeta Nayak:</t>
        </r>
        <r>
          <rPr>
            <sz val="9"/>
            <color indexed="81"/>
            <rFont val="Tahoma"/>
            <family val="2"/>
          </rPr>
          <t xml:space="preserve">
CHANGED FROM 71786 BY LGC STAFF/PN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tc={74FD9AF4-4B3B-41DD-9327-7112CFA4739F}</author>
    <author>tc={85737AA7-88DC-4526-A5B6-9AD463D3B7A4}</author>
  </authors>
  <commentList>
    <comment ref="B2" authorId="0" shapeId="0" xr:uid="{74FD9AF4-4B3B-41DD-9327-7112CFA4739F}">
      <text>
        <t>[Threaded comment]
Your version of Excel allows you to read this threaded comment; however, any edits to it will get removed if the file is opened in a newer version of Excel. Learn more: https://go.microsoft.com/fwlink/?linkid=870924
Comment:
    Make sure this list matches the CY Office of State Auditor list and list from FOD</t>
      </text>
    </comment>
    <comment ref="C2" authorId="1" shapeId="0" xr:uid="{85737AA7-88DC-4526-A5B6-9AD463D3B7A4}">
      <text>
        <t>[Threaded comment]
Your version of Excel allows you to read this threaded comment; however, any edits to it will get removed if the file is opened in a newer version of Excel. Learn more: https://go.microsoft.com/fwlink/?linkid=870924
Comment:
    # come from NCST FOD</t>
      </text>
    </comment>
  </commentList>
</comments>
</file>

<file path=xl/sharedStrings.xml><?xml version="1.0" encoding="utf-8"?>
<sst xmlns="http://schemas.openxmlformats.org/spreadsheetml/2006/main" count="12241" uniqueCount="3752">
  <si>
    <t>Agency Number</t>
  </si>
  <si>
    <t>Agency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</si>
  <si>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</si>
  <si>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</si>
  <si>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</si>
  <si>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</si>
  <si>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</si>
  <si>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</si>
  <si>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</si>
  <si>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</si>
  <si>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</si>
  <si>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</si>
  <si>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</si>
  <si>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Tables for Disclosure</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</si>
  <si>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</si>
  <si>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</si>
  <si>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</si>
  <si>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</si>
  <si>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</si>
  <si>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</si>
  <si>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</si>
  <si>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</si>
  <si>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</si>
  <si>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</si>
  <si>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Eastern Band Of Cherokee Indians</t>
  </si>
  <si>
    <t>Piedmont Triad Airport Authority</t>
  </si>
  <si>
    <t>Yancey County</t>
  </si>
  <si>
    <t>Alamance County</t>
  </si>
  <si>
    <t>Alexander County</t>
  </si>
  <si>
    <t>Alleghany County</t>
  </si>
  <si>
    <t>Northwestern Regional Library</t>
  </si>
  <si>
    <t>Anson County</t>
  </si>
  <si>
    <t>Wadesboro Housing Authority</t>
  </si>
  <si>
    <t>Ashe County</t>
  </si>
  <si>
    <t>WEST JEFFERSON ABC BOARD</t>
  </si>
  <si>
    <t>Avery County</t>
  </si>
  <si>
    <t>Beaufort County</t>
  </si>
  <si>
    <t>Bertie County</t>
  </si>
  <si>
    <t>Albemarle Regional Library</t>
  </si>
  <si>
    <t>Bertie-Martin Regional Jail Comm</t>
  </si>
  <si>
    <t>Bladen County</t>
  </si>
  <si>
    <t>Brunswick County</t>
  </si>
  <si>
    <t>Cape Fear Council Of Governments</t>
  </si>
  <si>
    <t>TOWN OF NAVASSA</t>
  </si>
  <si>
    <t>Buncombe County</t>
  </si>
  <si>
    <t>Land-Of-Sky Regional Council</t>
  </si>
  <si>
    <t>Woodfin ABC Commission</t>
  </si>
  <si>
    <t>Metro Sewerage Dist Of Buncombe County</t>
  </si>
  <si>
    <t>WESTERN HIGHLAND AREA AUTHORITY</t>
  </si>
  <si>
    <t>Asheville Regional Airport Authority</t>
  </si>
  <si>
    <t>Burke County</t>
  </si>
  <si>
    <t>Valdese Housing Authority</t>
  </si>
  <si>
    <t>Morganton Housing Authority</t>
  </si>
  <si>
    <t>Cabarrus County</t>
  </si>
  <si>
    <t>Caldwell County</t>
  </si>
  <si>
    <t>Lenoir Housing Authority</t>
  </si>
  <si>
    <t>Camden County</t>
  </si>
  <si>
    <t>Carteret County</t>
  </si>
  <si>
    <t>Caswell County</t>
  </si>
  <si>
    <t>Catawba County</t>
  </si>
  <si>
    <t>Western Piedmont Regional Transit Authority</t>
  </si>
  <si>
    <t>Chatham County</t>
  </si>
  <si>
    <t>Goldston-Gulf Sanitary District</t>
  </si>
  <si>
    <t>Cherokee County</t>
  </si>
  <si>
    <t>Nantahala Regional Library</t>
  </si>
  <si>
    <t>Chowan County</t>
  </si>
  <si>
    <t>Clay County</t>
  </si>
  <si>
    <t>Cleveland County</t>
  </si>
  <si>
    <t>Columbus County</t>
  </si>
  <si>
    <t>Whiteville Housing Authority</t>
  </si>
  <si>
    <t>TOWN OF BOLTON</t>
  </si>
  <si>
    <t>Craven County</t>
  </si>
  <si>
    <t>Craven-Pamlico-Carteret Regional Library</t>
  </si>
  <si>
    <t>Neuse River Council Of Governments</t>
  </si>
  <si>
    <t>Cumberland County</t>
  </si>
  <si>
    <t>Cumberland Memorial Auditorium Com</t>
  </si>
  <si>
    <t>Currituck County</t>
  </si>
  <si>
    <t>Dare County</t>
  </si>
  <si>
    <t>Dare County Tourism Board</t>
  </si>
  <si>
    <t>Davidson County</t>
  </si>
  <si>
    <t>Thomasville Housing Authority</t>
  </si>
  <si>
    <t>TOWN OF MIDWAY</t>
  </si>
  <si>
    <t>Davie County</t>
  </si>
  <si>
    <t>Duplin County</t>
  </si>
  <si>
    <t>Durham County</t>
  </si>
  <si>
    <t>Parkwood Fire Department</t>
  </si>
  <si>
    <t>Triangle J Council Of Governments</t>
  </si>
  <si>
    <t>Edgecombe County</t>
  </si>
  <si>
    <t>Tarboro Redevelopment Commission</t>
  </si>
  <si>
    <t>Rocky Mount-Wilson Airport Authority</t>
  </si>
  <si>
    <t>Forsyth County</t>
  </si>
  <si>
    <t>Airport Commission Of Forsyth County</t>
  </si>
  <si>
    <t>Piedmont Triad Regional Council</t>
  </si>
  <si>
    <t>Winston-Salem Housing Authority</t>
  </si>
  <si>
    <t>Clemmons Fire Department</t>
  </si>
  <si>
    <t>Franklin County</t>
  </si>
  <si>
    <t>Gaston County</t>
  </si>
  <si>
    <t>Belmont Housing Authority</t>
  </si>
  <si>
    <t>BESSEMER CITY A.B.C. BOARD</t>
  </si>
  <si>
    <t>Gates County</t>
  </si>
  <si>
    <t>Graham County</t>
  </si>
  <si>
    <t>Granville County</t>
  </si>
  <si>
    <t>Granville County Hospital</t>
  </si>
  <si>
    <t>Oxford Housing Authority</t>
  </si>
  <si>
    <t>Greene County</t>
  </si>
  <si>
    <t>Maury Sanitary Land District</t>
  </si>
  <si>
    <t>Guil-Rand Fire Department</t>
  </si>
  <si>
    <t>Colfax Volunteer Fire Department</t>
  </si>
  <si>
    <t>Summerfield Fire District</t>
  </si>
  <si>
    <t>Halifax County</t>
  </si>
  <si>
    <t>Halifax County Tourism Development Authority</t>
  </si>
  <si>
    <t>Roanoke Rapids Sanitary District</t>
  </si>
  <si>
    <t>Harnett County</t>
  </si>
  <si>
    <t>Dunn Housing Authority</t>
  </si>
  <si>
    <t>Haywood County</t>
  </si>
  <si>
    <t>Haywood Medical Center</t>
  </si>
  <si>
    <t>Junaluska Sanitary District</t>
  </si>
  <si>
    <t>Hendersonville Water Commission</t>
  </si>
  <si>
    <t>Blue Ridge Fire Department</t>
  </si>
  <si>
    <t>Hertford County</t>
  </si>
  <si>
    <t>Hertford County Public Health Authority</t>
  </si>
  <si>
    <t>Hoke County</t>
  </si>
  <si>
    <t>Hyde County</t>
  </si>
  <si>
    <t>Iredell County</t>
  </si>
  <si>
    <t>Mooresville Housing Authority</t>
  </si>
  <si>
    <t>Jackson County</t>
  </si>
  <si>
    <t>Fontana Regional Library</t>
  </si>
  <si>
    <t>Johnston County</t>
  </si>
  <si>
    <t>Benson Housing Authority</t>
  </si>
  <si>
    <t>Smithfield Housing Authority</t>
  </si>
  <si>
    <t>Selma Housing Authority</t>
  </si>
  <si>
    <t>Jones County</t>
  </si>
  <si>
    <t>Lee County</t>
  </si>
  <si>
    <t>Lenoir County</t>
  </si>
  <si>
    <t>Neuse Regional Library</t>
  </si>
  <si>
    <t>Global Transpark Development Comm</t>
  </si>
  <si>
    <t>Lincoln County</t>
  </si>
  <si>
    <t>Lincolnton Housing Authority</t>
  </si>
  <si>
    <t>Macon County</t>
  </si>
  <si>
    <t>Madison County</t>
  </si>
  <si>
    <t>Hot Springs Housing Authority</t>
  </si>
  <si>
    <t>Martin County</t>
  </si>
  <si>
    <t>Williamston Housing Authority</t>
  </si>
  <si>
    <t>Robersonville Housing Authority</t>
  </si>
  <si>
    <t>Mecklenburg County</t>
  </si>
  <si>
    <t>Centralina Council Of Governments</t>
  </si>
  <si>
    <t>Mitchell County</t>
  </si>
  <si>
    <t>Montgomery County</t>
  </si>
  <si>
    <t>Moore County</t>
  </si>
  <si>
    <t>Moore County Airport Authority</t>
  </si>
  <si>
    <t>Foxfire Village</t>
  </si>
  <si>
    <t>Nash County</t>
  </si>
  <si>
    <t>Braswell Memorial Library</t>
  </si>
  <si>
    <t>New Hanover County</t>
  </si>
  <si>
    <t>Wilmington Housing Authority</t>
  </si>
  <si>
    <t>Cape Fear Public Utility Authority</t>
  </si>
  <si>
    <t>Lower Cape Fear Water &amp; Sewer Auth</t>
  </si>
  <si>
    <t>Cape Fear Public Transportation Authority</t>
  </si>
  <si>
    <t>Northampton County</t>
  </si>
  <si>
    <t>Onslow County</t>
  </si>
  <si>
    <t>Holly Ridge Housing Authority</t>
  </si>
  <si>
    <t>Orange County</t>
  </si>
  <si>
    <t>Pamlico County</t>
  </si>
  <si>
    <t>Bay River Metro Sewerage District</t>
  </si>
  <si>
    <t>Pasquotank County</t>
  </si>
  <si>
    <t>Pasquotank-Camden Ambulance Service</t>
  </si>
  <si>
    <t>East Albemarle Regional Library</t>
  </si>
  <si>
    <t>Albemarle District Jail Commission</t>
  </si>
  <si>
    <t>Albemarle Hospital Authority</t>
  </si>
  <si>
    <t>Elizabeth City</t>
  </si>
  <si>
    <t>Pasquotank-Camden Library</t>
  </si>
  <si>
    <t>Pender County</t>
  </si>
  <si>
    <t>Surf City</t>
  </si>
  <si>
    <t>Perquimans County</t>
  </si>
  <si>
    <t>Person County</t>
  </si>
  <si>
    <t>Pitt County</t>
  </si>
  <si>
    <t>Sheppard Memorial Library</t>
  </si>
  <si>
    <t>Greenville Utilities Commission</t>
  </si>
  <si>
    <t>Greenville Housing Authority</t>
  </si>
  <si>
    <t>Farmville Housing Authority</t>
  </si>
  <si>
    <t>Ayden Housing Authority</t>
  </si>
  <si>
    <t>Polk County</t>
  </si>
  <si>
    <t>Randolph County</t>
  </si>
  <si>
    <t>Richmond County</t>
  </si>
  <si>
    <t>Sandhill Regional Library</t>
  </si>
  <si>
    <t>Rockingham Housing Authority</t>
  </si>
  <si>
    <t>Robeson County</t>
  </si>
  <si>
    <t>Lumber River Council Of Governments</t>
  </si>
  <si>
    <t>Robeson County Housing Authority</t>
  </si>
  <si>
    <t>Robeson County Public Library</t>
  </si>
  <si>
    <t>Fairmont Housing Authority</t>
  </si>
  <si>
    <t>Pembroke Housing Authority</t>
  </si>
  <si>
    <t>Rockingham County</t>
  </si>
  <si>
    <t>Madison-Mayodan Recreation Comm</t>
  </si>
  <si>
    <t>Rowan County</t>
  </si>
  <si>
    <t>East Spencer Housing Authority</t>
  </si>
  <si>
    <t>Rutherford County</t>
  </si>
  <si>
    <t>Broad River Water Authority</t>
  </si>
  <si>
    <t>Forest City</t>
  </si>
  <si>
    <t>Forest City Housing Authority</t>
  </si>
  <si>
    <t>Sampson County</t>
  </si>
  <si>
    <t>Scotland County</t>
  </si>
  <si>
    <t>Laurinburg-Maxton Airport Commission</t>
  </si>
  <si>
    <t>Stanly County</t>
  </si>
  <si>
    <t>Stokes County</t>
  </si>
  <si>
    <t>Surry County</t>
  </si>
  <si>
    <t>Yadkin Valley Sewer Authority</t>
  </si>
  <si>
    <t>Swain County</t>
  </si>
  <si>
    <t>Transylvania County</t>
  </si>
  <si>
    <t>Tyrrell County</t>
  </si>
  <si>
    <t>Union County</t>
  </si>
  <si>
    <t>TOWN OF MINERAL SPRINGS</t>
  </si>
  <si>
    <t>Vance County</t>
  </si>
  <si>
    <t>Wake County</t>
  </si>
  <si>
    <t>Wake County Housing Authority</t>
  </si>
  <si>
    <t>Bayleaf Fire Department</t>
  </si>
  <si>
    <t>Raleigh-Durham Airport Authority</t>
  </si>
  <si>
    <t>Warren County</t>
  </si>
  <si>
    <t>Washington County</t>
  </si>
  <si>
    <t>Pettigrew Regional Library</t>
  </si>
  <si>
    <t>Plymouth Housing Authority</t>
  </si>
  <si>
    <t>Watauga County</t>
  </si>
  <si>
    <t>Region D Council Of Governments</t>
  </si>
  <si>
    <t>Blowing Rock Tourism Development Authority</t>
  </si>
  <si>
    <t>Wayne County</t>
  </si>
  <si>
    <t>Southern Wayne Sanitary District</t>
  </si>
  <si>
    <t>Wilkes County</t>
  </si>
  <si>
    <t>Appalachian Regional Library</t>
  </si>
  <si>
    <t>Wilson County</t>
  </si>
  <si>
    <t>Yadkin County</t>
  </si>
  <si>
    <t>Sensitivity of the net pension liability (asset) to changes in the discount rate</t>
  </si>
  <si>
    <t>GASB 68 Accounting Template – LGERS</t>
  </si>
  <si>
    <t>All LGERS Employers</t>
  </si>
  <si>
    <t>Choose Your Agency:</t>
  </si>
  <si>
    <t>Agency Number:</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</si>
  <si>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</si>
  <si>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</si>
  <si>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</si>
  <si>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</si>
  <si>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</si>
  <si>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</si>
  <si>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</si>
  <si>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</si>
  <si>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</si>
  <si>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</si>
  <si>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</si>
  <si>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</si>
  <si>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</si>
  <si>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</si>
  <si>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</si>
  <si>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</si>
  <si>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</si>
  <si>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</si>
  <si>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</si>
  <si>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</si>
  <si>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</si>
  <si>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</si>
  <si>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</si>
  <si>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</si>
  <si>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AVERY COUNTY FIRE COMMISSION</t>
  </si>
  <si>
    <t>DUPLIN COUNTY TOURISM DEVELOPMENT AUTHORITY</t>
  </si>
  <si>
    <t>Note:</t>
  </si>
  <si>
    <t>FY201X refers to the fiscal year ending June 30, 201X</t>
  </si>
  <si>
    <t>Current Proportional Share</t>
  </si>
  <si>
    <t>Prior Proportional Share</t>
  </si>
  <si>
    <t>Change in Proportional Share</t>
  </si>
  <si>
    <t>ORBIT Unit Contributions to Plan in Measurement Year</t>
  </si>
  <si>
    <t>Net Pension Liability BOY</t>
  </si>
  <si>
    <t>Net Pension Liability EOY</t>
  </si>
  <si>
    <t>CURRENT YEAR</t>
  </si>
  <si>
    <t>PRIOR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</si>
  <si>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</si>
  <si>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</si>
  <si>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</si>
  <si>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 xml:space="preserve">Employer contributions subsequent to the measurement date * </t>
  </si>
  <si>
    <t>Unit's proportionate share (for footnote disclosure)</t>
  </si>
  <si>
    <t>Your fiscal year end:</t>
  </si>
  <si>
    <t>Misenheimer</t>
  </si>
  <si>
    <t>Alamance</t>
  </si>
  <si>
    <t>Bald Head Island</t>
  </si>
  <si>
    <t>Flat Rock</t>
  </si>
  <si>
    <t>Pinehurst</t>
  </si>
  <si>
    <t>Whispering Pines</t>
  </si>
  <si>
    <t>Simpson</t>
  </si>
  <si>
    <t>Marvin</t>
  </si>
  <si>
    <t>Wesley Chapel</t>
  </si>
  <si>
    <t>Walnut Creek</t>
  </si>
  <si>
    <t>Sparta</t>
  </si>
  <si>
    <t>Burnsville</t>
  </si>
  <si>
    <t>Mebane</t>
  </si>
  <si>
    <t>Haw River</t>
  </si>
  <si>
    <t>Green Level</t>
  </si>
  <si>
    <t>Taylorsville</t>
  </si>
  <si>
    <t>Wadesboro</t>
  </si>
  <si>
    <t>Lilesville</t>
  </si>
  <si>
    <t>Polkton</t>
  </si>
  <si>
    <t>Peachland</t>
  </si>
  <si>
    <t>Ansonville</t>
  </si>
  <si>
    <t>Morven</t>
  </si>
  <si>
    <t>Jefferson</t>
  </si>
  <si>
    <t>West Jefferson</t>
  </si>
  <si>
    <t>Banner Elk</t>
  </si>
  <si>
    <t>Newland</t>
  </si>
  <si>
    <t>Beech Mountain</t>
  </si>
  <si>
    <t>Elk Park</t>
  </si>
  <si>
    <t>Sugar Mountain</t>
  </si>
  <si>
    <t>Aurora</t>
  </si>
  <si>
    <t>Belhaven</t>
  </si>
  <si>
    <t>Washington Park</t>
  </si>
  <si>
    <t>Chocowinity</t>
  </si>
  <si>
    <t>Aulander</t>
  </si>
  <si>
    <t>Windsor</t>
  </si>
  <si>
    <t>Colerain</t>
  </si>
  <si>
    <t>Elizabethtown</t>
  </si>
  <si>
    <t>White Lake</t>
  </si>
  <si>
    <t>Clarkton</t>
  </si>
  <si>
    <t>Bladenboro</t>
  </si>
  <si>
    <t>Leland</t>
  </si>
  <si>
    <t>Calabash</t>
  </si>
  <si>
    <t>Holden Beach</t>
  </si>
  <si>
    <t>Belville</t>
  </si>
  <si>
    <t>Oak Island</t>
  </si>
  <si>
    <t>Carolina Shores</t>
  </si>
  <si>
    <t>Sunset Beach</t>
  </si>
  <si>
    <t>Caswell Beach</t>
  </si>
  <si>
    <t>Ocean Isle Beach</t>
  </si>
  <si>
    <t>Shallotte</t>
  </si>
  <si>
    <t>Biltmore Forest</t>
  </si>
  <si>
    <t>Weaverville</t>
  </si>
  <si>
    <t>Black Mountain</t>
  </si>
  <si>
    <t>Montreat</t>
  </si>
  <si>
    <t>Woodfin</t>
  </si>
  <si>
    <t>Valdese</t>
  </si>
  <si>
    <t>Rutherford College</t>
  </si>
  <si>
    <t>Drexel</t>
  </si>
  <si>
    <t>Glen Alpine</t>
  </si>
  <si>
    <t>Connelly Springs</t>
  </si>
  <si>
    <t>Mount Pleasant</t>
  </si>
  <si>
    <t>Kannapolis</t>
  </si>
  <si>
    <t>Midland</t>
  </si>
  <si>
    <t>Granite Falls</t>
  </si>
  <si>
    <t>Sawmills</t>
  </si>
  <si>
    <t>Hudson</t>
  </si>
  <si>
    <t>Harrisburg</t>
  </si>
  <si>
    <t>Morehead City</t>
  </si>
  <si>
    <t>Newport</t>
  </si>
  <si>
    <t>Beaufort</t>
  </si>
  <si>
    <t>Pine Knoll Shores</t>
  </si>
  <si>
    <t>Emerald Isle</t>
  </si>
  <si>
    <t>Indian Beach</t>
  </si>
  <si>
    <t>Cape Carteret</t>
  </si>
  <si>
    <t>Atlantic Beach</t>
  </si>
  <si>
    <t>Cedar Point</t>
  </si>
  <si>
    <t>Yanceyville</t>
  </si>
  <si>
    <t>Claremont</t>
  </si>
  <si>
    <t>Maiden</t>
  </si>
  <si>
    <t>Conover</t>
  </si>
  <si>
    <t>Brookford</t>
  </si>
  <si>
    <t>Newton</t>
  </si>
  <si>
    <t>Catawba</t>
  </si>
  <si>
    <t>Siler City</t>
  </si>
  <si>
    <t>Pittsboro</t>
  </si>
  <si>
    <t>Murphy</t>
  </si>
  <si>
    <t>Andrews</t>
  </si>
  <si>
    <t>Edenton</t>
  </si>
  <si>
    <t>Boiling Springs</t>
  </si>
  <si>
    <t>Lawndale</t>
  </si>
  <si>
    <t>Grover</t>
  </si>
  <si>
    <t>Brunswick</t>
  </si>
  <si>
    <t>Fair Bluff</t>
  </si>
  <si>
    <t>Chadbourn</t>
  </si>
  <si>
    <t>Tabor City</t>
  </si>
  <si>
    <t>Trent Woods</t>
  </si>
  <si>
    <t>River Bend</t>
  </si>
  <si>
    <t>Vanceboro</t>
  </si>
  <si>
    <t>Bridgeton</t>
  </si>
  <si>
    <t>Cove City</t>
  </si>
  <si>
    <t>Stedman</t>
  </si>
  <si>
    <t>Hope Mills</t>
  </si>
  <si>
    <t>Wade</t>
  </si>
  <si>
    <t>Linden</t>
  </si>
  <si>
    <t>Spring Lake</t>
  </si>
  <si>
    <t>Falcon</t>
  </si>
  <si>
    <t>Eastover</t>
  </si>
  <si>
    <t>Nags Head</t>
  </si>
  <si>
    <t>Kill Devil Hills</t>
  </si>
  <si>
    <t>Manteo</t>
  </si>
  <si>
    <t>Southern Shores</t>
  </si>
  <si>
    <t>Kitty Hawk</t>
  </si>
  <si>
    <t>Duck</t>
  </si>
  <si>
    <t>Denton</t>
  </si>
  <si>
    <t>Mocksville</t>
  </si>
  <si>
    <t>Bermuda Run</t>
  </si>
  <si>
    <t>Cooleemee</t>
  </si>
  <si>
    <t>Beulaville</t>
  </si>
  <si>
    <t>Kenansville</t>
  </si>
  <si>
    <t>Warsaw</t>
  </si>
  <si>
    <t>Faison</t>
  </si>
  <si>
    <t>Wallace</t>
  </si>
  <si>
    <t>Rose Hill</t>
  </si>
  <si>
    <t>Calypso</t>
  </si>
  <si>
    <t>Teachey</t>
  </si>
  <si>
    <t>Magnolia</t>
  </si>
  <si>
    <t>Tarboro</t>
  </si>
  <si>
    <t>Pinetops</t>
  </si>
  <si>
    <t>Macclesfield</t>
  </si>
  <si>
    <t>Princeville</t>
  </si>
  <si>
    <t>Kernersville</t>
  </si>
  <si>
    <t>Rural Hall</t>
  </si>
  <si>
    <t>Lewisville</t>
  </si>
  <si>
    <t>Walkertown</t>
  </si>
  <si>
    <t>Franklinton</t>
  </si>
  <si>
    <t>Louisburg</t>
  </si>
  <si>
    <t>Bunn</t>
  </si>
  <si>
    <t>Youngsville</t>
  </si>
  <si>
    <t>Stanley</t>
  </si>
  <si>
    <t>Mcadenville</t>
  </si>
  <si>
    <t>Cramerton</t>
  </si>
  <si>
    <t>Dallas</t>
  </si>
  <si>
    <t>Lowell</t>
  </si>
  <si>
    <t>Ranlo</t>
  </si>
  <si>
    <t>Robbinsville</t>
  </si>
  <si>
    <t>Stovall</t>
  </si>
  <si>
    <t>Butner</t>
  </si>
  <si>
    <t>Hookerton</t>
  </si>
  <si>
    <t>Snow Hill</t>
  </si>
  <si>
    <t>Walstonburg</t>
  </si>
  <si>
    <t>Jamestown</t>
  </si>
  <si>
    <t>Gibsonville</t>
  </si>
  <si>
    <t>Oak Ridge</t>
  </si>
  <si>
    <t>Summerfield</t>
  </si>
  <si>
    <t>Enfield</t>
  </si>
  <si>
    <t>Weldon</t>
  </si>
  <si>
    <t>Scotland Neck</t>
  </si>
  <si>
    <t>Hobgood</t>
  </si>
  <si>
    <t>Littleton</t>
  </si>
  <si>
    <t>Dunn</t>
  </si>
  <si>
    <t>Lillington</t>
  </si>
  <si>
    <t>Erwin</t>
  </si>
  <si>
    <t>Coats</t>
  </si>
  <si>
    <t>Angier</t>
  </si>
  <si>
    <t>Waynesville</t>
  </si>
  <si>
    <t>Maggie Valley</t>
  </si>
  <si>
    <t>Canton</t>
  </si>
  <si>
    <t>Laurel Park</t>
  </si>
  <si>
    <t>Fletcher</t>
  </si>
  <si>
    <t>Mills River</t>
  </si>
  <si>
    <t>Ahoskie</t>
  </si>
  <si>
    <t>Murfreesboro</t>
  </si>
  <si>
    <t>Winton</t>
  </si>
  <si>
    <t>Cofield</t>
  </si>
  <si>
    <t>Raeford</t>
  </si>
  <si>
    <t>Troutman</t>
  </si>
  <si>
    <t>Sylva</t>
  </si>
  <si>
    <t>Archer Lodge</t>
  </si>
  <si>
    <t>Smithfield</t>
  </si>
  <si>
    <t>Selma</t>
  </si>
  <si>
    <t>Micro</t>
  </si>
  <si>
    <t>Clayton</t>
  </si>
  <si>
    <t>Benson</t>
  </si>
  <si>
    <t>Four Oaks</t>
  </si>
  <si>
    <t>Pine Level</t>
  </si>
  <si>
    <t>Kenly</t>
  </si>
  <si>
    <t>Princeton</t>
  </si>
  <si>
    <t>Pollocksville</t>
  </si>
  <si>
    <t>Maysville</t>
  </si>
  <si>
    <t>Broadway</t>
  </si>
  <si>
    <t>Pink Hill</t>
  </si>
  <si>
    <t>Lagrange</t>
  </si>
  <si>
    <t>Franklin</t>
  </si>
  <si>
    <t>Highlands</t>
  </si>
  <si>
    <t>Mars Hill</t>
  </si>
  <si>
    <t>Marshall</t>
  </si>
  <si>
    <t>Oak City</t>
  </si>
  <si>
    <t>Hamilton</t>
  </si>
  <si>
    <t>Jamesville</t>
  </si>
  <si>
    <t>Robersonville</t>
  </si>
  <si>
    <t>Marion</t>
  </si>
  <si>
    <t>Old Fort</t>
  </si>
  <si>
    <t>Pineville</t>
  </si>
  <si>
    <t>Mint Hill</t>
  </si>
  <si>
    <t>Huntersville</t>
  </si>
  <si>
    <t>Cornelius</t>
  </si>
  <si>
    <t>Stallings</t>
  </si>
  <si>
    <t>Matthews</t>
  </si>
  <si>
    <t>Davidson</t>
  </si>
  <si>
    <t>Spruce Pine</t>
  </si>
  <si>
    <t>Bakersville</t>
  </si>
  <si>
    <t>Star</t>
  </si>
  <si>
    <t>Troy</t>
  </si>
  <si>
    <t>Biscoe</t>
  </si>
  <si>
    <t>Candor</t>
  </si>
  <si>
    <t>Mount Gilead</t>
  </si>
  <si>
    <t>Taylortown</t>
  </si>
  <si>
    <t>Southern Pines</t>
  </si>
  <si>
    <t>Cameron</t>
  </si>
  <si>
    <t>Vass</t>
  </si>
  <si>
    <t>Aberdeen</t>
  </si>
  <si>
    <t>Robbins</t>
  </si>
  <si>
    <t>Pinebluff</t>
  </si>
  <si>
    <t>Carthage</t>
  </si>
  <si>
    <t>Spring Hope</t>
  </si>
  <si>
    <t>Nashville</t>
  </si>
  <si>
    <t>Middlesex</t>
  </si>
  <si>
    <t>Whitakers</t>
  </si>
  <si>
    <t>Bailey</t>
  </si>
  <si>
    <t>Sharpsburg</t>
  </si>
  <si>
    <t>Wrightsville Beach</t>
  </si>
  <si>
    <t>Carolina Beach</t>
  </si>
  <si>
    <t>Kure Beach</t>
  </si>
  <si>
    <t>Rich Square</t>
  </si>
  <si>
    <t>Woodland</t>
  </si>
  <si>
    <t>Garysburg</t>
  </si>
  <si>
    <t>Conway</t>
  </si>
  <si>
    <t>Gaston</t>
  </si>
  <si>
    <t>Jackson</t>
  </si>
  <si>
    <t>Severn</t>
  </si>
  <si>
    <t>Seaboard</t>
  </si>
  <si>
    <t>Swansboro</t>
  </si>
  <si>
    <t>Holly Ridge</t>
  </si>
  <si>
    <t>Richlands</t>
  </si>
  <si>
    <t>North Topsail Beach</t>
  </si>
  <si>
    <t>Chapel Hill</t>
  </si>
  <si>
    <t>Carrboro</t>
  </si>
  <si>
    <t>Hillsborough</t>
  </si>
  <si>
    <t>Bayboro</t>
  </si>
  <si>
    <t>Oriental</t>
  </si>
  <si>
    <t>Burgaw</t>
  </si>
  <si>
    <t>Topsail Beach</t>
  </si>
  <si>
    <t>Hertford</t>
  </si>
  <si>
    <t>Winfall</t>
  </si>
  <si>
    <t>Grifton</t>
  </si>
  <si>
    <t>Bethel</t>
  </si>
  <si>
    <t>Winterville</t>
  </si>
  <si>
    <t>Ayden</t>
  </si>
  <si>
    <t>Grimesland</t>
  </si>
  <si>
    <t>Tryon</t>
  </si>
  <si>
    <t>Columbus</t>
  </si>
  <si>
    <t>Saluda</t>
  </si>
  <si>
    <t>Liberty</t>
  </si>
  <si>
    <t>Ramseur</t>
  </si>
  <si>
    <t>Ellerbe</t>
  </si>
  <si>
    <t>Fairmont</t>
  </si>
  <si>
    <t>Maxton</t>
  </si>
  <si>
    <t>Pembroke</t>
  </si>
  <si>
    <t>Rowland</t>
  </si>
  <si>
    <t>Red Springs</t>
  </si>
  <si>
    <t>Reidsville</t>
  </si>
  <si>
    <t>Mayodan</t>
  </si>
  <si>
    <t>Stoneville</t>
  </si>
  <si>
    <t>Madison</t>
  </si>
  <si>
    <t>East Spencer</t>
  </si>
  <si>
    <t>Spencer</t>
  </si>
  <si>
    <t>China Grove</t>
  </si>
  <si>
    <t>Landis</t>
  </si>
  <si>
    <t>Granite Quarry</t>
  </si>
  <si>
    <t>Rockwell</t>
  </si>
  <si>
    <t>Faith</t>
  </si>
  <si>
    <t>Cleveland</t>
  </si>
  <si>
    <t>Spindale</t>
  </si>
  <si>
    <t>Lake Lure</t>
  </si>
  <si>
    <t>Rutherfordton</t>
  </si>
  <si>
    <t>Ellenboro</t>
  </si>
  <si>
    <t>Salemburg</t>
  </si>
  <si>
    <t>Newton Grove</t>
  </si>
  <si>
    <t>Garland</t>
  </si>
  <si>
    <t>Turkey</t>
  </si>
  <si>
    <t>Roseboro</t>
  </si>
  <si>
    <t>Autryville</t>
  </si>
  <si>
    <t>Wagram</t>
  </si>
  <si>
    <t>Gibson</t>
  </si>
  <si>
    <t>Norwood</t>
  </si>
  <si>
    <t>Oakboro</t>
  </si>
  <si>
    <t>Badin</t>
  </si>
  <si>
    <t>Stanfield</t>
  </si>
  <si>
    <t>Walnut Cove</t>
  </si>
  <si>
    <t>King</t>
  </si>
  <si>
    <t>Pilot Mountain</t>
  </si>
  <si>
    <t>Dobson</t>
  </si>
  <si>
    <t>Elkin</t>
  </si>
  <si>
    <t>Bryson City</t>
  </si>
  <si>
    <t>Columbia</t>
  </si>
  <si>
    <t>Marshville</t>
  </si>
  <si>
    <t>Wingate</t>
  </si>
  <si>
    <t>Waxhaw</t>
  </si>
  <si>
    <t>Indian Trail</t>
  </si>
  <si>
    <t>Unionville</t>
  </si>
  <si>
    <t>Weddington</t>
  </si>
  <si>
    <t>Holly Springs</t>
  </si>
  <si>
    <t>Rolesville</t>
  </si>
  <si>
    <t>Morrisville</t>
  </si>
  <si>
    <t>Cary</t>
  </si>
  <si>
    <t>Wendell</t>
  </si>
  <si>
    <t>Zebulon</t>
  </si>
  <si>
    <t>Garner</t>
  </si>
  <si>
    <t>Fuquay-Varina</t>
  </si>
  <si>
    <t>Apex</t>
  </si>
  <si>
    <t>Wake Forest</t>
  </si>
  <si>
    <t>Knightdale</t>
  </si>
  <si>
    <t>Norlina</t>
  </si>
  <si>
    <t>Warrenton</t>
  </si>
  <si>
    <t>Plymouth</t>
  </si>
  <si>
    <t>Roper</t>
  </si>
  <si>
    <t>Creswell</t>
  </si>
  <si>
    <t>Boone</t>
  </si>
  <si>
    <t>Blowing Rock</t>
  </si>
  <si>
    <t>Seven Devils</t>
  </si>
  <si>
    <t>Mount Olive</t>
  </si>
  <si>
    <t>Fremont</t>
  </si>
  <si>
    <t>Pikeville</t>
  </si>
  <si>
    <t>North Wilkesboro</t>
  </si>
  <si>
    <t>Wilkesboro</t>
  </si>
  <si>
    <t>Stantonsburg</t>
  </si>
  <si>
    <t>Black Creek</t>
  </si>
  <si>
    <t>Lucama</t>
  </si>
  <si>
    <t>Elm City</t>
  </si>
  <si>
    <t>Yadkinville</t>
  </si>
  <si>
    <t>Jonesville</t>
  </si>
  <si>
    <t>East Bend</t>
  </si>
  <si>
    <t>Boonville</t>
  </si>
  <si>
    <t>Burlington</t>
  </si>
  <si>
    <t>Graham</t>
  </si>
  <si>
    <t>Washington</t>
  </si>
  <si>
    <t>Southport</t>
  </si>
  <si>
    <t>Northwest</t>
  </si>
  <si>
    <t>Asheville</t>
  </si>
  <si>
    <t>Morganton</t>
  </si>
  <si>
    <t>Concord</t>
  </si>
  <si>
    <t>Lenoir</t>
  </si>
  <si>
    <t>Hickory</t>
  </si>
  <si>
    <t>Shelby</t>
  </si>
  <si>
    <t>Whiteville</t>
  </si>
  <si>
    <t>Havelock</t>
  </si>
  <si>
    <t>Fayetteville</t>
  </si>
  <si>
    <t>Thomasville</t>
  </si>
  <si>
    <t>Lexington</t>
  </si>
  <si>
    <t>Durham</t>
  </si>
  <si>
    <t>Winston-Salem</t>
  </si>
  <si>
    <t>Gastonia</t>
  </si>
  <si>
    <t>Belmont</t>
  </si>
  <si>
    <t>Cherryville</t>
  </si>
  <si>
    <t>Bessemer City</t>
  </si>
  <si>
    <t>Oxford</t>
  </si>
  <si>
    <t>Creedmoor</t>
  </si>
  <si>
    <t>Greensboro</t>
  </si>
  <si>
    <t>Hendersonville</t>
  </si>
  <si>
    <t>Statesville</t>
  </si>
  <si>
    <t>Mooresville</t>
  </si>
  <si>
    <t>Sanford</t>
  </si>
  <si>
    <t>Kinston</t>
  </si>
  <si>
    <t>Lincolnton</t>
  </si>
  <si>
    <t>Williamston</t>
  </si>
  <si>
    <t>Charlotte</t>
  </si>
  <si>
    <t>Wilmington</t>
  </si>
  <si>
    <t>Jacksonville</t>
  </si>
  <si>
    <t>Roxboro</t>
  </si>
  <si>
    <t>Greenville</t>
  </si>
  <si>
    <t>Farmville</t>
  </si>
  <si>
    <t>Asheboro</t>
  </si>
  <si>
    <t>Randleman</t>
  </si>
  <si>
    <t>Archdale</t>
  </si>
  <si>
    <t>Trinity</t>
  </si>
  <si>
    <t>Rockingham</t>
  </si>
  <si>
    <t>Hamlet</t>
  </si>
  <si>
    <t>Lumberton</t>
  </si>
  <si>
    <t>Eden</t>
  </si>
  <si>
    <t>Salisbury</t>
  </si>
  <si>
    <t>Clinton</t>
  </si>
  <si>
    <t>Laurinburg</t>
  </si>
  <si>
    <t>Albemarle</t>
  </si>
  <si>
    <t>Locust</t>
  </si>
  <si>
    <t>Brevard</t>
  </si>
  <si>
    <t>Monroe</t>
  </si>
  <si>
    <t>Henderson</t>
  </si>
  <si>
    <t>Raleigh</t>
  </si>
  <si>
    <t>Goldsboro</t>
  </si>
  <si>
    <t>Wilson</t>
  </si>
  <si>
    <t>Navassa</t>
  </si>
  <si>
    <t>Western Highland Area Authority</t>
  </si>
  <si>
    <t>Bolton</t>
  </si>
  <si>
    <t>Midway</t>
  </si>
  <si>
    <t>Duplin County Tourism Development Authority</t>
  </si>
  <si>
    <t>Clemmons</t>
  </si>
  <si>
    <t>Tobaccoville</t>
  </si>
  <si>
    <t>Bessemer City ABC Board</t>
  </si>
  <si>
    <t>Guilford County</t>
  </si>
  <si>
    <t>Mineral Springs</t>
  </si>
  <si>
    <t>Primary Agency Number</t>
  </si>
  <si>
    <t>Additional Agency Number (if applicable)</t>
  </si>
  <si>
    <t>Choose Your Additional Agency (if applicable):</t>
  </si>
  <si>
    <t>Total All Employer Agencies</t>
  </si>
  <si>
    <t>No additional agency chosen</t>
  </si>
  <si>
    <t>N/A</t>
  </si>
  <si>
    <t>Worksheet Instructions:</t>
  </si>
  <si>
    <t xml:space="preserve">           the resulting entries, see the referenced GASB 68 literature.  Review the entries with applicable staff prior to posting the entries in your general ledger.</t>
  </si>
  <si>
    <t xml:space="preserve"> &lt;&lt; Click on the cell to see a list of agencies. STEP 1</t>
  </si>
  <si>
    <t xml:space="preserve"> &lt;&lt; Enter your employer contributions for the period indicated.  STEP 4</t>
  </si>
  <si>
    <t xml:space="preserve"> &lt;&lt; Do NOT change entry if only reporting one agency!! - otherwise select your second agency. STEP 2</t>
  </si>
  <si>
    <t xml:space="preserve">         Advanced, Display Options for this Workbook, and ensure that Show Sheet Tabs is checked.  Consult your IT specialist as needed.</t>
  </si>
  <si>
    <t>Step 2 - If you have an additional agency number to include in your financial statement (not common), click on cell C22 and choose that agency from the drop-down menu.</t>
  </si>
  <si>
    <t xml:space="preserve">            If you do not have an additional agency to include in your financial statement, verify that cell C22 shows "No additional agency chosen" and go to Step 3.</t>
  </si>
  <si>
    <t>Your employer contributions from:</t>
  </si>
  <si>
    <t>TOTAL Recognition of Deferred (Inflows)/Outflows</t>
  </si>
  <si>
    <t>Paragraph 54 and 55 Outflows</t>
  </si>
  <si>
    <t>Paragraph 54 and 55 Inflows</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</si>
  <si>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</si>
  <si>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</si>
  <si>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</si>
  <si>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</si>
  <si>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</si>
  <si>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</si>
  <si>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</si>
  <si>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</si>
  <si>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</si>
  <si>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</si>
  <si>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Total</t>
  </si>
  <si>
    <t>Share of collective pension expense</t>
  </si>
  <si>
    <t>True up pension expense</t>
  </si>
  <si>
    <t>Employer contributions subsequent to measurement date (DO)</t>
  </si>
  <si>
    <t>Total Net Pension Liability</t>
  </si>
  <si>
    <t>Total Pension Expense</t>
  </si>
  <si>
    <t>Unit's share of collective pension expense</t>
  </si>
  <si>
    <t>Pension expense resulting from differences between ORBIT system contributions and what was recorded as a deferred outflow in the prior year</t>
  </si>
  <si>
    <t>Pension plan contributions</t>
  </si>
  <si>
    <t>Net Pension Liability</t>
  </si>
  <si>
    <t>Total Deferred Outflows of Resources</t>
  </si>
  <si>
    <t>Total Deferred Inflows of Resources</t>
  </si>
  <si>
    <t>THE EASTERN BAND OF CHEROKEE INDIANS</t>
  </si>
  <si>
    <t>PIEDMONT TRIAD AIRPORT AUTHORITY</t>
  </si>
  <si>
    <t>TOWN OF SEAGROVE</t>
  </si>
  <si>
    <t>TOWN OF SPARTA</t>
  </si>
  <si>
    <t>YANCEY COUNTY</t>
  </si>
  <si>
    <t>YANCEY SOIL &amp; WATER CONS</t>
  </si>
  <si>
    <t>TOWN OF BURNSVILLE</t>
  </si>
  <si>
    <t>MARTIN-TYRRELL-WASHINGTON DIST HEALTH DEPT</t>
  </si>
  <si>
    <t>ALBEMARLE REGIONAL HEALTH SERVICES</t>
  </si>
  <si>
    <t>TOE RIVER HEALTH DISTRICT</t>
  </si>
  <si>
    <t>APPALACHIAN DISTRICT HEALTH DEPT</t>
  </si>
  <si>
    <t>ALAMANCE COUNTY</t>
  </si>
  <si>
    <t>CITY OF BURLINGTON</t>
  </si>
  <si>
    <t>CITY OF MEBANE</t>
  </si>
  <si>
    <t>ALAMANCE MUNICIPAL ABC BOARD</t>
  </si>
  <si>
    <t>CITY OF GRAHAM</t>
  </si>
  <si>
    <t>TOWN OF ELON</t>
  </si>
  <si>
    <t>TOWN OF HAW RIVER</t>
  </si>
  <si>
    <t>VILLAGE OF ALAMANCE</t>
  </si>
  <si>
    <t>TOWN OF GREEN LEVEL</t>
  </si>
  <si>
    <t>ALEXANDER COUNTY</t>
  </si>
  <si>
    <t>ALEXANDER COUNTY HEALTH DEPT</t>
  </si>
  <si>
    <t>ALEXANDER COUNTY PUBLIC LIBRARY</t>
  </si>
  <si>
    <t>ALEXANDER COUNTY DEPT OF S S</t>
  </si>
  <si>
    <t>TOWN OF TAYLORSVILLE</t>
  </si>
  <si>
    <t>ALLEGHANY COUNTY</t>
  </si>
  <si>
    <t>NORTHWESTERN REGIONAL LIBRARY</t>
  </si>
  <si>
    <t>TOWN OF SPARTA ABC BOARD</t>
  </si>
  <si>
    <t>ANSON COUNTY</t>
  </si>
  <si>
    <t>TOWN OF WADESBORO</t>
  </si>
  <si>
    <t>WADESBORO HOUSING AUTHORITY</t>
  </si>
  <si>
    <t>WADESBORO ABC BOARD</t>
  </si>
  <si>
    <t>TOWN OF LILESVILLE</t>
  </si>
  <si>
    <t>TOWN OF POLKTON</t>
  </si>
  <si>
    <t>TOWN OF PEACHLAND</t>
  </si>
  <si>
    <t>TOWN OF ANSONVILLE</t>
  </si>
  <si>
    <t>TOWN OF MORVEN</t>
  </si>
  <si>
    <t>ASHE COUNTY</t>
  </si>
  <si>
    <t>TOWN OF JEFFERSON</t>
  </si>
  <si>
    <t>TOWN OF WEST JEFFERSON</t>
  </si>
  <si>
    <t>AVERY COUNTY</t>
  </si>
  <si>
    <t>AVERY-MITCHELL-YANCEY REG LIBRARY</t>
  </si>
  <si>
    <t>TOWN OF BANNER ELK</t>
  </si>
  <si>
    <t>HIGH COUNTRY ABC BOARD</t>
  </si>
  <si>
    <t>TOWN OF NEWLAND</t>
  </si>
  <si>
    <t>TOWN OF BEECH MOUNTAIN</t>
  </si>
  <si>
    <t>TOWN OF ELK PARK</t>
  </si>
  <si>
    <t>TOWN OF SUGAR MOUNTAIN</t>
  </si>
  <si>
    <t>BEAUFORT COUNTY</t>
  </si>
  <si>
    <t>BEAUFORT COUNTY ABC BOARD</t>
  </si>
  <si>
    <t>B H M REGIONAL LIBRARY</t>
  </si>
  <si>
    <t>MIDEAST COMMISSION</t>
  </si>
  <si>
    <t>CITY OF WASHINGTON</t>
  </si>
  <si>
    <t>TOWN OF AURORA</t>
  </si>
  <si>
    <t>TOWN OF BELHAVEN</t>
  </si>
  <si>
    <t>TOWN OF WASHINGTON PARK</t>
  </si>
  <si>
    <t>TOWN OF CHOCOWINITY</t>
  </si>
  <si>
    <t>BERTIE COUNTY</t>
  </si>
  <si>
    <t>BERTIE COUNTY ABC BOARD</t>
  </si>
  <si>
    <t>ALBEMARLE REGIONAL LIBRARY</t>
  </si>
  <si>
    <t>BERTIE-MARTIN REGIONAL JAIL COMM</t>
  </si>
  <si>
    <t>TOWN OF AULANDER</t>
  </si>
  <si>
    <t>TOWN OF WINDSOR</t>
  </si>
  <si>
    <t>TOWN OF COLERAIN</t>
  </si>
  <si>
    <t>TOWN OF LEWISTON WOODVILLE</t>
  </si>
  <si>
    <t>BLADEN COUNTY</t>
  </si>
  <si>
    <t>TOWN OF ELIZABETHTOWN</t>
  </si>
  <si>
    <t>ELIZABETHTOWN ABC BOARD</t>
  </si>
  <si>
    <t>SOUTH EASTERN ECONOMIC DEVELOPMENT COMM</t>
  </si>
  <si>
    <t>TOWN OF WHITE LAKE</t>
  </si>
  <si>
    <t>TOWN OF CLARKTON</t>
  </si>
  <si>
    <t>TOWN OF BLADENBORO</t>
  </si>
  <si>
    <t>BRUNSWICK COUNTY</t>
  </si>
  <si>
    <t>TOWN OF LELAND</t>
  </si>
  <si>
    <t>BRUNSWICK CO HEALTH DEPT</t>
  </si>
  <si>
    <t>BRUNSWICK COUNTY ABC BOARD</t>
  </si>
  <si>
    <t>BRUNSWICK CO DEPT OF SOCIAL SERVICES</t>
  </si>
  <si>
    <t>CALABASH ABC BOARD</t>
  </si>
  <si>
    <t>CAPE FEAR COUNCIL OF GOVERNMENTS</t>
  </si>
  <si>
    <t>BRUNSWICK COUNTY TOURISM AUTHORITY</t>
  </si>
  <si>
    <t>TOWN OF CALABASH</t>
  </si>
  <si>
    <t>CITY OF SOUTHPORT</t>
  </si>
  <si>
    <t>CITY OF NORTHWEST</t>
  </si>
  <si>
    <t>SOUTHEAST BRUNSWICK SANITARY DISTRICT</t>
  </si>
  <si>
    <t>TOWN OF HOLDEN BEACH</t>
  </si>
  <si>
    <t>CITY OF SOUTHPORT ABC BOARD</t>
  </si>
  <si>
    <t>TOWN OF BELVILLE</t>
  </si>
  <si>
    <t>TOWN OF OAK ISLAND</t>
  </si>
  <si>
    <t>TOWN OF CAROLINA SHORES</t>
  </si>
  <si>
    <t>OAK ISLAND ABC BD</t>
  </si>
  <si>
    <t>TOWN OF ST JAMES</t>
  </si>
  <si>
    <t>TOWN OF SUNSET BEACH</t>
  </si>
  <si>
    <t>BRUNSWICK REGIONAL WATER AND SEWER H2GO</t>
  </si>
  <si>
    <t>TOWN OF SUNSET BEACH ABC BOARD</t>
  </si>
  <si>
    <t>TOWN OF CASWELL BEACH</t>
  </si>
  <si>
    <t>SHALLOTTE ABC BOARD</t>
  </si>
  <si>
    <t>TOWN OF OCEAN ISLE BEACH</t>
  </si>
  <si>
    <t>OCEAN ISLE BEACH ABC BOARD</t>
  </si>
  <si>
    <t>CITY OF BOILING SPRG LAKES</t>
  </si>
  <si>
    <t>BOILING SPRING LAKES ABC BOARD</t>
  </si>
  <si>
    <t>TOWN OF SHALLOTTE</t>
  </si>
  <si>
    <t>VILLAGE OF BALD HEAD ISLAND</t>
  </si>
  <si>
    <t>BUNCOMBE COUNTY</t>
  </si>
  <si>
    <t>LAND-OF-SKY REGIONAL COUNCIL</t>
  </si>
  <si>
    <t>WOODFIN ABC COMMISSION</t>
  </si>
  <si>
    <t>WESTERN NC REGIONAL AIR QUALITY</t>
  </si>
  <si>
    <t>METRO SEWERAGE DIST OF BUNCOMBE COUNTY</t>
  </si>
  <si>
    <t>WOODFIN SANITARY WATER AND SEWER DIST</t>
  </si>
  <si>
    <t>TOWN OF BILTMORE FOREST</t>
  </si>
  <si>
    <t>WEST BUNCOMBE FIRE DEPT</t>
  </si>
  <si>
    <t>CITY OF ASHEVILLE</t>
  </si>
  <si>
    <t>ASHEVILLE ABC BOARD</t>
  </si>
  <si>
    <t>ASHEVILLE REGIONAL AIRPORT AUTHORITY</t>
  </si>
  <si>
    <t>SKYLAND VOL FIRE DEPT</t>
  </si>
  <si>
    <t>TOWN OF WEAVERVILLE</t>
  </si>
  <si>
    <t>WEAVERVILLE ABC BOARD</t>
  </si>
  <si>
    <t>TOWN OF BLACK MOUNTAIN</t>
  </si>
  <si>
    <t>BLACK MTN ABC BOARD</t>
  </si>
  <si>
    <t>TOWN OF MONTREAT</t>
  </si>
  <si>
    <t>TOWN OF WOODFIN</t>
  </si>
  <si>
    <t>BURKE COUNTY</t>
  </si>
  <si>
    <t>BURKE-CATAWBA DIST CONFINEMENT</t>
  </si>
  <si>
    <t>BURKE CO HEALTH DEPT</t>
  </si>
  <si>
    <t>BURKE CO DEPT OF SOCIAL SERVICES</t>
  </si>
  <si>
    <t>BURKE COUNTY TOURISM DEV. AUTHORITY</t>
  </si>
  <si>
    <t>TOWN OF VALDESE</t>
  </si>
  <si>
    <t>VALDESE HOUSING AUTHORITY</t>
  </si>
  <si>
    <t>TOWN OF RUTHERFORD COLLEGE</t>
  </si>
  <si>
    <t>MORGANTON ABC BOARD</t>
  </si>
  <si>
    <t>TOWN OF DREXEL</t>
  </si>
  <si>
    <t>CITY OF MORGANTON</t>
  </si>
  <si>
    <t>MORGANTON HOUSING AUTHORITY</t>
  </si>
  <si>
    <t>TOWN OF GLEN ALPINE</t>
  </si>
  <si>
    <t>TOWN OF HILDEBRAN</t>
  </si>
  <si>
    <t>TOWN OF CONNELLY SPRINGS</t>
  </si>
  <si>
    <t>CABARRUS COUNTY</t>
  </si>
  <si>
    <t>WATER &amp; SEWER AUTH OF CABARRUS CNTY</t>
  </si>
  <si>
    <t>CABARRUS CO PUBLIC HEALTH AUTH</t>
  </si>
  <si>
    <t>CABARRUS COUNTY TOURISM AUTHORITY</t>
  </si>
  <si>
    <t>CITY OF CONCORD</t>
  </si>
  <si>
    <t>CONCORD ABC BOARD</t>
  </si>
  <si>
    <t>TOWN OF MOUNT PLEASANT</t>
  </si>
  <si>
    <t>MT PLEASANT ABC BOARD</t>
  </si>
  <si>
    <t>CITY OF KANNAPOLIS</t>
  </si>
  <si>
    <t>TOWN OF MIDLAND</t>
  </si>
  <si>
    <t>CALDWELL COUNTY</t>
  </si>
  <si>
    <t>TOWN OF GRANITE FALLS</t>
  </si>
  <si>
    <t>GRANITE FALLS ABC BOARD</t>
  </si>
  <si>
    <t>TOWN OF SAWMILLS</t>
  </si>
  <si>
    <t>LENOIR HOUSING AUTHORITY</t>
  </si>
  <si>
    <t>TOWN OF HUDSON</t>
  </si>
  <si>
    <t>TOWN OF HARRISBURG</t>
  </si>
  <si>
    <t>CITY OF LENOIR</t>
  </si>
  <si>
    <t>CITY OF LENOIR ABC BRD</t>
  </si>
  <si>
    <t>TOWN OF CAJAH'S MOUNTAIN</t>
  </si>
  <si>
    <t>CAMDEN COUNTY</t>
  </si>
  <si>
    <t>CAMDEN COUNTY ABC BOARD</t>
  </si>
  <si>
    <t>CARTERET COUNTY</t>
  </si>
  <si>
    <t>CARTERET COUNTY ABC BOARD</t>
  </si>
  <si>
    <t>WESTERN CARTERET INTERLOCAL COOPERATION AGENCY</t>
  </si>
  <si>
    <t>TOWN OF MOREHEAD CITY</t>
  </si>
  <si>
    <t>TOWN OF NEWPORT</t>
  </si>
  <si>
    <t>TOWN OF BEAUFORT</t>
  </si>
  <si>
    <t>BEAUFORT HOUSING AUTH</t>
  </si>
  <si>
    <t>TOWN OF PINE KNOLL SHORES</t>
  </si>
  <si>
    <t>TOWN OF EMERALD ISLE</t>
  </si>
  <si>
    <t>TOWN OF INDIAN BEACH</t>
  </si>
  <si>
    <t>TOWN OF CAPE CARTERET</t>
  </si>
  <si>
    <t>TOWN OF ATLANTIC BEACH</t>
  </si>
  <si>
    <t>TOWN OF CEDAR POINT</t>
  </si>
  <si>
    <t>CASWELL COUNTY</t>
  </si>
  <si>
    <t>CASWELL COUNTY ABC BOARD</t>
  </si>
  <si>
    <t>CASWELL CO DEPT OF SOCIAL SERVICES</t>
  </si>
  <si>
    <t>TOWN OF YANCEYVILLE</t>
  </si>
  <si>
    <t>CATAWBA COUNTY</t>
  </si>
  <si>
    <t>CATAWBA COUNTY ABC BOARD</t>
  </si>
  <si>
    <t>CITY OF HICKORY</t>
  </si>
  <si>
    <t>HICKORY CONOVER TOURISM DEV AUTH</t>
  </si>
  <si>
    <t>HICKORY PUBLIC HOUSING AUTHORITY</t>
  </si>
  <si>
    <t>WESTERN PIEDMONT COUNCIL OF GVMTS</t>
  </si>
  <si>
    <t>WESTERN PIEDMONT REGIONAL TRANSIT AUTHORITY</t>
  </si>
  <si>
    <t>CITY OF CLAREMONT</t>
  </si>
  <si>
    <t>TOWN OF MAIDEN</t>
  </si>
  <si>
    <t>THE TOWN OF LONGVIEW</t>
  </si>
  <si>
    <t>TOWN OF CONOVER</t>
  </si>
  <si>
    <t>TOWN OF BROOKFORD</t>
  </si>
  <si>
    <t>CITY OF NEWTON</t>
  </si>
  <si>
    <t>TOWN OF CATAWBA</t>
  </si>
  <si>
    <t>CHATHAM COUNTY</t>
  </si>
  <si>
    <t>CHATHAM CO HOUSING AUTH</t>
  </si>
  <si>
    <t>CHATHAM COUNTY ABC BOARD</t>
  </si>
  <si>
    <t>GOLDSTON-GULF SANITARY DISTRICT</t>
  </si>
  <si>
    <t>TOWN OF SILER CITY</t>
  </si>
  <si>
    <t>SILER CITY ABC BOARD</t>
  </si>
  <si>
    <t>TOWN OF PITTSBORO</t>
  </si>
  <si>
    <t>CHEROKEE COUNTY</t>
  </si>
  <si>
    <t>NANTAHALA REGIONAL LIBRARY</t>
  </si>
  <si>
    <t>TOWN OF MURPHY</t>
  </si>
  <si>
    <t>MURPHY ABC BOARD</t>
  </si>
  <si>
    <t>TOWN OF ANDREWS</t>
  </si>
  <si>
    <t>CHOWAN COUNTY</t>
  </si>
  <si>
    <t>CHOWAN COUNTY ABC BOARD</t>
  </si>
  <si>
    <t>ALBEMARLE REGNL PLANNING &amp; DEVELOPMENT COMM</t>
  </si>
  <si>
    <t>TOWN OF EDENTON</t>
  </si>
  <si>
    <t>THE NEW EDENTON HOUSING AUTH</t>
  </si>
  <si>
    <t>CLAY COUNTY</t>
  </si>
  <si>
    <t>CLEVELAND COUNTY</t>
  </si>
  <si>
    <t>CLEVELAND COUNTY WATER</t>
  </si>
  <si>
    <t>CITY OF SHELBY</t>
  </si>
  <si>
    <t>SHELBY ABC BOARD</t>
  </si>
  <si>
    <t>CITY OF KINGS MOUNTAIN</t>
  </si>
  <si>
    <t>KINGS MOUNTAIN ABC BOARD</t>
  </si>
  <si>
    <t>TOWN OF BOILING SPRINGS</t>
  </si>
  <si>
    <t>TOWN OF LAWNDALE</t>
  </si>
  <si>
    <t>TOWN OF GROVER</t>
  </si>
  <si>
    <t>COLUMBUS COUNTY</t>
  </si>
  <si>
    <t>WHITEVILLE HOUSING AUTHORITY</t>
  </si>
  <si>
    <t>CITY OF WHITEVILLE</t>
  </si>
  <si>
    <t>WHITEVILLE ABC BOARD</t>
  </si>
  <si>
    <t>TOWN OF BRUNSWICK</t>
  </si>
  <si>
    <t>LAKE WACCAMAW ABC BOARD</t>
  </si>
  <si>
    <t>TOWN OF FAIR BLUFF</t>
  </si>
  <si>
    <t>TOWN OF CHADBOURN</t>
  </si>
  <si>
    <t>WEST COLUMBUS ABC BOARD</t>
  </si>
  <si>
    <t>TOWN OF TABOR CITY</t>
  </si>
  <si>
    <t>TOWN OF LAKE WACCAMAW</t>
  </si>
  <si>
    <t>CRAVEN COUNTY</t>
  </si>
  <si>
    <t>FIRST CRAVEN SANITARY DIST</t>
  </si>
  <si>
    <t>CRAVEN CO ABC BD</t>
  </si>
  <si>
    <t>CRAVEN-PAMLICO-CARTERET REGIONAL LIBRARY</t>
  </si>
  <si>
    <t>COASTAL CAROLINA REGIONAL AIRPORT</t>
  </si>
  <si>
    <t>NEUSE RIVER COUNCIL OF GOVERNMENTS</t>
  </si>
  <si>
    <t>COASTAL REGIONAL SOLID WASTE MNGT AUTH</t>
  </si>
  <si>
    <t>CITY OF NEW BERN</t>
  </si>
  <si>
    <t>TRILLIUM HEALTH RESOURCES</t>
  </si>
  <si>
    <t>TOWN OF TRENT WOODS</t>
  </si>
  <si>
    <t>CITY OF HAVELOCK</t>
  </si>
  <si>
    <t>TOWN OF RIVER BEND</t>
  </si>
  <si>
    <t>TOWN OF VANCEBORO</t>
  </si>
  <si>
    <t>TOWN OF BRIDGETON</t>
  </si>
  <si>
    <t>TOWN OF COVE CITY</t>
  </si>
  <si>
    <t>CUMBERLAND COUNTY</t>
  </si>
  <si>
    <t>WESTAREA VOLUNTEER FIRE DEPT</t>
  </si>
  <si>
    <t>CUMBERLAND CO ABC BOARD</t>
  </si>
  <si>
    <t>MID-CAROLINA COUNCIL OF GOVERNMENTS</t>
  </si>
  <si>
    <t>CUMBERLAND MEMORIAL AUDITORIUM COM</t>
  </si>
  <si>
    <t>CITY OF FAYETTEVILLE</t>
  </si>
  <si>
    <t>FAYETTEVILLE METROPOLITAN HOUSING AUTH</t>
  </si>
  <si>
    <t>PUBLIC WORKS COMM CTY OF FAYETTEVILLE</t>
  </si>
  <si>
    <t>TOWN OF STEDMAN</t>
  </si>
  <si>
    <t>TOWN OF HOPE MILLS</t>
  </si>
  <si>
    <t>TOWN OF WADE</t>
  </si>
  <si>
    <t>TOWN OF LINDEN</t>
  </si>
  <si>
    <t>TOWN OF SPRING LAKE</t>
  </si>
  <si>
    <t>TOWN OF FALCON</t>
  </si>
  <si>
    <t>TOWN OF EASTOVER</t>
  </si>
  <si>
    <t>CURRITUCK COUNTY</t>
  </si>
  <si>
    <t>CURRITUCK CO ABC BOARD</t>
  </si>
  <si>
    <t>DARE COUNTY</t>
  </si>
  <si>
    <t>DARE COUNTY TOURISM BOARD</t>
  </si>
  <si>
    <t>DARE COUNTY ABC BOARD</t>
  </si>
  <si>
    <t>TOWN OF NAGS HEAD</t>
  </si>
  <si>
    <t>TOWN OF KILL DEVIL HILLS</t>
  </si>
  <si>
    <t>TOWN OF MANTEO</t>
  </si>
  <si>
    <t>TOWN OF SOUTHERN SHORES</t>
  </si>
  <si>
    <t>TOWN OF KITTY HAWK</t>
  </si>
  <si>
    <t>TOWN OF DUCK</t>
  </si>
  <si>
    <t>DAVIDSON COUNTY</t>
  </si>
  <si>
    <t>CITY OF THOMASVILLE</t>
  </si>
  <si>
    <t>THOMASVILLE HOUSING AUTHORITY</t>
  </si>
  <si>
    <t>THOMASVILLE ABC BOARD</t>
  </si>
  <si>
    <t>LEXINGTON ABC BOARD</t>
  </si>
  <si>
    <t>TOWN OF DENTON</t>
  </si>
  <si>
    <t>CITY OF LEXINGTON</t>
  </si>
  <si>
    <t>DAVIE COUNTY</t>
  </si>
  <si>
    <t>DAVIE SOIL AND WATER CONSERVATION DIST</t>
  </si>
  <si>
    <t>TOWN OF MOCKSVILLE</t>
  </si>
  <si>
    <t>TOWN OF BERMUDA RUN</t>
  </si>
  <si>
    <t>COOLEEMEE ABC BOARD</t>
  </si>
  <si>
    <t>TOWN OF COOLEEMEE</t>
  </si>
  <si>
    <t>DUPLIN COUNTY</t>
  </si>
  <si>
    <t>EASTPOINTE HUMAN SERVICES</t>
  </si>
  <si>
    <t>TOWN OF BEULAVILLE</t>
  </si>
  <si>
    <t>TOWN OF KENANSVILLE</t>
  </si>
  <si>
    <t>KENANSVILLE ABC BOARD</t>
  </si>
  <si>
    <t>TOWN OF WARSAW</t>
  </si>
  <si>
    <t>WARSAW ABC BOARD</t>
  </si>
  <si>
    <t>TOWN OF FAISON</t>
  </si>
  <si>
    <t>TOWN OF WALLACE</t>
  </si>
  <si>
    <t>WALLACE ABC BD</t>
  </si>
  <si>
    <t>TOWN OF ROSE HILL</t>
  </si>
  <si>
    <t>TOWN OF CALYPSO</t>
  </si>
  <si>
    <t>TOWN OF TEACHEY</t>
  </si>
  <si>
    <t>TOWN OF MAGNOLIA</t>
  </si>
  <si>
    <t>DURHAM COUNTY</t>
  </si>
  <si>
    <t>PARKWOOD FIRE DEPARTMENT</t>
  </si>
  <si>
    <t>DURHAM COUNTY ABC BOARD</t>
  </si>
  <si>
    <t>ALLIANCE BEHAVIORAL HEALTHCRE</t>
  </si>
  <si>
    <t>CITY OF DURHAM</t>
  </si>
  <si>
    <t>DURHAM CONVENTION &amp; VISITORS BUREAU</t>
  </si>
  <si>
    <t>TRIANGLE J COUNCIL OF GOVERNMENTS</t>
  </si>
  <si>
    <t>EDGECOMBE COUNTY</t>
  </si>
  <si>
    <t>EDGECOMBE COUNTY ABC BOARD</t>
  </si>
  <si>
    <t>EDGECOMBE COUNTY MEMORIAL LIBRARY</t>
  </si>
  <si>
    <t>UPPER COASTAL PLAIN COUNCIL OF GOVERNMENTS</t>
  </si>
  <si>
    <t>TOWN OF TARBORO</t>
  </si>
  <si>
    <t>TARBORO REDEVELOPMENT COMMISSION</t>
  </si>
  <si>
    <t>CITY OF ROCKY MOUNT</t>
  </si>
  <si>
    <t>ROCKY MOUNT-WILSON AIRPORT AUTHORITY</t>
  </si>
  <si>
    <t>TOWN OF PINETOPS</t>
  </si>
  <si>
    <t>ROCKY MT HOUSING AUTHORITY</t>
  </si>
  <si>
    <t>TOWN OF MACCLESFIELD</t>
  </si>
  <si>
    <t>TOWN OF PRINCEVILLE</t>
  </si>
  <si>
    <t>FORSYTH COUNTY</t>
  </si>
  <si>
    <t>AIRPORT COMMISSION OF FORSYTH COUNTY</t>
  </si>
  <si>
    <t>PIEDMONT TRIAD REGIONAL COUNCIL</t>
  </si>
  <si>
    <t>CENTERPOINT HUMAN SERVICES</t>
  </si>
  <si>
    <t>CITY OF WINSTON-SALEM</t>
  </si>
  <si>
    <t>WINSTON-SALEM HOUSING AUTHORITY</t>
  </si>
  <si>
    <t>TRIAD MUNICIPAL ABC BOARD</t>
  </si>
  <si>
    <t>TOWN OF KERNERSVILLE</t>
  </si>
  <si>
    <t>TOWN OF RURAL HALL</t>
  </si>
  <si>
    <t>VILLAGE OF CLEMMONS</t>
  </si>
  <si>
    <t>CLEMMONS FIRE DEPARTMENT</t>
  </si>
  <si>
    <t>TOWN OF LEWISVILLE</t>
  </si>
  <si>
    <t>TOWN OF WALKERTOWN</t>
  </si>
  <si>
    <t>VILLAGE OF TOBACCOVILLE</t>
  </si>
  <si>
    <t>FRANKLIN COUNTY</t>
  </si>
  <si>
    <t>TOWN OF FRANKLINTON</t>
  </si>
  <si>
    <t>FRANKLINTON ABC BOARD</t>
  </si>
  <si>
    <t>TOWN OF LOUISBURG</t>
  </si>
  <si>
    <t>LOUISBURG ABC BOARD</t>
  </si>
  <si>
    <t>TOWN OF BUNN</t>
  </si>
  <si>
    <t>ABC BOARD - TOWN OF BUNN</t>
  </si>
  <si>
    <t>TOWN OF YOUNGSVILLE</t>
  </si>
  <si>
    <t>GASTON COUNTY</t>
  </si>
  <si>
    <t>TOWN OF STANLEY</t>
  </si>
  <si>
    <t>PARTNERS BEHAVIORAL HEALTH MANAGEMENT</t>
  </si>
  <si>
    <t>TOWN OF MCADENVILLE</t>
  </si>
  <si>
    <t>CITY OF GASTONIA</t>
  </si>
  <si>
    <t>GASTONIA ABC BOARD</t>
  </si>
  <si>
    <t>GASTON COUNTY ECONOMIC DEV. COMMISSION</t>
  </si>
  <si>
    <t>CITY OF BELMONT</t>
  </si>
  <si>
    <t>BELMONT HOUSING AUTHORITY</t>
  </si>
  <si>
    <t>TOWN OF CRAMERTON</t>
  </si>
  <si>
    <t>CITY OF CHERRYVILLE</t>
  </si>
  <si>
    <t>CHERRYVILLE ABC BOARD</t>
  </si>
  <si>
    <t>TOWN OF DALLAS</t>
  </si>
  <si>
    <t>CITY OF LOWELL</t>
  </si>
  <si>
    <t>BESSEMER CITY</t>
  </si>
  <si>
    <t>TOWN OF RANLO</t>
  </si>
  <si>
    <t>CITY OF MOUNT HOLLY</t>
  </si>
  <si>
    <t>GATES COUNTY</t>
  </si>
  <si>
    <t>GATES COUNTY ABC BOARD</t>
  </si>
  <si>
    <t>GRAHAM COUNTY</t>
  </si>
  <si>
    <t>GRAHAM CO HEALTH DEPT</t>
  </si>
  <si>
    <t>GRAHAM COUNTY DEPT OF S S</t>
  </si>
  <si>
    <t>TOWN OF ROBBINSVILLE</t>
  </si>
  <si>
    <t>GRANVILLE COUNTY</t>
  </si>
  <si>
    <t>GRANVILLE CO ABC BD</t>
  </si>
  <si>
    <t>GRANVILLE COUNTY HOSPITAL</t>
  </si>
  <si>
    <t>GRANVILLE-VANCE PUBLIC HEALTH</t>
  </si>
  <si>
    <t>SOUTH GRANVILLE WATER AND SEWER AUTHORITY</t>
  </si>
  <si>
    <t>CITY OF OXFORD</t>
  </si>
  <si>
    <t>OXFORD HOUSING AUTHORITY</t>
  </si>
  <si>
    <t>TOWN OF STOVALL</t>
  </si>
  <si>
    <t>CITY OF CREEDMOOR</t>
  </si>
  <si>
    <t>TOWN OF BUTNER</t>
  </si>
  <si>
    <t>GREENE COUNTY</t>
  </si>
  <si>
    <t>MAURY SANITARY LAND DISTRICT</t>
  </si>
  <si>
    <t>GREENE COUNTY ABC BOARD</t>
  </si>
  <si>
    <t>NEUSE REGIONAL LIBRARY-GREENE COUNTY</t>
  </si>
  <si>
    <t>TOWN OF HOOKERTON</t>
  </si>
  <si>
    <t>TOWN OF SNOW HILL</t>
  </si>
  <si>
    <t>TOWN OF WALSTONBURG</t>
  </si>
  <si>
    <t>GUILFORD COUNTY</t>
  </si>
  <si>
    <t>GUIL-RAND FIRE DEPARTMENT</t>
  </si>
  <si>
    <t>PINECROFT-SEDGEFIELD FIRE DIST INC</t>
  </si>
  <si>
    <t>ALAMANCE COMM FIRE DIST</t>
  </si>
  <si>
    <t>CITY OF GREENSBORO</t>
  </si>
  <si>
    <t>PIEDMONT TRIAD REG WATER AUTH</t>
  </si>
  <si>
    <t>GREENSBORO ABC BD</t>
  </si>
  <si>
    <t>GUILFORD FIRE DISTRICT # 13 INC</t>
  </si>
  <si>
    <t>CITY OF HIGH POINT</t>
  </si>
  <si>
    <t>HIGH POINT ABC BD</t>
  </si>
  <si>
    <t>TOWN OF JAMESTOWN</t>
  </si>
  <si>
    <t>TOWN OF GIBSONVILLE</t>
  </si>
  <si>
    <t>GIBSONVILLE ABC BOARD</t>
  </si>
  <si>
    <t>TOWN OF OAK RIDGE</t>
  </si>
  <si>
    <t>COLFAX VOLUNTEER FIRE DEPARTMENT</t>
  </si>
  <si>
    <t>TOWN OF SUMMERFIELD</t>
  </si>
  <si>
    <t>SUMMERFIELD FIRE DISTRICT</t>
  </si>
  <si>
    <t>HALIFAX COUNTY</t>
  </si>
  <si>
    <t>HALIFAX COUNTY ABC BOARD</t>
  </si>
  <si>
    <t>HALIFAX COUNTY TOURISM DEVELOPMENT AUTHORITY</t>
  </si>
  <si>
    <t>ROANOKE RAPIDS SANITARY DISTRICT</t>
  </si>
  <si>
    <t>TOWN OF ENFIELD</t>
  </si>
  <si>
    <t>CITY OF ROANOKE RAPIDS</t>
  </si>
  <si>
    <t>TOWN OF WELDON</t>
  </si>
  <si>
    <t>TOWN OF SCOTLAND NECK</t>
  </si>
  <si>
    <t>TOWN OF HOBGOOD</t>
  </si>
  <si>
    <t>TOWN OF LITTLETON</t>
  </si>
  <si>
    <t>HARNETT COUNTY</t>
  </si>
  <si>
    <t>CITY OF DUNN</t>
  </si>
  <si>
    <t>DUNN HOUSING AUTHORITY</t>
  </si>
  <si>
    <t>DUNN ABC BOARD</t>
  </si>
  <si>
    <t>TOWN OF LILLINGTON</t>
  </si>
  <si>
    <t>TOWN OF ERWIN</t>
  </si>
  <si>
    <t>TOWN OF COATS</t>
  </si>
  <si>
    <t>TOWN OF ANGIER ABC BOARD</t>
  </si>
  <si>
    <t>TOWN OF ANGIER</t>
  </si>
  <si>
    <t>HAYWOOD COUNTY</t>
  </si>
  <si>
    <t>HAYWOOD MEDICAL CENTER</t>
  </si>
  <si>
    <t>HAYWOOD COUNTY TOURISM DEVELOPMENT AUTHORITY</t>
  </si>
  <si>
    <t>JUNALUSKA SANITARY DISTRICT</t>
  </si>
  <si>
    <t>TOWN OF WAYNESVILLE</t>
  </si>
  <si>
    <t>WAYNESVILLE ABC BOARD</t>
  </si>
  <si>
    <t>TOWN OF MAGGIE VALLEY</t>
  </si>
  <si>
    <t>MAGGIE VALLEY ABC BOARD</t>
  </si>
  <si>
    <t>MAGGIE VALLEY SANITARY DIST</t>
  </si>
  <si>
    <t>TOWN OF CANTON</t>
  </si>
  <si>
    <t>CANTON ABC BOARD</t>
  </si>
  <si>
    <t>COUNTY OF HENDERSON</t>
  </si>
  <si>
    <t>CITY OF HENDERSONVILLE</t>
  </si>
  <si>
    <t>HENDERSONVILLE WATER COMMISSION</t>
  </si>
  <si>
    <t>HENDERSONVILLE ABC BD</t>
  </si>
  <si>
    <t>TOWN OF LAUREL PARK</t>
  </si>
  <si>
    <t>LAUREL PARK ABC BOARD</t>
  </si>
  <si>
    <t>THE VILLAGE OF FLAT ROCK</t>
  </si>
  <si>
    <t>BLUE RIDGE FIRE DEPARTMENT</t>
  </si>
  <si>
    <t>TOWN OF FLETCHER</t>
  </si>
  <si>
    <t>FLETCHER ABC BOARD</t>
  </si>
  <si>
    <t>TOWN OF MILLS RIVER</t>
  </si>
  <si>
    <t>HERTFORD COUNTY</t>
  </si>
  <si>
    <t>HERTFORD COUNTY ABC BOARD</t>
  </si>
  <si>
    <t>HERTFORD COUNTY PUBLIC HEALTH AUTHORITY</t>
  </si>
  <si>
    <t>TOWN OF AHOSKIE</t>
  </si>
  <si>
    <t>TOWN OF MURFREESBORO</t>
  </si>
  <si>
    <t>TOWN OF WINTON</t>
  </si>
  <si>
    <t>TOWN OF COFIELD</t>
  </si>
  <si>
    <t>HOKE COUNTY</t>
  </si>
  <si>
    <t>HOKE COUNTY ABC BOARD</t>
  </si>
  <si>
    <t>TOWN OF RAEFORD</t>
  </si>
  <si>
    <t>HYDE COUNTY</t>
  </si>
  <si>
    <t>HYDE COUNTY ABC BOARD</t>
  </si>
  <si>
    <t>OCRACOKE SANITARY DIST</t>
  </si>
  <si>
    <t>IREDELL COUNTY</t>
  </si>
  <si>
    <t>GREATER STATESVILLE DEVELOPMENT CORP</t>
  </si>
  <si>
    <t>CITY OF STATESVILLE</t>
  </si>
  <si>
    <t>STATESVILLE ABC BOARD</t>
  </si>
  <si>
    <t>CITY OF MOORESVILLE</t>
  </si>
  <si>
    <t>MOORESVILLE HOUSING AUTHORITY</t>
  </si>
  <si>
    <t>MOORESVILLE ABC BOARD</t>
  </si>
  <si>
    <t>TOWN OF TROUTMAN</t>
  </si>
  <si>
    <t>MI CONNECTION COMMUNICATIONS SYSTEM</t>
  </si>
  <si>
    <t>JACKSON COUNTY</t>
  </si>
  <si>
    <t>TUCKASEIGEE WATER AUTHORITY</t>
  </si>
  <si>
    <t>FONTANA REGIONAL LIBRARY</t>
  </si>
  <si>
    <t>SOUTHWESTERN NC PLANNING &amp; ECON.DEV.COMMIS.</t>
  </si>
  <si>
    <t>VAYA HEALTH</t>
  </si>
  <si>
    <t>TOWN OF SYLVA</t>
  </si>
  <si>
    <t>JACKSON COUNTY ABC BOARD</t>
  </si>
  <si>
    <t>JOHNSTON COUNTY</t>
  </si>
  <si>
    <t>BENSON HOUSING AUTHORITY</t>
  </si>
  <si>
    <t>JOHNSTON COUNTY ABC BOARD</t>
  </si>
  <si>
    <t>PUBLIC LIBRARY OF JOHNSTON CO AND SMITHFIELD</t>
  </si>
  <si>
    <t>TOWN OF ARCHER LODGE</t>
  </si>
  <si>
    <t>JOHNSTON HEALTH CENTER</t>
  </si>
  <si>
    <t>TOWN OF SMITHFIELD</t>
  </si>
  <si>
    <t>SMITHFIELD HOUSING AUTHORITY</t>
  </si>
  <si>
    <t>TOWN OF SELMA</t>
  </si>
  <si>
    <t>TOWN OF MICRO</t>
  </si>
  <si>
    <t>SELMA HOUSING AUTHORITY</t>
  </si>
  <si>
    <t>TOWN OF CLAYTON</t>
  </si>
  <si>
    <t>TOWN OF BENSON</t>
  </si>
  <si>
    <t>TOWN OF FOUR OAKS</t>
  </si>
  <si>
    <t>TOWN OF PINE LEVEL</t>
  </si>
  <si>
    <t>TOWN OF KENLY</t>
  </si>
  <si>
    <t>TOWN OF PRINCETON</t>
  </si>
  <si>
    <t>TOWN OF WILSON'S MILLS</t>
  </si>
  <si>
    <t>JONES COUNTY</t>
  </si>
  <si>
    <t>JONES COUNTY ABC BOARD</t>
  </si>
  <si>
    <t>NEUSE REGIONAL LIBRARY-JONES COUNTY</t>
  </si>
  <si>
    <t>TOWN OF POLLOCKSVILLE</t>
  </si>
  <si>
    <t>TOWN OF MAYSVILLE</t>
  </si>
  <si>
    <t>LEE COUNTY</t>
  </si>
  <si>
    <t>CITY OF SANFORD</t>
  </si>
  <si>
    <t>SANFORD ABC BOARD</t>
  </si>
  <si>
    <t>TOWN OF BROADWAY</t>
  </si>
  <si>
    <t>LENOIR COUNTY</t>
  </si>
  <si>
    <t>LENOIR COUNTY ABC BOARD</t>
  </si>
  <si>
    <t>NEUSE REGIONAL LIBRARY</t>
  </si>
  <si>
    <t>CITY OF KINSTON</t>
  </si>
  <si>
    <t>GLOBAL TRANSPARK DEVELOPMENT COMM</t>
  </si>
  <si>
    <t>HOUSING AUTH FOR THE CTY OF KINSTON</t>
  </si>
  <si>
    <t>KINSTON-LENOIR CO PUB LIBRARY</t>
  </si>
  <si>
    <t>TOWN OF PINK HILL</t>
  </si>
  <si>
    <t>TOWN OF LAGRANGE</t>
  </si>
  <si>
    <t>LINCOLN COUNTY</t>
  </si>
  <si>
    <t>LINCOLN COUNTY ABC BOARD</t>
  </si>
  <si>
    <t>CITY OF LINCOLNTON</t>
  </si>
  <si>
    <t>LINCOLNTON HOUSING AUTHORITY</t>
  </si>
  <si>
    <t>TOWN OF LINCOLNTON ABC BOARD</t>
  </si>
  <si>
    <t>MACON COUNTY</t>
  </si>
  <si>
    <t>TOWN OF FRANKLIN</t>
  </si>
  <si>
    <t>HIGHLANDS ABC BOARD</t>
  </si>
  <si>
    <t>TOWN OF HIGHLANDS</t>
  </si>
  <si>
    <t>MADISON COUNTY</t>
  </si>
  <si>
    <t>TOWN OF MARS HILL</t>
  </si>
  <si>
    <t>TOWN OF MARSHALL</t>
  </si>
  <si>
    <t>HOT SPRINGS HOUSING AUTHORITY</t>
  </si>
  <si>
    <t>MARTIN COUNTY</t>
  </si>
  <si>
    <t>MARTIN CO TRAVEL &amp; TOURISM AUTH</t>
  </si>
  <si>
    <t>MARTIN COUNTY ABC BOARD</t>
  </si>
  <si>
    <t>TOWN OF WILLIAMSTON</t>
  </si>
  <si>
    <t>WILLIAMSTON HOUSING AUTHORITY</t>
  </si>
  <si>
    <t>TOWN OF OAK CITY</t>
  </si>
  <si>
    <t>TOWN OF HAMILTON</t>
  </si>
  <si>
    <t>TOWN OF JAMESVILLE</t>
  </si>
  <si>
    <t>TOWN OF ROBERSONVILLE</t>
  </si>
  <si>
    <t>ROBERSONVILLE HOUSING AUTHORITY</t>
  </si>
  <si>
    <t>MCDOWELL COUNTY</t>
  </si>
  <si>
    <t>PLEASANT GARDEN FIRE DEPT</t>
  </si>
  <si>
    <t>TOWN OF MARION</t>
  </si>
  <si>
    <t>MARION ABC BOARD</t>
  </si>
  <si>
    <t>TOWN OF OLD FORT</t>
  </si>
  <si>
    <t>MECKLENBURG COUNTY</t>
  </si>
  <si>
    <t>CHARLOTTE HOUSING AUTHORITY</t>
  </si>
  <si>
    <t>MECKLENBURG COUNTY ABC BOARD</t>
  </si>
  <si>
    <t>CHARLOTTE MECKLENBURG PUBLIC LIBRARY</t>
  </si>
  <si>
    <t>MECKLENBURG EMER MED SVCS AGCY</t>
  </si>
  <si>
    <t>CENTRALINA COUNCIL OF GOVERNMENTS</t>
  </si>
  <si>
    <t>CITY OF CHARLOTTE</t>
  </si>
  <si>
    <t>CHARLOTTE REGIONAL VISITORS AUTHORITY</t>
  </si>
  <si>
    <t>CHARLOTTE FIREMEN'S RET SYS</t>
  </si>
  <si>
    <t>TOWN OF PINEVILLE</t>
  </si>
  <si>
    <t>TOWN OF MINT HILL</t>
  </si>
  <si>
    <t>TOWN OF HUNTERSVILLE</t>
  </si>
  <si>
    <t>TOWN OF CORNELIUS</t>
  </si>
  <si>
    <t>TOWN OF STALLINGS</t>
  </si>
  <si>
    <t>TOWN OF MATTHEWS</t>
  </si>
  <si>
    <t>TOWN OF DAVIDSON</t>
  </si>
  <si>
    <t>MITCHELL COUNTY</t>
  </si>
  <si>
    <t>MITCHELL SOIL &amp; WATER CONSERVATION DIST</t>
  </si>
  <si>
    <t>TOWN OF SPRUCE PINE</t>
  </si>
  <si>
    <t>TOWN OF BAKERSVILLE</t>
  </si>
  <si>
    <t>MONTGOMERY COUNTY</t>
  </si>
  <si>
    <t>MONTGOMERY-MUNICIPAL ABC BOARD</t>
  </si>
  <si>
    <t>TOWN OF STAR</t>
  </si>
  <si>
    <t>TOWN OF TROY</t>
  </si>
  <si>
    <t>TOWN OF BISCOE</t>
  </si>
  <si>
    <t>TOWN OF CANDOR</t>
  </si>
  <si>
    <t>TOWN OF MOUNT GILEAD</t>
  </si>
  <si>
    <t>MOORE COUNTY</t>
  </si>
  <si>
    <t>TOWN OF TAYLORTOWN</t>
  </si>
  <si>
    <t>MOORE COUNTY ABC BOARD</t>
  </si>
  <si>
    <t>MOORE COUNTY TOURISM DEVELOPMENT AUTHORITY</t>
  </si>
  <si>
    <t>MOORE COUNTY AIRPORT AUTHORITY</t>
  </si>
  <si>
    <t>TOWN OF SOUTHERN PINES</t>
  </si>
  <si>
    <t>TOWN OF CAMERON</t>
  </si>
  <si>
    <t>SANDHILLS CENTER</t>
  </si>
  <si>
    <t>TOWN OF VASS</t>
  </si>
  <si>
    <t>TOWN OF ABERDEEN</t>
  </si>
  <si>
    <t>TOWN OF ROBBINS</t>
  </si>
  <si>
    <t>VILLAGE OF PINEHURST</t>
  </si>
  <si>
    <t>TOWN OF PINEBLUFF</t>
  </si>
  <si>
    <t>VILLAGE OF WHISPERING PINES</t>
  </si>
  <si>
    <t>FOXFIRE VILLAGE</t>
  </si>
  <si>
    <t>TOWN OF CARTHAGE</t>
  </si>
  <si>
    <t>NASH COUNTY</t>
  </si>
  <si>
    <t>NASH COUNTY ABC BOARD</t>
  </si>
  <si>
    <t>BRASWELL MEMORIAL LIBRARY</t>
  </si>
  <si>
    <t>TOWN OF SPRING HOPE</t>
  </si>
  <si>
    <t>TOWN OF NASHVILLE</t>
  </si>
  <si>
    <t>TOWN OF MIDDLESEX</t>
  </si>
  <si>
    <t>TOWN OF WHITAKERS</t>
  </si>
  <si>
    <t>TOWN OF BAILEY</t>
  </si>
  <si>
    <t>TOWN OF SHARPSBURG</t>
  </si>
  <si>
    <t>NEW HANOVER COUNTY</t>
  </si>
  <si>
    <t>NEW HANOVER AIRPORT AUTH</t>
  </si>
  <si>
    <t>WILMINGTON HOUSING AUTHORITY</t>
  </si>
  <si>
    <t>NEW HANOVER COUNTY ABC BOARD</t>
  </si>
  <si>
    <t>CAPE FEAR PUBLIC UTILITY AUTHORITY</t>
  </si>
  <si>
    <t>LOWER CAPE FEAR WATER &amp; SEWER AUTH</t>
  </si>
  <si>
    <t>TOWN OF WRIGHTSVILLE BEACH</t>
  </si>
  <si>
    <t>CAPE FEAR PUBLIC TRANSPORTATION AUTHORITY</t>
  </si>
  <si>
    <t>TOWN OF CAROLINA BEACH</t>
  </si>
  <si>
    <t>CITY OF WILMINGTON</t>
  </si>
  <si>
    <t>TOWN OF KURE BEACH</t>
  </si>
  <si>
    <t>NORTHAMPTON COUNTY</t>
  </si>
  <si>
    <t>NORTHAMPTON COUNTY ABC BOARD</t>
  </si>
  <si>
    <t>TOWN OF RICH SQUARE</t>
  </si>
  <si>
    <t>CHOANOKE PUBLIC TRANSPORTATION AUTH</t>
  </si>
  <si>
    <t>TOWN OF WOODLAND</t>
  </si>
  <si>
    <t>TOWN OF GARYSBURG</t>
  </si>
  <si>
    <t>TOWN OF CONWAY</t>
  </si>
  <si>
    <t>TOWN OF GASTON</t>
  </si>
  <si>
    <t>TOWN OF JACKSON</t>
  </si>
  <si>
    <t>TOWN OF SEVERN</t>
  </si>
  <si>
    <t>TOWN OF SEABOARD</t>
  </si>
  <si>
    <t>ONSLOW COUNTY</t>
  </si>
  <si>
    <t>ONSLOW COUNTY ABC BOARD</t>
  </si>
  <si>
    <t>ONSLOW WATER &amp; SEWER AUTHORITY</t>
  </si>
  <si>
    <t>CITY OF JACKSONVILLE</t>
  </si>
  <si>
    <t>TOWN OF SWANSBORO</t>
  </si>
  <si>
    <t>TOWN OF HOLLY RIDGE</t>
  </si>
  <si>
    <t>HOLLY RIDGE HOUSING AUTHORITY</t>
  </si>
  <si>
    <t>TOWN OF RICHLANDS</t>
  </si>
  <si>
    <t>TOWN OF N TOPSAIL BEACH</t>
  </si>
  <si>
    <t>ORANGE COUNTY</t>
  </si>
  <si>
    <t>ORANGE COUNTY ABC BOARD</t>
  </si>
  <si>
    <t>ORANGE WATER AND SEWER AUTHORITY</t>
  </si>
  <si>
    <t>TOWN OF CHAPEL HILL</t>
  </si>
  <si>
    <t>TOWN OF CARRBORO</t>
  </si>
  <si>
    <t>TOWN OF HILLSBOROUGH</t>
  </si>
  <si>
    <t>PAMLICO COUNTY</t>
  </si>
  <si>
    <t>TOWN OF BAYBORO</t>
  </si>
  <si>
    <t>TOWN OF ORIENTAL</t>
  </si>
  <si>
    <t>BAY RIVER METRO SEWERAGE DISTRICT</t>
  </si>
  <si>
    <t>PASQUOTANK COUNTY</t>
  </si>
  <si>
    <t>PASQUOTANK-CAMDEN AMBULANCE SERVICE</t>
  </si>
  <si>
    <t>PASQUOTANK CO ABC BOARD</t>
  </si>
  <si>
    <t>EAST ALBEMARLE REGIONAL LIBRARY</t>
  </si>
  <si>
    <t>ALBEMARLE DISTRICT JAIL COMMISSION</t>
  </si>
  <si>
    <t>ALBEMARLE HOSPITAL AUTHORITY</t>
  </si>
  <si>
    <t>ELIZABETH CITY</t>
  </si>
  <si>
    <t>ELIZABETH CITY-PASQUOTANK CO AIRPORT AUTH</t>
  </si>
  <si>
    <t>ELIZABETH CITY PASQUOTANK COUNTY TDA</t>
  </si>
  <si>
    <t>PASQUOTANK-CAMDEN LIBRARY</t>
  </si>
  <si>
    <t>ELIZABETH CTY-PASQUOTANK CO INDUSTRL DEVELOPMENT C</t>
  </si>
  <si>
    <t>PENDER COUNTY</t>
  </si>
  <si>
    <t>PENDER COUNTY ABC BOARD</t>
  </si>
  <si>
    <t>TOWN OF BURGAW</t>
  </si>
  <si>
    <t>TOWN OF TOPSAIL BEACH</t>
  </si>
  <si>
    <t>TOWN OF SURF CITY</t>
  </si>
  <si>
    <t>PERQUIMANS COUNTY</t>
  </si>
  <si>
    <t>TOWN OF HERTFORD</t>
  </si>
  <si>
    <t>HERTFORD HOUSING AUTH</t>
  </si>
  <si>
    <t>TOWN OF HERTFORD ABC BOARD</t>
  </si>
  <si>
    <t>TOWN OF WINFALL</t>
  </si>
  <si>
    <t>PERSON COUNTY</t>
  </si>
  <si>
    <t>PERSON CO ABC BD</t>
  </si>
  <si>
    <t>CITY OF ROXBORO</t>
  </si>
  <si>
    <t>PITT COUNTY</t>
  </si>
  <si>
    <t>PITT-GREENVILLE CONV &amp; VISTORS</t>
  </si>
  <si>
    <t>PITT COUNTY ABC BOARD</t>
  </si>
  <si>
    <t>SHEPPARD MEMORIAL LIBRARY</t>
  </si>
  <si>
    <t>CONTENNEA METROPOLITAN SEWERAGE DIST</t>
  </si>
  <si>
    <t>CITY OF GREENVILLE</t>
  </si>
  <si>
    <t>GREENVILLE UTILITIES COMMISSION</t>
  </si>
  <si>
    <t>GREENVILLE HOUSING AUTHORITY</t>
  </si>
  <si>
    <t>TOWN OF FARMVILLE</t>
  </si>
  <si>
    <t>FARMVILLE HOUSING AUTHORITY</t>
  </si>
  <si>
    <t>TOWN OF GRIFTON</t>
  </si>
  <si>
    <t>TOWN OF BETHEL</t>
  </si>
  <si>
    <t>TOWN OF WINTERVILLE</t>
  </si>
  <si>
    <t>TOWN OF AYDEN</t>
  </si>
  <si>
    <t>AYDEN HOUSING AUTHORITY</t>
  </si>
  <si>
    <t>TOWN OF GRIMESLAND</t>
  </si>
  <si>
    <t>VILLAGE OF SIMPSON</t>
  </si>
  <si>
    <t>FOUNTAIN, TOWN OF</t>
  </si>
  <si>
    <t>POLK COUNTY</t>
  </si>
  <si>
    <t>TOWN OF TRYON</t>
  </si>
  <si>
    <t>TOWN OF COLUMBUS</t>
  </si>
  <si>
    <t>CITY OF SALUDA</t>
  </si>
  <si>
    <t>RANDOLPH COUNTY</t>
  </si>
  <si>
    <t>ASHEBORO ABC BOARD</t>
  </si>
  <si>
    <t>CITY OF ASHEBORO</t>
  </si>
  <si>
    <t>ASHEBORO HOUSING AUTH</t>
  </si>
  <si>
    <t>CITY OF RANDLEMAN</t>
  </si>
  <si>
    <t>CITY OF RANDLEMAN HOUSING AUTHORITY</t>
  </si>
  <si>
    <t>CITY OF RANDLEMAN ABC BOARD</t>
  </si>
  <si>
    <t>TOWN OF LIBERTY</t>
  </si>
  <si>
    <t>LIBERTY ABC BOARD</t>
  </si>
  <si>
    <t>TOWN OF RAMSEUR</t>
  </si>
  <si>
    <t>CITY OF ARCHDALE</t>
  </si>
  <si>
    <t>CITY OF TRINITY</t>
  </si>
  <si>
    <t>RICHMOND COUNTY</t>
  </si>
  <si>
    <t>SANDHILL REGIONAL LIBRARY</t>
  </si>
  <si>
    <t>CITY OF ROCKINGHAM</t>
  </si>
  <si>
    <t>ROCKINGHAM HOUSING AUTHORITY</t>
  </si>
  <si>
    <t>HAMLET ABC BOARD</t>
  </si>
  <si>
    <t>CITY OF HAMLET</t>
  </si>
  <si>
    <t>CITY OF ROCKINGHAM ABC BOARD</t>
  </si>
  <si>
    <t>TOWN OF ELLERBE</t>
  </si>
  <si>
    <t>ROBESON COUNTY</t>
  </si>
  <si>
    <t>LUMBER RIVER COUNCIL OF GOVERNMENTS</t>
  </si>
  <si>
    <t>ROBESON COUNTY HOUSING AUTHORITY</t>
  </si>
  <si>
    <t>ROBESON COUNTY PUBLIC LIBRARY</t>
  </si>
  <si>
    <t>CITY OF LUMBERTON</t>
  </si>
  <si>
    <t>LUMBERTON ABC BOARD</t>
  </si>
  <si>
    <t>LUMBERTON AIRPORT COMM</t>
  </si>
  <si>
    <t>TOWN OF FAIRMONT</t>
  </si>
  <si>
    <t>FAIRMONT HOUSING AUTHORITY</t>
  </si>
  <si>
    <t>TOWN OF ST PAULS</t>
  </si>
  <si>
    <t>ST PAUL'S BRD OF ALCOHOLIC CTL</t>
  </si>
  <si>
    <t>TOWN OF MAXTON</t>
  </si>
  <si>
    <t>TOWN OF PARKTON</t>
  </si>
  <si>
    <t>MAXTON ABC BOARD</t>
  </si>
  <si>
    <t>TOWN OF PEMBROKE</t>
  </si>
  <si>
    <t>PEMBROKE HOUSING AUTHORITY</t>
  </si>
  <si>
    <t>TOWN OF ROWLAND</t>
  </si>
  <si>
    <t>TOWN OF RED SPRINGS</t>
  </si>
  <si>
    <t>RED SPRINGS ABC BOARD</t>
  </si>
  <si>
    <t>ROCKINGHAM COUNTY</t>
  </si>
  <si>
    <t>CITY OF REIDSVILLE</t>
  </si>
  <si>
    <t>THE NEW REIDSVILLE HOUSING AUTH</t>
  </si>
  <si>
    <t>REIDSVILLE ABC BOARD</t>
  </si>
  <si>
    <t>TOWN OF MAYODAN</t>
  </si>
  <si>
    <t>TOWN OF STONEVILLE</t>
  </si>
  <si>
    <t>TOWN OF MADISON</t>
  </si>
  <si>
    <t>MADISON ABC BOARD</t>
  </si>
  <si>
    <t>MADISON-MAYODAN RECREATION COMM</t>
  </si>
  <si>
    <t>CITY OF EDEN</t>
  </si>
  <si>
    <t>EDEN ABC BOARD</t>
  </si>
  <si>
    <t>ROWAN COUNTY</t>
  </si>
  <si>
    <t>ROWAN CONVENTION &amp; VISTORS BUREAU</t>
  </si>
  <si>
    <t>ROWAN CO HOUSING AUTHORITY</t>
  </si>
  <si>
    <t>ROWAN COUNTY ABC BOARD</t>
  </si>
  <si>
    <t>ROWAN CO SOIL &amp; WATER CONV DIST</t>
  </si>
  <si>
    <t>CITY OF SALISBURY</t>
  </si>
  <si>
    <t>HOUSING AUTH OF THE CTY OF SALISBURY</t>
  </si>
  <si>
    <t>TOWN OF EAST SPENCER</t>
  </si>
  <si>
    <t>EAST SPENCER HOUSING AUTHORITY</t>
  </si>
  <si>
    <t>TOWN OF SPENCER</t>
  </si>
  <si>
    <t>TOWN OF CHINA GROVE</t>
  </si>
  <si>
    <t>TOWN OF LANDIS</t>
  </si>
  <si>
    <t>TOWN OF GRANITE QUARRY</t>
  </si>
  <si>
    <t>TOWN OF ROCKWELL</t>
  </si>
  <si>
    <t>TOWN OF FAITH</t>
  </si>
  <si>
    <t>TOWN OF CLEVELAND</t>
  </si>
  <si>
    <t>RUTHERFORD COUNTY</t>
  </si>
  <si>
    <t>BROAD RIVER WATER AUTHORITY</t>
  </si>
  <si>
    <t>RUTHERFORD POLK MCDOWELL DIST BRD OF HEALTH</t>
  </si>
  <si>
    <t>FOREST CITY ABC BOARD 168</t>
  </si>
  <si>
    <t>ISOTHERMAL PLANNING AND DEV COMM</t>
  </si>
  <si>
    <t>TOWN OF FOREST CITY</t>
  </si>
  <si>
    <t>FOREST CITY HOUSING AUTHORITY</t>
  </si>
  <si>
    <t>TOWN OF SPINDALE</t>
  </si>
  <si>
    <t>TOWN OF LAKE LURE</t>
  </si>
  <si>
    <t>TOWN OF RUTHERFORDTON</t>
  </si>
  <si>
    <t>TOWN OF RUTHERFORDTON ABC BRD</t>
  </si>
  <si>
    <t>TOWN OF ELLENBORO</t>
  </si>
  <si>
    <t>SAMPSON COUNTY</t>
  </si>
  <si>
    <t>J C HOLIDAY MEM LIBRARY</t>
  </si>
  <si>
    <t>CITY OF CLINTON</t>
  </si>
  <si>
    <t>CLINTON ABC BOARD</t>
  </si>
  <si>
    <t>TOWN OF SALEMBURG</t>
  </si>
  <si>
    <t>TOWN OF NEWTON GROVE</t>
  </si>
  <si>
    <t>ROSEBORO ABC BOARD</t>
  </si>
  <si>
    <t>TOWN OF GARLAND</t>
  </si>
  <si>
    <t>TOWN OF TURKEY</t>
  </si>
  <si>
    <t>TOWN OF ROSEBORO</t>
  </si>
  <si>
    <t>TOWN OF AUTRYVILLE</t>
  </si>
  <si>
    <t>SCOTLAND COUNTY</t>
  </si>
  <si>
    <t>SCOTLAND COUNTY ABC BOARD</t>
  </si>
  <si>
    <t>LAURINBURG-MAXTON AIRPORT COMMISSION</t>
  </si>
  <si>
    <t>CITY OF LAURINBURG</t>
  </si>
  <si>
    <t>LAURINBURG HOUSING AUTHORITY</t>
  </si>
  <si>
    <t>TOWN OF WAGRAM</t>
  </si>
  <si>
    <t>TOWN OF GIBSON</t>
  </si>
  <si>
    <t>STANLY COUNTY</t>
  </si>
  <si>
    <t>LOCUST ABC BOARD</t>
  </si>
  <si>
    <t>CITY OF ALBEMARLE</t>
  </si>
  <si>
    <t>VILLAGE OF MISENHEIMER</t>
  </si>
  <si>
    <t>ALBEMARLE ABC BOARD</t>
  </si>
  <si>
    <t>TOWN OF NORWOOD</t>
  </si>
  <si>
    <t>NORWOOD ABC BD</t>
  </si>
  <si>
    <t>CITY OF LOCUST</t>
  </si>
  <si>
    <t>TOWN OF OAKBORO</t>
  </si>
  <si>
    <t>TOWN OF BADIN</t>
  </si>
  <si>
    <t>TOWN OF STANFIELD</t>
  </si>
  <si>
    <t>STOKES COUNTY</t>
  </si>
  <si>
    <t>TOWN OF WALNUT COVE</t>
  </si>
  <si>
    <t>WALNUT COVE ABC BOARD</t>
  </si>
  <si>
    <t>CITY OF KING</t>
  </si>
  <si>
    <t>SURRY COUNTY</t>
  </si>
  <si>
    <t>YADKIN VALLEY ABC BOARD</t>
  </si>
  <si>
    <t>PILOT MOUNTAIN ABC BOARD</t>
  </si>
  <si>
    <t>YADKIN VALLEY SEWER AUTHORITY</t>
  </si>
  <si>
    <t>TOWN OF PILOT MOUNTAIN</t>
  </si>
  <si>
    <t>TOWN OF DOBSON</t>
  </si>
  <si>
    <t>DOBSON ABC BD</t>
  </si>
  <si>
    <t>CITY OF MOUNT AIRY</t>
  </si>
  <si>
    <t>MOUNT AIRY ALCOHOLIC BOARD OF CONTROL</t>
  </si>
  <si>
    <t>TOWN OF ELKIN</t>
  </si>
  <si>
    <t>SWAIN COUNTY</t>
  </si>
  <si>
    <t>TOWN OF BRYSON CITY</t>
  </si>
  <si>
    <t>BRYSON CITY ABC BOARD</t>
  </si>
  <si>
    <t>TRANSYLVANIA COUNTY</t>
  </si>
  <si>
    <t>CITY OF BREVARD</t>
  </si>
  <si>
    <t>BREVARD ABC BOARD</t>
  </si>
  <si>
    <t>TYRRELL COUNTY</t>
  </si>
  <si>
    <t>TYRRELL CO ABC BOARD</t>
  </si>
  <si>
    <t>TOWN OF COLUMBIA</t>
  </si>
  <si>
    <t>UNION COUNTY</t>
  </si>
  <si>
    <t>CITY OF MONROE</t>
  </si>
  <si>
    <t>CITY OF MONROE HOUSING AUTHORITY</t>
  </si>
  <si>
    <t>INDIAN TRAIL ABC BOARD</t>
  </si>
  <si>
    <t>MONROE ABC BOARD</t>
  </si>
  <si>
    <t>TOWN OF MARSHVILLE</t>
  </si>
  <si>
    <t>TOWN OF WINGATE</t>
  </si>
  <si>
    <t>TOWN OF WAXHAW</t>
  </si>
  <si>
    <t>WAXHAW ABC BOARD</t>
  </si>
  <si>
    <t>TOWN OF INDIAN TRAIL</t>
  </si>
  <si>
    <t>TOWN OF UNIONVILLE</t>
  </si>
  <si>
    <t>TOWN OF WEDDINGTON</t>
  </si>
  <si>
    <t>VILLAGE OF MARVIN</t>
  </si>
  <si>
    <t>VILLAGE OF WESLEY CHAPEL</t>
  </si>
  <si>
    <t>VANCE COUNTY</t>
  </si>
  <si>
    <t>VANCE COUNTY ABC BD</t>
  </si>
  <si>
    <t>KERR-TAR REGIONAL COUNCIL OF GOVTS</t>
  </si>
  <si>
    <t>KERR AREA TRANSPORTATION AUTHORITY</t>
  </si>
  <si>
    <t>CITY OF HENDERSON</t>
  </si>
  <si>
    <t>WAKE COUNTY</t>
  </si>
  <si>
    <t>TOWN OF HOLLY SPRINGS</t>
  </si>
  <si>
    <t>TOWN OF ROLESVILLE</t>
  </si>
  <si>
    <t>WAKE COUNTY ABC BOARD</t>
  </si>
  <si>
    <t>TOWN OF MORRISVILLE</t>
  </si>
  <si>
    <t>WAKE COUNTY HOUSING AUTHORITY</t>
  </si>
  <si>
    <t>BAYLEAF FIRE DEPARTMENT</t>
  </si>
  <si>
    <t>ELECTRICITIES OF NC</t>
  </si>
  <si>
    <t>CITY OF RALEIGH</t>
  </si>
  <si>
    <t>DURHAM HWY FIRE PROTECTION ASSOC</t>
  </si>
  <si>
    <t>CITY OF RALEIGH HOUSING AUTHORITY</t>
  </si>
  <si>
    <t>RALEIGH-DURHAM AIRPORT AUTHORITY</t>
  </si>
  <si>
    <t>TOWN OF CARY</t>
  </si>
  <si>
    <t>CENTENNIAL AUTHORITY</t>
  </si>
  <si>
    <t>TOWN OF WENDELL</t>
  </si>
  <si>
    <t>TOWN OF ZEBULON</t>
  </si>
  <si>
    <t>TOWN OF GARNER</t>
  </si>
  <si>
    <t>GARNER FIRE DEPT</t>
  </si>
  <si>
    <t>TOWN OF FUQUAY-VARINA</t>
  </si>
  <si>
    <t>TOWN OF APEX</t>
  </si>
  <si>
    <t>TOWN OF WAKE FOREST</t>
  </si>
  <si>
    <t>TOWN OF KNIGHTDALE</t>
  </si>
  <si>
    <t>WARREN COUNTY</t>
  </si>
  <si>
    <t>WARREN COUNTY ABC BOARD</t>
  </si>
  <si>
    <t>TOWN OF NORLINA</t>
  </si>
  <si>
    <t>TOWN OF WARRENTON</t>
  </si>
  <si>
    <t>WASHINGTON COUNTY</t>
  </si>
  <si>
    <t>WASHINGTON COUNTY ABC BOARD</t>
  </si>
  <si>
    <t>PETTIGREW REGIONAL LIBRARY</t>
  </si>
  <si>
    <t>TOWN OF PLYMOUTH</t>
  </si>
  <si>
    <t>PLYMOUTH HOUSING AUTHORITY</t>
  </si>
  <si>
    <t>TOWN OF ROPER</t>
  </si>
  <si>
    <t>TOWN OF CRESWELL</t>
  </si>
  <si>
    <t>WATAUGA COUNTY</t>
  </si>
  <si>
    <t>REGION D COUNCIL OF GOVERNMENTS</t>
  </si>
  <si>
    <t>BLOWING ROCK TOURISM DEVELOPMENT AUTHORITY</t>
  </si>
  <si>
    <t>WATAUGA COUNTY DISTRICT U TDA</t>
  </si>
  <si>
    <t>TOWN OF BOONE</t>
  </si>
  <si>
    <t>TOWN OF BLOWING ROCK</t>
  </si>
  <si>
    <t>BLOWING ROCK ABC BD</t>
  </si>
  <si>
    <t>TOWN OF SEVEN DEVILS</t>
  </si>
  <si>
    <t>WAYNE COUNTY</t>
  </si>
  <si>
    <t>FORK TOWNSHIP SANITARY DIST</t>
  </si>
  <si>
    <t>EASTERN CAROLINA REG'L HOUSING AUTH</t>
  </si>
  <si>
    <t>WAYNE COUNTY ABC BOARD</t>
  </si>
  <si>
    <t>SOUTHERN WAYNE SANITARY DISTRICT</t>
  </si>
  <si>
    <t>EASTERN WAYNE SANITARY DIST</t>
  </si>
  <si>
    <t>CITY OF GOLDSBORO</t>
  </si>
  <si>
    <t>HOUSING AUTHORITY OF GOLDSBORO</t>
  </si>
  <si>
    <t>TOWN OF MOUNT OLIVE</t>
  </si>
  <si>
    <t>MT OLIVE HOUSING AUTHORITY</t>
  </si>
  <si>
    <t>TOWN OF FREMONT</t>
  </si>
  <si>
    <t>TOWN OF PIKEVILLE</t>
  </si>
  <si>
    <t>VILLAGE OF WALNUT CREEK</t>
  </si>
  <si>
    <t>WILKES COUNTY</t>
  </si>
  <si>
    <t>APPALACHIAN REGIONAL LIBRARY</t>
  </si>
  <si>
    <t>TOWN OF N WILKESBORO</t>
  </si>
  <si>
    <t>TOWN OF N WILKESBORO ABC BOARD</t>
  </si>
  <si>
    <t>TOWN OF WILKESBORO</t>
  </si>
  <si>
    <t>WILKESBORO ABC BOARD</t>
  </si>
  <si>
    <t>WILSON COUNTY</t>
  </si>
  <si>
    <t>WILSON COUNTY TOURISM DEVELOPMENT AUTH</t>
  </si>
  <si>
    <t>WILSON COUNTY ABC BOARD</t>
  </si>
  <si>
    <t>CITY OF WILSON</t>
  </si>
  <si>
    <t>WILSON ECONOMIC DEV COUNCIL</t>
  </si>
  <si>
    <t>CITY OF WILSON CEMETERY COMMISSION</t>
  </si>
  <si>
    <t>TOWN OF STANTONSBURG</t>
  </si>
  <si>
    <t>TOWN OF BLACK CREEK</t>
  </si>
  <si>
    <t>TOWN OF LUCAMA</t>
  </si>
  <si>
    <t>TOWN OF ELM CITY</t>
  </si>
  <si>
    <t>YADKIN COUNTY</t>
  </si>
  <si>
    <t>TOWN OF YADKINVILLE</t>
  </si>
  <si>
    <t>TOWN OF JONESVILLE</t>
  </si>
  <si>
    <t>TOWN OF EAST BEND</t>
  </si>
  <si>
    <t>TOWN OF BOONVILLE</t>
  </si>
  <si>
    <t>N C ASSOC OF CO COMMISSIONERS</t>
  </si>
  <si>
    <t>N C LEAGUE OF MUNICIPALITIES</t>
  </si>
  <si>
    <t>EAST CAROLINA BEHAVORIAL HEALTHCARE</t>
  </si>
  <si>
    <t>COASTALCARE</t>
  </si>
  <si>
    <t>ELKIN ABC BOARD</t>
  </si>
  <si>
    <t>Alamance Municipal ABC Board</t>
  </si>
  <si>
    <t>Albemarle Regional Health Services</t>
  </si>
  <si>
    <t>Centerpoint Human Services</t>
  </si>
  <si>
    <t>Charlotte Regional Visitors Authority</t>
  </si>
  <si>
    <t>Eastpointe Human Services</t>
  </si>
  <si>
    <t>Indian Trail ABC Board</t>
  </si>
  <si>
    <t>Jackson County ABC Board</t>
  </si>
  <si>
    <t>Johnston Health Center</t>
  </si>
  <si>
    <t>Mideast Commission</t>
  </si>
  <si>
    <t>Partners Behavioral Health Management</t>
  </si>
  <si>
    <t>Sandhills Center</t>
  </si>
  <si>
    <t>Southeast Brunswick Sanitary District</t>
  </si>
  <si>
    <t>Triad Municipal ABC Board</t>
  </si>
  <si>
    <t>Trillium Health Resources</t>
  </si>
  <si>
    <t>West Columbus ABC Board</t>
  </si>
  <si>
    <t>Yadkin Valley ABC Board</t>
  </si>
  <si>
    <t>Agency Num</t>
  </si>
  <si>
    <t>Agency Name</t>
  </si>
  <si>
    <t>(Normal Contributions, Plus Liability Contributions, net of Court Costs Offsets)</t>
  </si>
  <si>
    <t>CAPE FEAR REGIONAL JETPORT</t>
  </si>
  <si>
    <t>COLUMBUS ABC BOARD</t>
  </si>
  <si>
    <t>TOWN OF NEW LONDON</t>
  </si>
  <si>
    <t>Alamance Comm Fire Dist</t>
  </si>
  <si>
    <t>Albemarle Regnl Planning &amp; Development Comm</t>
  </si>
  <si>
    <t>Alexander County Dept Of S S</t>
  </si>
  <si>
    <t>Alexander County Health Dept</t>
  </si>
  <si>
    <t>Alexander County Public Library</t>
  </si>
  <si>
    <t>Alliance Behavioral Healthcre</t>
  </si>
  <si>
    <t>Appalachian District Health Dept</t>
  </si>
  <si>
    <t>Asheboro Housing Auth</t>
  </si>
  <si>
    <t>Avery County Fire Commission</t>
  </si>
  <si>
    <t>Avery-Mitchell-Yancey Reg Library</t>
  </si>
  <si>
    <t>B H M Regional Library</t>
  </si>
  <si>
    <t>Beaufort Housing Auth</t>
  </si>
  <si>
    <t>Brunswick Co Dept Of Social Services</t>
  </si>
  <si>
    <t>Brunswick Co Health Dept</t>
  </si>
  <si>
    <t>Brunswick County Tourism Authority</t>
  </si>
  <si>
    <t>Brunswick Regional Water And Sewer H2Go</t>
  </si>
  <si>
    <t>Burke Co Dept Of Social Services</t>
  </si>
  <si>
    <t>Burke Co Health Dept</t>
  </si>
  <si>
    <t>Burke County Tourism Dev. Authority</t>
  </si>
  <si>
    <t>Burke-Catawba Dist Confinement</t>
  </si>
  <si>
    <t>Cabarrus Co Public Health Auth</t>
  </si>
  <si>
    <t>Cabarrus County Tourism Authority</t>
  </si>
  <si>
    <t>Caswell Co Dept Of Social Services</t>
  </si>
  <si>
    <t>Centennial Authority</t>
  </si>
  <si>
    <t>Charlotte Firemen'S Ret Sys</t>
  </si>
  <si>
    <t>Charlotte Housing Authority</t>
  </si>
  <si>
    <t>Charlotte Mecklenburg Public Library</t>
  </si>
  <si>
    <t>Chatham Co Housing Auth</t>
  </si>
  <si>
    <t>Choanoke Public Transportation Auth</t>
  </si>
  <si>
    <t>Chowan County Abc Board</t>
  </si>
  <si>
    <t>Cleveland County Water</t>
  </si>
  <si>
    <t>Coastal Carolina Regional Airport</t>
  </si>
  <si>
    <t>Coastal Regional Solid Waste Mngt Auth</t>
  </si>
  <si>
    <t>Contennea Metropolitan Sewerage Dist</t>
  </si>
  <si>
    <t>County Of Henderson</t>
  </si>
  <si>
    <t>Davie Soil And Water Conservation Dist</t>
  </si>
  <si>
    <t>Durham Convention &amp; Visitors Bureau</t>
  </si>
  <si>
    <t>Durham Hwy Fire Protection Assoc</t>
  </si>
  <si>
    <t>Eastern Carolina Reg'L Housing Auth</t>
  </si>
  <si>
    <t>Eastern Wayne Sanitary Dist</t>
  </si>
  <si>
    <t>Edgecombe County Memorial Library</t>
  </si>
  <si>
    <t>Electricities Of Nc</t>
  </si>
  <si>
    <t>Elizabeth City Pasquotank County Tda</t>
  </si>
  <si>
    <t>Elizabeth City-Pasquotank Co Airport Auth</t>
  </si>
  <si>
    <t>Elizabeth Cty-Pasquotank Co Industrl Development C</t>
  </si>
  <si>
    <t>Fayetteville Metropolitan Housing Auth</t>
  </si>
  <si>
    <t>First Craven Sanitary Dist</t>
  </si>
  <si>
    <t>Fork Township Sanitary Dist</t>
  </si>
  <si>
    <t>Fountain, Town Of</t>
  </si>
  <si>
    <t>Garner Fire Dept</t>
  </si>
  <si>
    <t>Gaston County Economic Dev. Commission</t>
  </si>
  <si>
    <t>Graham Co Health Dept</t>
  </si>
  <si>
    <t>Graham County Dept Of S S</t>
  </si>
  <si>
    <t>Granville-Vance Public Health</t>
  </si>
  <si>
    <t>Greater Statesville Development Corp</t>
  </si>
  <si>
    <t>Guilford Fire District # 13 Inc</t>
  </si>
  <si>
    <t>Haywood County Tourism Development Authority</t>
  </si>
  <si>
    <t>Hertford Housing Auth</t>
  </si>
  <si>
    <t>Hickory Conover Tourism Dev Auth</t>
  </si>
  <si>
    <t>Hickory Public Housing Authority</t>
  </si>
  <si>
    <t>Housing Auth For The Cty Of Kinston</t>
  </si>
  <si>
    <t>Housing Auth Of The Cty Of Salisbury</t>
  </si>
  <si>
    <t>Housing Authority Of Goldsboro</t>
  </si>
  <si>
    <t>Isothermal Planning And Dev Comm</t>
  </si>
  <si>
    <t>J C Holiday Mem Library</t>
  </si>
  <si>
    <t>Kerr Area Transportation Authority</t>
  </si>
  <si>
    <t>Kerr-Tar Regional Council Of Govts</t>
  </si>
  <si>
    <t>Kinston-Lenoir Co Pub Library</t>
  </si>
  <si>
    <t>Laurinburg Housing Authority</t>
  </si>
  <si>
    <t>Lumberton Airport Comm</t>
  </si>
  <si>
    <t>Maggie Valley Sanitary Dist</t>
  </si>
  <si>
    <t>Martin Co Travel &amp; Tourism Auth</t>
  </si>
  <si>
    <t>Martin-Tyrrell-Washington Dist Health Dept</t>
  </si>
  <si>
    <t>Mcdowell County</t>
  </si>
  <si>
    <t>Mecklenburg Emer Med Svcs Agcy</t>
  </si>
  <si>
    <t>Mi Connection Communications System</t>
  </si>
  <si>
    <t>Mid-Carolina Council Of Governments</t>
  </si>
  <si>
    <t>Mitchell Soil &amp; Water Conservation Dist</t>
  </si>
  <si>
    <t>Moore County Tourism Development Authority</t>
  </si>
  <si>
    <t>Mount Airy Alcoholic Board Of Control</t>
  </si>
  <si>
    <t>Mt Olive Housing Authority</t>
  </si>
  <si>
    <t>N C Assoc Of Co Commissioners</t>
  </si>
  <si>
    <t>N C League Of Municipalities</t>
  </si>
  <si>
    <t>Neuse Regional Library-Greene County</t>
  </si>
  <si>
    <t>Neuse Regional Library-Jones County</t>
  </si>
  <si>
    <t>New Hanover Airport Auth</t>
  </si>
  <si>
    <t>Ocracoke Sanitary Dist</t>
  </si>
  <si>
    <t>Onslow Water &amp; Sewer Authority</t>
  </si>
  <si>
    <t>Orange Water And Sewer Authority</t>
  </si>
  <si>
    <t>Piedmont Triad Reg Water Auth</t>
  </si>
  <si>
    <t>Pinecroft-Sedgefield Fire Dist Inc</t>
  </si>
  <si>
    <t>Pitt-Greenville Conv &amp; Vistors</t>
  </si>
  <si>
    <t>Pleasant Garden Fire Dept</t>
  </si>
  <si>
    <t>Public Library Of Johnston Co And Smithfield</t>
  </si>
  <si>
    <t>Public Works Comm Cty Of Fayetteville</t>
  </si>
  <si>
    <t>Rocky Mt Housing Authority</t>
  </si>
  <si>
    <t>Rowan Co Housing Authority</t>
  </si>
  <si>
    <t>Rowan Co Soil &amp; Water Conv Dist</t>
  </si>
  <si>
    <t>Rowan Convention &amp; Vistors Bureau</t>
  </si>
  <si>
    <t>Rutherford Polk Mcdowell Dist Brd Of Health</t>
  </si>
  <si>
    <t>Skyland Vol Fire Dept</t>
  </si>
  <si>
    <t>South Eastern Economic Development Comm</t>
  </si>
  <si>
    <t>South Granville Water And Sewer Authority</t>
  </si>
  <si>
    <t>Southwestern Nc Planning &amp; Econ.Dev.Commis.</t>
  </si>
  <si>
    <t>St Paul'S Brd Of Alcoholic Ctl</t>
  </si>
  <si>
    <t>Toe River Health District</t>
  </si>
  <si>
    <t>Cajah'S Mountain</t>
  </si>
  <si>
    <t>Elon</t>
  </si>
  <si>
    <t>Hildebran</t>
  </si>
  <si>
    <t>Lake Waccamaw</t>
  </si>
  <si>
    <t>Lewiston Woodville</t>
  </si>
  <si>
    <t>Parkton</t>
  </si>
  <si>
    <t>Seagrove</t>
  </si>
  <si>
    <t>St James</t>
  </si>
  <si>
    <t>St Pauls</t>
  </si>
  <si>
    <t>Wilson'S Mills</t>
  </si>
  <si>
    <t>Tuckaseigee Water Authority</t>
  </si>
  <si>
    <t>Upper Coastal Plain Council Of Governments</t>
  </si>
  <si>
    <t>Vaya Health</t>
  </si>
  <si>
    <t>Watauga County District U Tda</t>
  </si>
  <si>
    <t>Water &amp; Sewer Auth Of Cabarrus Cnty</t>
  </si>
  <si>
    <t>West Buncombe Fire Dept</t>
  </si>
  <si>
    <t>Westarea Volunteer Fire Dept</t>
  </si>
  <si>
    <t>Western Carteret Interlocal Cooperation Agency</t>
  </si>
  <si>
    <t>Western Nc Regional Air Quality</t>
  </si>
  <si>
    <t>Western Piedmont Council Of Gvmts</t>
  </si>
  <si>
    <t>Wilson County Tourism Development Auth</t>
  </si>
  <si>
    <t>Wilson Economic Dev Council</t>
  </si>
  <si>
    <t>Woodfin Sanitary Water And Sewer Dist</t>
  </si>
  <si>
    <t>Yancey Soil &amp; Water Cons</t>
  </si>
  <si>
    <t>Bunn ABC Board</t>
  </si>
  <si>
    <t>Albemarle ABC Board</t>
  </si>
  <si>
    <t>Asheboro ABC Board</t>
  </si>
  <si>
    <t>Asheville ABC Board</t>
  </si>
  <si>
    <t>Beaufort County ABC Board</t>
  </si>
  <si>
    <t>Bertie County ABC Board</t>
  </si>
  <si>
    <t>Black Mtn ABC Board</t>
  </si>
  <si>
    <t>Blowing Rock ABC Bd</t>
  </si>
  <si>
    <t>Brevard ABC Board</t>
  </si>
  <si>
    <t>Boiling Spring Lakes ABC Board</t>
  </si>
  <si>
    <t>Brunswick County ABC Board</t>
  </si>
  <si>
    <t>Bryson City ABC Board</t>
  </si>
  <si>
    <t>Calabash ABC Board</t>
  </si>
  <si>
    <t>Camden County ABC Board</t>
  </si>
  <si>
    <t>Canton ABC Board</t>
  </si>
  <si>
    <t>Carteret County ABC Board</t>
  </si>
  <si>
    <t>Caswell County ABC Board</t>
  </si>
  <si>
    <t>Catawba County ABC Board</t>
  </si>
  <si>
    <t>Chatham County ABC Board</t>
  </si>
  <si>
    <t>Cherryville ABC Board</t>
  </si>
  <si>
    <t>Clinton ABC Board</t>
  </si>
  <si>
    <t>Concord ABC Board</t>
  </si>
  <si>
    <t>Cooleemee ABC Board</t>
  </si>
  <si>
    <t>Craven Co ABC Bd</t>
  </si>
  <si>
    <t>Cumberland Co ABC Board</t>
  </si>
  <si>
    <t>Currituck Co ABC Board</t>
  </si>
  <si>
    <t>Dare County ABC Board</t>
  </si>
  <si>
    <t>Dobson ABC Bd</t>
  </si>
  <si>
    <t>Dunn ABC Board</t>
  </si>
  <si>
    <t>Durham County ABC Board</t>
  </si>
  <si>
    <t>Eden ABC Board</t>
  </si>
  <si>
    <t>Edgecombe County ABC Board</t>
  </si>
  <si>
    <t>Elizabethtown ABC Board</t>
  </si>
  <si>
    <t>Fletcher ABC Board</t>
  </si>
  <si>
    <t>Forest City ABC Board 168</t>
  </si>
  <si>
    <t>Franklinton ABC Board</t>
  </si>
  <si>
    <t>Gastonia ABC Board</t>
  </si>
  <si>
    <t>Gates County ABC Board</t>
  </si>
  <si>
    <t>Gibsonville ABC Board</t>
  </si>
  <si>
    <t>Granite Falls ABC Board</t>
  </si>
  <si>
    <t>Granville Co ABC Bd</t>
  </si>
  <si>
    <t>Greene County ABC Board</t>
  </si>
  <si>
    <t>Greensboro ABC Bd</t>
  </si>
  <si>
    <t>Halifax County ABC Board</t>
  </si>
  <si>
    <t>Hamlet ABC Board</t>
  </si>
  <si>
    <t>Hendersonville ABC Bd</t>
  </si>
  <si>
    <t>Hertford County ABC Board</t>
  </si>
  <si>
    <t>High Country ABC Board</t>
  </si>
  <si>
    <t>High Point ABC Bd</t>
  </si>
  <si>
    <t>Highlands ABC Board</t>
  </si>
  <si>
    <t>Hoke County ABC Board</t>
  </si>
  <si>
    <t>Hyde County ABC Board</t>
  </si>
  <si>
    <t>Johnston County ABC Board</t>
  </si>
  <si>
    <t>Jones County ABC Board</t>
  </si>
  <si>
    <t>Kenansville ABC Board</t>
  </si>
  <si>
    <t>Kings Mountain ABC Board</t>
  </si>
  <si>
    <t>Lake Waccamaw ABC Board</t>
  </si>
  <si>
    <t>Laurel Park ABC Board</t>
  </si>
  <si>
    <t>Lenoir County ABC Board</t>
  </si>
  <si>
    <t>Lexington ABC Board</t>
  </si>
  <si>
    <t>Liberty ABC Board</t>
  </si>
  <si>
    <t>Lincoln County ABC Board</t>
  </si>
  <si>
    <t>Locust ABC Board</t>
  </si>
  <si>
    <t>Louisburg ABC Board</t>
  </si>
  <si>
    <t>Lumberton ABC Board</t>
  </si>
  <si>
    <t>Madison ABC Board</t>
  </si>
  <si>
    <t>Maggie Valley ABC Board</t>
  </si>
  <si>
    <t>Marion ABC Board</t>
  </si>
  <si>
    <t>Martin County ABC Board</t>
  </si>
  <si>
    <t>Maxton ABC Board</t>
  </si>
  <si>
    <t>Mecklenburg County ABC Board</t>
  </si>
  <si>
    <t>Monroe ABC Board</t>
  </si>
  <si>
    <t>Montgomery-Municipal ABC Board</t>
  </si>
  <si>
    <t>Moore County ABC Board</t>
  </si>
  <si>
    <t>Mooresville ABC Board</t>
  </si>
  <si>
    <t>Morganton ABC Board</t>
  </si>
  <si>
    <t>Mt Pleasant ABC Board</t>
  </si>
  <si>
    <t>Murphy ABC Board</t>
  </si>
  <si>
    <t>Nash County ABC Board</t>
  </si>
  <si>
    <t>New Hanover County ABC Board</t>
  </si>
  <si>
    <t>Northampton County ABC Board</t>
  </si>
  <si>
    <t>Norwood ABC Bd</t>
  </si>
  <si>
    <t>Oak Island ABC Bd</t>
  </si>
  <si>
    <t>Ocean Isle Beach ABC Board</t>
  </si>
  <si>
    <t>Onslow County ABC Board</t>
  </si>
  <si>
    <t>Orange County ABC Board</t>
  </si>
  <si>
    <t>Pasquotank Co ABC Board</t>
  </si>
  <si>
    <t>Pender County ABC Board</t>
  </si>
  <si>
    <t>Person Co ABC Bd</t>
  </si>
  <si>
    <t>Pilot Mountain ABC Board</t>
  </si>
  <si>
    <t>Pitt County ABC Board</t>
  </si>
  <si>
    <t>Red Springs ABC Board</t>
  </si>
  <si>
    <t>Reidsville ABC Board</t>
  </si>
  <si>
    <t>Roseboro ABC Board</t>
  </si>
  <si>
    <t>Rowan County ABC Board</t>
  </si>
  <si>
    <t>Sanford ABC Board</t>
  </si>
  <si>
    <t>Scotland County ABC Board</t>
  </si>
  <si>
    <t>Shallotte ABC Board</t>
  </si>
  <si>
    <t>Shelby ABC Board</t>
  </si>
  <si>
    <t>Siler City ABC Board</t>
  </si>
  <si>
    <t>Statesville ABC Board</t>
  </si>
  <si>
    <t>Thomasville ABC Board</t>
  </si>
  <si>
    <t>Angier ABC Board</t>
  </si>
  <si>
    <t>Hertford ABC Board</t>
  </si>
  <si>
    <t>Lincolnton ABC Board</t>
  </si>
  <si>
    <t>North Wilkesboro ABC Board</t>
  </si>
  <si>
    <t>Rutherfordton ABC Brd</t>
  </si>
  <si>
    <t>Sparta ABC Board</t>
  </si>
  <si>
    <t>Sunset Beach ABC Board</t>
  </si>
  <si>
    <t>Tyrrell Co ABC Board</t>
  </si>
  <si>
    <t>Vance County ABC Bd</t>
  </si>
  <si>
    <t>Wadesboro ABC Board</t>
  </si>
  <si>
    <t>Wake County ABC Board</t>
  </si>
  <si>
    <t>Wallace ABC Bd</t>
  </si>
  <si>
    <t>Walnut Cove ABC Board</t>
  </si>
  <si>
    <t>Warren County ABC Board</t>
  </si>
  <si>
    <t>Warsaw ABC Board</t>
  </si>
  <si>
    <t>Washington County ABC Board</t>
  </si>
  <si>
    <t>Waxhaw ABC Board</t>
  </si>
  <si>
    <t>Wayne County ABC Board</t>
  </si>
  <si>
    <t>Waynesville ABC Board</t>
  </si>
  <si>
    <t>Weaverville ABC Board</t>
  </si>
  <si>
    <t>West Jefferson ABC Board</t>
  </si>
  <si>
    <t>Whiteville ABC Board</t>
  </si>
  <si>
    <t>Wilkesboro ABC Board</t>
  </si>
  <si>
    <t>Wilson County ABC Board</t>
  </si>
  <si>
    <t>New Edenton Housing Auth</t>
  </si>
  <si>
    <t>New Reidsville Housing Auth</t>
  </si>
  <si>
    <t>Longview</t>
  </si>
  <si>
    <t>Wilson Cemetery Commission</t>
  </si>
  <si>
    <t>Boiling Sprg Lakes</t>
  </si>
  <si>
    <t>HighPoint</t>
  </si>
  <si>
    <t>KingsMountain</t>
  </si>
  <si>
    <t>LenoirABCBoard</t>
  </si>
  <si>
    <t>MonroeHousingAuthority</t>
  </si>
  <si>
    <t>MountAiry</t>
  </si>
  <si>
    <t>MountHolly</t>
  </si>
  <si>
    <t>NewBern</t>
  </si>
  <si>
    <t>RaleighHousingAuthority</t>
  </si>
  <si>
    <t>RandlemanABCBoard</t>
  </si>
  <si>
    <t>RandlemanHousingAuthority</t>
  </si>
  <si>
    <t>RoanokeRapids</t>
  </si>
  <si>
    <t>RockinghamABCBoard</t>
  </si>
  <si>
    <t>RockyMount</t>
  </si>
  <si>
    <t>SouthportABCBoard</t>
  </si>
  <si>
    <t>Step 1 - Click on cells C20 and C21 within this tab.  Select your agency from the drop-down menu.  Agencies are listed in alphabetical order.</t>
  </si>
  <si>
    <t xml:space="preserve">&lt;&lt;If you are reporting for only one agency, this should be N/A.  </t>
  </si>
  <si>
    <t>JE description</t>
  </si>
  <si>
    <t>Step 3 - Click on cell C26 within this tab.  Select your reporting fiscal year-end from the drop-down menu.</t>
  </si>
  <si>
    <t>Measurement date 6/30/2017</t>
  </si>
  <si>
    <r>
      <t xml:space="preserve">This template automatically generates the GASB 68 journal entries (13th period) and certain note disclosures (see below) for all employer participants of the </t>
    </r>
    <r>
      <rPr>
        <b/>
        <sz val="10"/>
        <color rgb="FF000000"/>
        <rFont val="Arial"/>
        <family val="2"/>
      </rPr>
      <t xml:space="preserve">Local Governmental Employees' Retirement System </t>
    </r>
    <r>
      <rPr>
        <sz val="10"/>
        <color rgb="FF000000"/>
        <rFont val="Arial"/>
        <family val="2"/>
      </rPr>
      <t xml:space="preserve">(LGERS). </t>
    </r>
  </si>
  <si>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</si>
  <si>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LGERS including the accompanying audit report from the Office of State Auditor will be available on DST's website.   </t>
  </si>
  <si>
    <t>Recognition period - 5.00 years</t>
  </si>
  <si>
    <t>Step 5 - Go to the JE Template tab within this workbook.  Review the resulting entries within the workbook for reasonableness.  Should you have any questions regarding</t>
  </si>
  <si>
    <t>Measurement date 6/30/2018</t>
  </si>
  <si>
    <t xml:space="preserve">   </t>
  </si>
  <si>
    <t xml:space="preserve"> </t>
  </si>
  <si>
    <t>CLAY COUNTY ABC BOARD</t>
  </si>
  <si>
    <t>CRAMERTON ABC BOARD</t>
  </si>
  <si>
    <t>TOWN OF TROUTMAN ABC BOARD</t>
  </si>
  <si>
    <t>VALDESE ABC BOARD</t>
  </si>
  <si>
    <t>FY 2018 Total Contributions</t>
  </si>
  <si>
    <t>VILLAGE OF SUGAR MOUNTAIN</t>
  </si>
  <si>
    <t>COUNTY OF BEAUFORT</t>
  </si>
  <si>
    <t>WESTERN AIR POLLUTION CTL</t>
  </si>
  <si>
    <t>WATER &amp; SEWER AUTH CABARRUS CNTY</t>
  </si>
  <si>
    <t>CLEVELAND CO SANITARY DIST</t>
  </si>
  <si>
    <t>COUNTY OF GATES</t>
  </si>
  <si>
    <t>GRANVILLE-VANCE HEALTH DIST</t>
  </si>
  <si>
    <t>HAYWOOD CO</t>
  </si>
  <si>
    <t>SMOKY MOUNTAIN M H C</t>
  </si>
  <si>
    <t>HOUSING AUTH OF THE CITY OF WILMINGTON</t>
  </si>
  <si>
    <t>COUNTY OF ROBESON</t>
  </si>
  <si>
    <t>HOUSING AUTHORITY OF THE COUNTY OF WAKE</t>
  </si>
  <si>
    <t>ALBEMARLE</t>
  </si>
  <si>
    <t>ARCHDALE</t>
  </si>
  <si>
    <t>ASHEBORO</t>
  </si>
  <si>
    <t>ASHEVILLE</t>
  </si>
  <si>
    <t>BELMONT</t>
  </si>
  <si>
    <t>BOILING SPRING LAKES</t>
  </si>
  <si>
    <t>BREVARD</t>
  </si>
  <si>
    <t>BURLINGTON</t>
  </si>
  <si>
    <t>CHARLOTTE</t>
  </si>
  <si>
    <t>CHERRYVILLE</t>
  </si>
  <si>
    <t>CLAREMONT</t>
  </si>
  <si>
    <t>CLINTON</t>
  </si>
  <si>
    <t>CONCORD</t>
  </si>
  <si>
    <t>CREEDMOOR</t>
  </si>
  <si>
    <t>DUNN</t>
  </si>
  <si>
    <t>DURHAM</t>
  </si>
  <si>
    <t>EDEN</t>
  </si>
  <si>
    <t>FAYETTEVILLE</t>
  </si>
  <si>
    <t>GASTONIA</t>
  </si>
  <si>
    <t>GOLDSBORO</t>
  </si>
  <si>
    <t>GREENSBORO</t>
  </si>
  <si>
    <t>GRAHAM</t>
  </si>
  <si>
    <t>GREENVILLE</t>
  </si>
  <si>
    <t>HAMLET</t>
  </si>
  <si>
    <t>HAVELOCK</t>
  </si>
  <si>
    <t>HENDERSON</t>
  </si>
  <si>
    <t>HENDERSONVILLE</t>
  </si>
  <si>
    <t>HICKORY</t>
  </si>
  <si>
    <t>HIGH POINT</t>
  </si>
  <si>
    <t>JACKSONVILLE</t>
  </si>
  <si>
    <t>KANNAPOLIS</t>
  </si>
  <si>
    <t>KINGS MOUNTAIN</t>
  </si>
  <si>
    <t>KINSTON</t>
  </si>
  <si>
    <t>LAURINBURG</t>
  </si>
  <si>
    <t>LENOIR</t>
  </si>
  <si>
    <t>LEXINGTON</t>
  </si>
  <si>
    <t>LINCOLNTON</t>
  </si>
  <si>
    <t>LOCUST</t>
  </si>
  <si>
    <t>LOWELL</t>
  </si>
  <si>
    <t>LUMBERTON</t>
  </si>
  <si>
    <t>MEBANE</t>
  </si>
  <si>
    <t>MONROE</t>
  </si>
  <si>
    <t>MONROE HOUSING AUTHORITY</t>
  </si>
  <si>
    <t>MOORESVILLE</t>
  </si>
  <si>
    <t>MORGANTON</t>
  </si>
  <si>
    <t>MOUNT AIRY</t>
  </si>
  <si>
    <t>MOUNT HOLLY</t>
  </si>
  <si>
    <t>NEW BERN</t>
  </si>
  <si>
    <t>NEWTON</t>
  </si>
  <si>
    <t>NORTHWEST</t>
  </si>
  <si>
    <t>OXFORD</t>
  </si>
  <si>
    <t>RALEIGH</t>
  </si>
  <si>
    <t>RALEIGH HOUSING AUTHORITY</t>
  </si>
  <si>
    <t>RANDLEMAN</t>
  </si>
  <si>
    <t>RANDLEMAN ABC BOARD</t>
  </si>
  <si>
    <t>RANDLEMAN HOUSING AUTHORITY</t>
  </si>
  <si>
    <t>REIDSVILLE</t>
  </si>
  <si>
    <t>ROANOKE RAPIDS</t>
  </si>
  <si>
    <t>ROCKINGHAM</t>
  </si>
  <si>
    <t>ROCKINGHAM ABC BOARD</t>
  </si>
  <si>
    <t>ROCKY MOUNT</t>
  </si>
  <si>
    <t>ROXBORO</t>
  </si>
  <si>
    <t>SALISBURY</t>
  </si>
  <si>
    <t>SALUDA</t>
  </si>
  <si>
    <t>SANFORD</t>
  </si>
  <si>
    <t>SHELBY</t>
  </si>
  <si>
    <t>SOUTHPORT</t>
  </si>
  <si>
    <t>SOUTHPORT ABC BOARD</t>
  </si>
  <si>
    <t>STATESVILLE</t>
  </si>
  <si>
    <t>THOMASVILLE</t>
  </si>
  <si>
    <t>TRINITY</t>
  </si>
  <si>
    <t>WASHINGTON</t>
  </si>
  <si>
    <t>WHITEVILLE</t>
  </si>
  <si>
    <t>WILMINGTON</t>
  </si>
  <si>
    <t>WILSON</t>
  </si>
  <si>
    <t>WILSON CEMETERY COMMISSION</t>
  </si>
  <si>
    <t>WINSTON-SALEM</t>
  </si>
  <si>
    <t>HENDERSON COUNTY</t>
  </si>
  <si>
    <t>EASTERN BAND OF CHEROKEE INDIANS</t>
  </si>
  <si>
    <t>ABERDEEN</t>
  </si>
  <si>
    <t>AHOSKIE</t>
  </si>
  <si>
    <t>ANDREWS</t>
  </si>
  <si>
    <t>ANGIER</t>
  </si>
  <si>
    <t>ANGIER ABC BOARD</t>
  </si>
  <si>
    <t>ANSONVILLE</t>
  </si>
  <si>
    <t>APEX</t>
  </si>
  <si>
    <t>ARCHER LODGE</t>
  </si>
  <si>
    <t>ATLANTIC BEACH</t>
  </si>
  <si>
    <t>AULANDER</t>
  </si>
  <si>
    <t>AUTRYVILLE</t>
  </si>
  <si>
    <t>AURORA</t>
  </si>
  <si>
    <t>AYDEN</t>
  </si>
  <si>
    <t>BADIN</t>
  </si>
  <si>
    <t>BAILEY</t>
  </si>
  <si>
    <t>BAKERSVILLE</t>
  </si>
  <si>
    <t>BANNER ELK</t>
  </si>
  <si>
    <t>BAYBORO</t>
  </si>
  <si>
    <t>BEAUFORT</t>
  </si>
  <si>
    <t>BEECH MOUNTAIN</t>
  </si>
  <si>
    <t>BELHAVEN</t>
  </si>
  <si>
    <t>BELVILLE</t>
  </si>
  <si>
    <t>BENSON</t>
  </si>
  <si>
    <t>BERMUDA RUN</t>
  </si>
  <si>
    <t>BETHEL</t>
  </si>
  <si>
    <t>BEULAVILLE</t>
  </si>
  <si>
    <t>BILTMORE FOREST</t>
  </si>
  <si>
    <t>BISCOE</t>
  </si>
  <si>
    <t>BLACK CREEK</t>
  </si>
  <si>
    <t>BLACK MOUNTAIN</t>
  </si>
  <si>
    <t>BLADENBORO</t>
  </si>
  <si>
    <t>BLOWING ROCK</t>
  </si>
  <si>
    <t>BOILING SPRINGS</t>
  </si>
  <si>
    <t>BOLTON</t>
  </si>
  <si>
    <t>BOONE</t>
  </si>
  <si>
    <t>BOONVILLE</t>
  </si>
  <si>
    <t>BRIDGETON</t>
  </si>
  <si>
    <t>BROADWAY</t>
  </si>
  <si>
    <t>BROOKFORD</t>
  </si>
  <si>
    <t>BRUNSWICK</t>
  </si>
  <si>
    <t>BRYSON CITY</t>
  </si>
  <si>
    <t>BUNN</t>
  </si>
  <si>
    <t>BURGAW</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</si>
  <si>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</si>
  <si>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</si>
  <si>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</si>
  <si>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</si>
  <si>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</si>
  <si>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</si>
  <si>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</si>
  <si>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</si>
  <si>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</si>
  <si>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</si>
  <si>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</si>
  <si>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</si>
  <si>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</si>
  <si>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</si>
  <si>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</si>
  <si>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</si>
  <si>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</si>
  <si>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CHADBOURN</t>
  </si>
  <si>
    <t>CHAPEL HILL</t>
  </si>
  <si>
    <t>CHINA GROVE</t>
  </si>
  <si>
    <t>CHOCOWINITY</t>
  </si>
  <si>
    <t>CLARKTON</t>
  </si>
  <si>
    <t>CLAYTON</t>
  </si>
  <si>
    <t>CLEVELAND</t>
  </si>
  <si>
    <t>COATS</t>
  </si>
  <si>
    <t>COFIELD</t>
  </si>
  <si>
    <t>COLERAIN</t>
  </si>
  <si>
    <t>COLUMBIA</t>
  </si>
  <si>
    <t>COLUMBUS</t>
  </si>
  <si>
    <t>CONNELLY SPRINGS</t>
  </si>
  <si>
    <t>CONOVER</t>
  </si>
  <si>
    <t>CONWAY</t>
  </si>
  <si>
    <t>COOLEEMEE</t>
  </si>
  <si>
    <t>CORNELIUS</t>
  </si>
  <si>
    <t>COVE CITY</t>
  </si>
  <si>
    <t>CRAMERTON</t>
  </si>
  <si>
    <t>CRESWELL</t>
  </si>
  <si>
    <t>DALLAS</t>
  </si>
  <si>
    <t>DAVIDSON</t>
  </si>
  <si>
    <t>DENTON</t>
  </si>
  <si>
    <t>DOBSON</t>
  </si>
  <si>
    <t>DREXEL</t>
  </si>
  <si>
    <t>DUCK</t>
  </si>
  <si>
    <t>EAST BEND</t>
  </si>
  <si>
    <t>EAST SPENCER</t>
  </si>
  <si>
    <t>EASTOVER</t>
  </si>
  <si>
    <t>EDENTON</t>
  </si>
  <si>
    <t>ELIZABETHTOWN</t>
  </si>
  <si>
    <t>ELK PARK</t>
  </si>
  <si>
    <t>ELKIN</t>
  </si>
  <si>
    <t>ELLENBORO</t>
  </si>
  <si>
    <t>ELLERBE</t>
  </si>
  <si>
    <t>ELM CITY</t>
  </si>
  <si>
    <t>ELON</t>
  </si>
  <si>
    <t>EMERALD ISLE</t>
  </si>
  <si>
    <t>ENFIELD</t>
  </si>
  <si>
    <t>ERWIN</t>
  </si>
  <si>
    <t>FAIR BLUFF</t>
  </si>
  <si>
    <t>FAIRMONT</t>
  </si>
  <si>
    <t>FAISON</t>
  </si>
  <si>
    <t>FAITH</t>
  </si>
  <si>
    <t>FALCON</t>
  </si>
  <si>
    <t>FARMVILLE</t>
  </si>
  <si>
    <t xml:space="preserve"> SEAGROVE</t>
  </si>
  <si>
    <t xml:space="preserve"> SPARTA</t>
  </si>
  <si>
    <t xml:space="preserve"> BURNSVILLE</t>
  </si>
  <si>
    <t xml:space="preserve"> ELON</t>
  </si>
  <si>
    <t xml:space="preserve"> HAW RIVER</t>
  </si>
  <si>
    <t xml:space="preserve"> GREEN LEVEL</t>
  </si>
  <si>
    <t xml:space="preserve"> TAYLORSVILLE</t>
  </si>
  <si>
    <t xml:space="preserve"> SPARTA ABC BOARD</t>
  </si>
  <si>
    <t xml:space="preserve"> WADESBORO</t>
  </si>
  <si>
    <t xml:space="preserve"> LILESVILLE</t>
  </si>
  <si>
    <t xml:space="preserve"> POLKTON</t>
  </si>
  <si>
    <t xml:space="preserve"> PEACHLAND</t>
  </si>
  <si>
    <t xml:space="preserve"> ANSONVILLE</t>
  </si>
  <si>
    <t xml:space="preserve"> MORVEN</t>
  </si>
  <si>
    <t xml:space="preserve"> JEFFERSON</t>
  </si>
  <si>
    <t xml:space="preserve"> WEST JEFFERSON</t>
  </si>
  <si>
    <t xml:space="preserve"> BANNER ELK</t>
  </si>
  <si>
    <t xml:space="preserve"> NEWLAND</t>
  </si>
  <si>
    <t xml:space="preserve"> BEECH MOUNTAIN</t>
  </si>
  <si>
    <t xml:space="preserve"> ELK PARK</t>
  </si>
  <si>
    <t xml:space="preserve"> SUGAR MOUNTAIN</t>
  </si>
  <si>
    <t xml:space="preserve"> AURORA</t>
  </si>
  <si>
    <t xml:space="preserve"> BELHAVEN</t>
  </si>
  <si>
    <t xml:space="preserve"> WASHINGTON PARK</t>
  </si>
  <si>
    <t xml:space="preserve"> CHOCOWINITY</t>
  </si>
  <si>
    <t xml:space="preserve"> AULANDER</t>
  </si>
  <si>
    <t xml:space="preserve"> WINDSOR</t>
  </si>
  <si>
    <t xml:space="preserve"> COLERAIN</t>
  </si>
  <si>
    <t xml:space="preserve"> LEWISTON WOODVILLE</t>
  </si>
  <si>
    <t xml:space="preserve"> ELIZABETHTOWN</t>
  </si>
  <si>
    <t xml:space="preserve"> WHITE LAKE</t>
  </si>
  <si>
    <t xml:space="preserve"> CLARKTON</t>
  </si>
  <si>
    <t xml:space="preserve"> BLADENBORO</t>
  </si>
  <si>
    <t xml:space="preserve"> LELAND</t>
  </si>
  <si>
    <t xml:space="preserve"> CALABASH</t>
  </si>
  <si>
    <t xml:space="preserve"> HOLDEN BEACH</t>
  </si>
  <si>
    <t xml:space="preserve"> BELVILLE</t>
  </si>
  <si>
    <t xml:space="preserve"> OAK ISLAND</t>
  </si>
  <si>
    <t xml:space="preserve"> CAROLINA SHORES</t>
  </si>
  <si>
    <t xml:space="preserve"> NAVASSA</t>
  </si>
  <si>
    <t xml:space="preserve"> ST JAMES</t>
  </si>
  <si>
    <t xml:space="preserve"> SUNSET BEACH</t>
  </si>
  <si>
    <t xml:space="preserve"> SUNSET BEACH ABC BOARD</t>
  </si>
  <si>
    <t xml:space="preserve"> CASWELL BEACH</t>
  </si>
  <si>
    <t xml:space="preserve"> OCEAN ISLE BEACH</t>
  </si>
  <si>
    <t xml:space="preserve"> SHALLOTTE</t>
  </si>
  <si>
    <t xml:space="preserve"> BILTMORE FOREST</t>
  </si>
  <si>
    <t xml:space="preserve"> WEAVERVILLE</t>
  </si>
  <si>
    <t xml:space="preserve"> BLACK MOUNTAIN</t>
  </si>
  <si>
    <t xml:space="preserve"> MONTREAT</t>
  </si>
  <si>
    <t xml:space="preserve"> WOODFIN</t>
  </si>
  <si>
    <t xml:space="preserve"> VALDESE</t>
  </si>
  <si>
    <t xml:space="preserve"> RUTHERFORD COLLEGE</t>
  </si>
  <si>
    <t xml:space="preserve"> DREXEL</t>
  </si>
  <si>
    <t xml:space="preserve"> GLEN ALPINE</t>
  </si>
  <si>
    <t xml:space="preserve"> HILDEBRAN</t>
  </si>
  <si>
    <t xml:space="preserve"> CONNELLY SPRINGS</t>
  </si>
  <si>
    <t xml:space="preserve"> MOUNT PLEASANT</t>
  </si>
  <si>
    <t xml:space="preserve"> MIDLAND</t>
  </si>
  <si>
    <t xml:space="preserve"> GRANITE FALLS</t>
  </si>
  <si>
    <t xml:space="preserve"> SAWMILLS</t>
  </si>
  <si>
    <t xml:space="preserve"> HUDSON</t>
  </si>
  <si>
    <t xml:space="preserve"> HARRISBURG</t>
  </si>
  <si>
    <t xml:space="preserve"> CAJAH'S MOUNTAIN</t>
  </si>
  <si>
    <t xml:space="preserve"> MOREHEAD CITY</t>
  </si>
  <si>
    <t xml:space="preserve"> NEWPORT</t>
  </si>
  <si>
    <t xml:space="preserve"> BEAUFORT</t>
  </si>
  <si>
    <t xml:space="preserve"> PINE KNOLL SHORES</t>
  </si>
  <si>
    <t xml:space="preserve"> EMERALD ISLE</t>
  </si>
  <si>
    <t xml:space="preserve"> INDIAN BEACH</t>
  </si>
  <si>
    <t xml:space="preserve"> CAPE CARTERET</t>
  </si>
  <si>
    <t xml:space="preserve"> ATLANTIC BEACH</t>
  </si>
  <si>
    <t xml:space="preserve"> CEDAR POINT</t>
  </si>
  <si>
    <t xml:space="preserve"> YANCEYVILLE</t>
  </si>
  <si>
    <t xml:space="preserve"> MAIDEN</t>
  </si>
  <si>
    <t>THE  LONGVIEW</t>
  </si>
  <si>
    <t xml:space="preserve"> CONOVER</t>
  </si>
  <si>
    <t xml:space="preserve"> BROOKFORD</t>
  </si>
  <si>
    <t xml:space="preserve"> CATAWBA</t>
  </si>
  <si>
    <t xml:space="preserve"> SILER CITY</t>
  </si>
  <si>
    <t xml:space="preserve"> PITTSBORO</t>
  </si>
  <si>
    <t xml:space="preserve"> MURPHY</t>
  </si>
  <si>
    <t xml:space="preserve"> ANDREWS</t>
  </si>
  <si>
    <t xml:space="preserve"> EDENTON</t>
  </si>
  <si>
    <t xml:space="preserve"> BOILING SPRINGS</t>
  </si>
  <si>
    <t xml:space="preserve"> LAWNDALE</t>
  </si>
  <si>
    <t xml:space="preserve"> GROVER</t>
  </si>
  <si>
    <t xml:space="preserve"> BOLTON</t>
  </si>
  <si>
    <t xml:space="preserve"> BRUNSWICK</t>
  </si>
  <si>
    <t xml:space="preserve"> FAIR BLUFF</t>
  </si>
  <si>
    <t xml:space="preserve"> CHADBOURN</t>
  </si>
  <si>
    <t xml:space="preserve"> TABOR CITY</t>
  </si>
  <si>
    <t xml:space="preserve"> LAKE WACCAMAW</t>
  </si>
  <si>
    <t xml:space="preserve"> TRENT WOODS</t>
  </si>
  <si>
    <t xml:space="preserve"> RIVER BEND</t>
  </si>
  <si>
    <t xml:space="preserve"> VANCEBORO</t>
  </si>
  <si>
    <t xml:space="preserve"> BRIDGETON</t>
  </si>
  <si>
    <t xml:space="preserve"> COVE CITY</t>
  </si>
  <si>
    <t xml:space="preserve"> STEDMAN</t>
  </si>
  <si>
    <t xml:space="preserve"> HOPE MILLS</t>
  </si>
  <si>
    <t xml:space="preserve"> WADE</t>
  </si>
  <si>
    <t xml:space="preserve"> LINDEN</t>
  </si>
  <si>
    <t xml:space="preserve"> SPRING LAKE</t>
  </si>
  <si>
    <t xml:space="preserve"> FALCON</t>
  </si>
  <si>
    <t xml:space="preserve"> EASTOVER</t>
  </si>
  <si>
    <t xml:space="preserve"> NAGS HEAD</t>
  </si>
  <si>
    <t xml:space="preserve"> KILL DEVIL HILLS</t>
  </si>
  <si>
    <t xml:space="preserve"> MANTEO</t>
  </si>
  <si>
    <t xml:space="preserve"> SOUTHERN SHORES</t>
  </si>
  <si>
    <t xml:space="preserve"> KITTY HAWK</t>
  </si>
  <si>
    <t xml:space="preserve"> DUCK</t>
  </si>
  <si>
    <t xml:space="preserve"> DENTON</t>
  </si>
  <si>
    <t xml:space="preserve"> MIDWAY</t>
  </si>
  <si>
    <t xml:space="preserve"> MOCKSVILLE</t>
  </si>
  <si>
    <t xml:space="preserve"> BERMUDA RUN</t>
  </si>
  <si>
    <t xml:space="preserve"> COOLEEMEE</t>
  </si>
  <si>
    <t xml:space="preserve"> BEULAVILLE</t>
  </si>
  <si>
    <t xml:space="preserve"> KENANSVILLE</t>
  </si>
  <si>
    <t xml:space="preserve"> WARSAW</t>
  </si>
  <si>
    <t xml:space="preserve"> FAISON</t>
  </si>
  <si>
    <t xml:space="preserve"> WALLACE</t>
  </si>
  <si>
    <t xml:space="preserve"> ROSE HILL</t>
  </si>
  <si>
    <t xml:space="preserve"> CALYPSO</t>
  </si>
  <si>
    <t xml:space="preserve"> TEACHEY</t>
  </si>
  <si>
    <t xml:space="preserve"> MAGNOLIA</t>
  </si>
  <si>
    <t xml:space="preserve"> TARBORO</t>
  </si>
  <si>
    <t xml:space="preserve"> PINETOPS</t>
  </si>
  <si>
    <t xml:space="preserve"> MACCLESFIELD</t>
  </si>
  <si>
    <t xml:space="preserve"> PRINCEVILLE</t>
  </si>
  <si>
    <t xml:space="preserve"> KERNERSVILLE</t>
  </si>
  <si>
    <t xml:space="preserve"> RURAL HALL</t>
  </si>
  <si>
    <t xml:space="preserve"> LEWISVILLE</t>
  </si>
  <si>
    <t xml:space="preserve"> FRANKLINTON</t>
  </si>
  <si>
    <t xml:space="preserve"> LOUISBURG</t>
  </si>
  <si>
    <t>ABC BOARD -  BUNN</t>
  </si>
  <si>
    <t xml:space="preserve"> YOUNGSVILLE</t>
  </si>
  <si>
    <t xml:space="preserve"> CRAMERTON</t>
  </si>
  <si>
    <t xml:space="preserve"> DALLAS</t>
  </si>
  <si>
    <t xml:space="preserve"> RANLO</t>
  </si>
  <si>
    <t xml:space="preserve"> ROBBINSVILLE</t>
  </si>
  <si>
    <t xml:space="preserve"> STOVALL</t>
  </si>
  <si>
    <t xml:space="preserve"> BUTNER</t>
  </si>
  <si>
    <t xml:space="preserve"> HOOKERTON</t>
  </si>
  <si>
    <t xml:space="preserve"> SNOW HILL</t>
  </si>
  <si>
    <t xml:space="preserve"> WALSTONBURG</t>
  </si>
  <si>
    <t xml:space="preserve"> JAMESTOWN</t>
  </si>
  <si>
    <t xml:space="preserve"> GIBSONVILLE</t>
  </si>
  <si>
    <t xml:space="preserve"> OAK RIDGE</t>
  </si>
  <si>
    <t xml:space="preserve"> SUMMERFIELD</t>
  </si>
  <si>
    <t xml:space="preserve"> ENFIELD</t>
  </si>
  <si>
    <t xml:space="preserve"> WELDON</t>
  </si>
  <si>
    <t xml:space="preserve"> SCOTLAND NECK</t>
  </si>
  <si>
    <t xml:space="preserve"> HOBGOOD</t>
  </si>
  <si>
    <t xml:space="preserve"> LITTLETON</t>
  </si>
  <si>
    <t xml:space="preserve"> LILLINGTON</t>
  </si>
  <si>
    <t xml:space="preserve"> ERWIN</t>
  </si>
  <si>
    <t xml:space="preserve"> COATS</t>
  </si>
  <si>
    <t xml:space="preserve"> ANGIER ABC BOARD</t>
  </si>
  <si>
    <t xml:space="preserve"> ANGIER</t>
  </si>
  <si>
    <t xml:space="preserve"> WAYNESVILLE</t>
  </si>
  <si>
    <t xml:space="preserve"> MAGGIE VALLEY</t>
  </si>
  <si>
    <t xml:space="preserve"> CANTON</t>
  </si>
  <si>
    <t xml:space="preserve"> LAUREL PARK</t>
  </si>
  <si>
    <t xml:space="preserve"> FLETCHER</t>
  </si>
  <si>
    <t xml:space="preserve"> MILLS RIVER</t>
  </si>
  <si>
    <t xml:space="preserve"> AHOSKIE</t>
  </si>
  <si>
    <t xml:space="preserve"> MURFREESBORO</t>
  </si>
  <si>
    <t xml:space="preserve"> WINTON</t>
  </si>
  <si>
    <t xml:space="preserve"> COFIELD</t>
  </si>
  <si>
    <t xml:space="preserve"> RAEFORD</t>
  </si>
  <si>
    <t xml:space="preserve"> TROUTMAN</t>
  </si>
  <si>
    <t xml:space="preserve"> TROUTMAN ABC BOARD</t>
  </si>
  <si>
    <t xml:space="preserve"> SYLVA</t>
  </si>
  <si>
    <t xml:space="preserve"> ARCHER LODGE</t>
  </si>
  <si>
    <t xml:space="preserve"> SMITHFIELD</t>
  </si>
  <si>
    <t xml:space="preserve"> SELMA</t>
  </si>
  <si>
    <t xml:space="preserve"> MICRO</t>
  </si>
  <si>
    <t xml:space="preserve"> CLAYTON</t>
  </si>
  <si>
    <t xml:space="preserve"> BENSON</t>
  </si>
  <si>
    <t xml:space="preserve"> FOUR OAKS</t>
  </si>
  <si>
    <t xml:space="preserve"> PINE LEVEL</t>
  </si>
  <si>
    <t xml:space="preserve"> KENLY</t>
  </si>
  <si>
    <t xml:space="preserve"> PRINCETON</t>
  </si>
  <si>
    <t xml:space="preserve"> WILSON'S MILLS</t>
  </si>
  <si>
    <t xml:space="preserve"> POLLOCKSVILLE</t>
  </si>
  <si>
    <t xml:space="preserve"> MAYSVILLE</t>
  </si>
  <si>
    <t xml:space="preserve"> BROADWAY</t>
  </si>
  <si>
    <t xml:space="preserve"> PINK HILL</t>
  </si>
  <si>
    <t xml:space="preserve"> LAGRANGE</t>
  </si>
  <si>
    <t xml:space="preserve"> LINCOLNTON ABC BOARD</t>
  </si>
  <si>
    <t xml:space="preserve"> FRANKLIN</t>
  </si>
  <si>
    <t xml:space="preserve"> HIGHLANDS</t>
  </si>
  <si>
    <t xml:space="preserve"> MARS HILL</t>
  </si>
  <si>
    <t xml:space="preserve"> MARSHALL</t>
  </si>
  <si>
    <t xml:space="preserve"> WILLIAMSTON</t>
  </si>
  <si>
    <t xml:space="preserve"> OAK CITY</t>
  </si>
  <si>
    <t xml:space="preserve"> HAMILTON</t>
  </si>
  <si>
    <t xml:space="preserve"> JAMESVILLE</t>
  </si>
  <si>
    <t xml:space="preserve"> ROBERSONVILLE</t>
  </si>
  <si>
    <t xml:space="preserve"> MARION</t>
  </si>
  <si>
    <t xml:space="preserve"> OLD FORT</t>
  </si>
  <si>
    <t xml:space="preserve"> PINEVILLE</t>
  </si>
  <si>
    <t xml:space="preserve"> MINT HILL</t>
  </si>
  <si>
    <t xml:space="preserve"> HUNTERSVILLE</t>
  </si>
  <si>
    <t xml:space="preserve"> CORNELIUS</t>
  </si>
  <si>
    <t xml:space="preserve"> STALLINGS</t>
  </si>
  <si>
    <t xml:space="preserve"> MATTHEWS</t>
  </si>
  <si>
    <t xml:space="preserve"> DAVIDSON</t>
  </si>
  <si>
    <t xml:space="preserve"> SPRUCE PINE</t>
  </si>
  <si>
    <t xml:space="preserve"> BAKERSVILLE</t>
  </si>
  <si>
    <t xml:space="preserve"> STAR</t>
  </si>
  <si>
    <t xml:space="preserve"> TROY</t>
  </si>
  <si>
    <t xml:space="preserve"> BISCOE</t>
  </si>
  <si>
    <t xml:space="preserve"> CANDOR</t>
  </si>
  <si>
    <t xml:space="preserve"> MOUNT GILEAD</t>
  </si>
  <si>
    <t xml:space="preserve"> TAYLORTOWN</t>
  </si>
  <si>
    <t xml:space="preserve"> SOUTHERN PINES</t>
  </si>
  <si>
    <t xml:space="preserve"> CAMERON</t>
  </si>
  <si>
    <t xml:space="preserve"> VASS</t>
  </si>
  <si>
    <t xml:space="preserve"> ABERDEEN</t>
  </si>
  <si>
    <t xml:space="preserve"> ROBBINS</t>
  </si>
  <si>
    <t xml:space="preserve"> PINEBLUFF</t>
  </si>
  <si>
    <t xml:space="preserve"> CARTHAGE</t>
  </si>
  <si>
    <t xml:space="preserve"> SPRING HOPE</t>
  </si>
  <si>
    <t xml:space="preserve"> NASHVILLE</t>
  </si>
  <si>
    <t xml:space="preserve"> MIDDLESEX</t>
  </si>
  <si>
    <t xml:space="preserve"> WHITAKERS</t>
  </si>
  <si>
    <t xml:space="preserve"> BAILEY</t>
  </si>
  <si>
    <t xml:space="preserve"> SHARPSBURG</t>
  </si>
  <si>
    <t xml:space="preserve"> WRIGHTSVILLE BEACH</t>
  </si>
  <si>
    <t xml:space="preserve"> CAROLINA BEACH</t>
  </si>
  <si>
    <t xml:space="preserve"> KURE BEACH</t>
  </si>
  <si>
    <t xml:space="preserve"> RICH SQUARE</t>
  </si>
  <si>
    <t xml:space="preserve"> WOODLAND</t>
  </si>
  <si>
    <t xml:space="preserve"> GARYSBURG</t>
  </si>
  <si>
    <t xml:space="preserve"> CONWAY</t>
  </si>
  <si>
    <t xml:space="preserve"> GASTON</t>
  </si>
  <si>
    <t xml:space="preserve"> JACKSON</t>
  </si>
  <si>
    <t xml:space="preserve"> SEVERN</t>
  </si>
  <si>
    <t xml:space="preserve"> SEABOARD</t>
  </si>
  <si>
    <t xml:space="preserve"> SWANSBORO</t>
  </si>
  <si>
    <t xml:space="preserve"> HOLLY RIDGE</t>
  </si>
  <si>
    <t xml:space="preserve"> RICHLANDS</t>
  </si>
  <si>
    <t xml:space="preserve"> N TOPSAIL BEACH</t>
  </si>
  <si>
    <t xml:space="preserve"> CHAPEL HILL</t>
  </si>
  <si>
    <t xml:space="preserve"> CARRBORO</t>
  </si>
  <si>
    <t xml:space="preserve"> HILLSBOROUGH</t>
  </si>
  <si>
    <t xml:space="preserve"> BAYBORO</t>
  </si>
  <si>
    <t xml:space="preserve"> ORIENTAL</t>
  </si>
  <si>
    <t xml:space="preserve"> BURGAW</t>
  </si>
  <si>
    <t xml:space="preserve"> TOPSAIL BEACH</t>
  </si>
  <si>
    <t xml:space="preserve"> SURF CITY</t>
  </si>
  <si>
    <t xml:space="preserve"> HERTFORD</t>
  </si>
  <si>
    <t xml:space="preserve"> HERTFORD ABC BOARD</t>
  </si>
  <si>
    <t xml:space="preserve"> WINFALL</t>
  </si>
  <si>
    <t xml:space="preserve"> FARMVILLE</t>
  </si>
  <si>
    <t xml:space="preserve"> GRIFTON</t>
  </si>
  <si>
    <t xml:space="preserve"> BETHEL</t>
  </si>
  <si>
    <t xml:space="preserve"> WINTERVILLE</t>
  </si>
  <si>
    <t xml:space="preserve"> AYDEN</t>
  </si>
  <si>
    <t xml:space="preserve"> GRIMESLAND</t>
  </si>
  <si>
    <t xml:space="preserve">FOUNTAIN, </t>
  </si>
  <si>
    <t xml:space="preserve"> TRYON</t>
  </si>
  <si>
    <t xml:space="preserve"> COLUMBUS</t>
  </si>
  <si>
    <t xml:space="preserve"> LIBERTY</t>
  </si>
  <si>
    <t xml:space="preserve"> RAMSEUR</t>
  </si>
  <si>
    <t xml:space="preserve"> ELLERBE</t>
  </si>
  <si>
    <t xml:space="preserve"> FAIRMONT</t>
  </si>
  <si>
    <t xml:space="preserve"> ST PAULS</t>
  </si>
  <si>
    <t xml:space="preserve"> MAXTON</t>
  </si>
  <si>
    <t xml:space="preserve"> PARKTON</t>
  </si>
  <si>
    <t xml:space="preserve"> PEMBROKE</t>
  </si>
  <si>
    <t xml:space="preserve"> ROWLAND</t>
  </si>
  <si>
    <t xml:space="preserve"> RED SPRINGS</t>
  </si>
  <si>
    <t xml:space="preserve"> MAYODAN</t>
  </si>
  <si>
    <t xml:space="preserve"> STONEVILLE</t>
  </si>
  <si>
    <t xml:space="preserve"> MADISON</t>
  </si>
  <si>
    <t xml:space="preserve"> EAST SPENCER</t>
  </si>
  <si>
    <t xml:space="preserve"> SPENCER</t>
  </si>
  <si>
    <t xml:space="preserve"> CHINA GROVE</t>
  </si>
  <si>
    <t xml:space="preserve"> LANDIS</t>
  </si>
  <si>
    <t xml:space="preserve"> GRANITE QUARRY</t>
  </si>
  <si>
    <t xml:space="preserve"> ROCKWELL</t>
  </si>
  <si>
    <t xml:space="preserve"> FAITH</t>
  </si>
  <si>
    <t xml:space="preserve"> CLEVELAND</t>
  </si>
  <si>
    <t xml:space="preserve"> FOREST CITY</t>
  </si>
  <si>
    <t xml:space="preserve"> SPINDALE</t>
  </si>
  <si>
    <t xml:space="preserve"> LAKE LURE</t>
  </si>
  <si>
    <t xml:space="preserve"> RUTHERFORDTON</t>
  </si>
  <si>
    <t xml:space="preserve"> RUTHERFORDTON ABC BRD</t>
  </si>
  <si>
    <t xml:space="preserve"> ELLENBORO</t>
  </si>
  <si>
    <t xml:space="preserve"> SALEMBURG</t>
  </si>
  <si>
    <t xml:space="preserve"> NEWTON GROVE</t>
  </si>
  <si>
    <t xml:space="preserve"> GARLAND</t>
  </si>
  <si>
    <t xml:space="preserve"> TURKEY</t>
  </si>
  <si>
    <t xml:space="preserve"> ROSEBORO</t>
  </si>
  <si>
    <t xml:space="preserve"> AUTRYVILLE</t>
  </si>
  <si>
    <t xml:space="preserve"> WAGRAM</t>
  </si>
  <si>
    <t xml:space="preserve"> GIBSON</t>
  </si>
  <si>
    <t xml:space="preserve"> NORWOOD</t>
  </si>
  <si>
    <t xml:space="preserve"> OAKBORO</t>
  </si>
  <si>
    <t xml:space="preserve"> BADIN</t>
  </si>
  <si>
    <t xml:space="preserve"> NEW LONDON</t>
  </si>
  <si>
    <t xml:space="preserve"> STANFIELD</t>
  </si>
  <si>
    <t xml:space="preserve"> WALNUT COVE</t>
  </si>
  <si>
    <t xml:space="preserve"> PILOT MOUNTAIN</t>
  </si>
  <si>
    <t xml:space="preserve"> DOBSON</t>
  </si>
  <si>
    <t xml:space="preserve"> ELKIN</t>
  </si>
  <si>
    <t xml:space="preserve"> BRYSON CITY</t>
  </si>
  <si>
    <t xml:space="preserve"> COLUMBIA</t>
  </si>
  <si>
    <t xml:space="preserve"> MARSHVILLE</t>
  </si>
  <si>
    <t xml:space="preserve"> MINERAL SPRINGS</t>
  </si>
  <si>
    <t xml:space="preserve"> WINGATE</t>
  </si>
  <si>
    <t xml:space="preserve"> WAXHAW</t>
  </si>
  <si>
    <t xml:space="preserve"> INDIAN TRAIL</t>
  </si>
  <si>
    <t xml:space="preserve"> UNIONVILLE</t>
  </si>
  <si>
    <t xml:space="preserve"> WEDDINGTON</t>
  </si>
  <si>
    <t xml:space="preserve"> HOLLY SPRINGS</t>
  </si>
  <si>
    <t xml:space="preserve"> ROLESVILLE</t>
  </si>
  <si>
    <t xml:space="preserve"> MORRISVILLE</t>
  </si>
  <si>
    <t xml:space="preserve"> CARY</t>
  </si>
  <si>
    <t xml:space="preserve"> WENDELL</t>
  </si>
  <si>
    <t xml:space="preserve"> ZEBULON</t>
  </si>
  <si>
    <t xml:space="preserve"> GARNER</t>
  </si>
  <si>
    <t xml:space="preserve"> FUQUAY-VARINA</t>
  </si>
  <si>
    <t xml:space="preserve"> APEX</t>
  </si>
  <si>
    <t xml:space="preserve"> WAKE FOREST</t>
  </si>
  <si>
    <t xml:space="preserve"> KNIGHTDALE</t>
  </si>
  <si>
    <t xml:space="preserve"> NORLINA</t>
  </si>
  <si>
    <t xml:space="preserve"> WARRENTON</t>
  </si>
  <si>
    <t xml:space="preserve"> PLYMOUTH</t>
  </si>
  <si>
    <t xml:space="preserve"> ROPER</t>
  </si>
  <si>
    <t xml:space="preserve"> CRESWELL</t>
  </si>
  <si>
    <t xml:space="preserve"> BOONE</t>
  </si>
  <si>
    <t xml:space="preserve"> BLOWING ROCK</t>
  </si>
  <si>
    <t xml:space="preserve"> SEVEN DEVILS</t>
  </si>
  <si>
    <t xml:space="preserve"> MOUNT OLIVE</t>
  </si>
  <si>
    <t xml:space="preserve"> FREMONT</t>
  </si>
  <si>
    <t xml:space="preserve"> PIKEVILLE</t>
  </si>
  <si>
    <t xml:space="preserve"> N WILKESBORO</t>
  </si>
  <si>
    <t xml:space="preserve"> N WILKESBORO ABC BOARD</t>
  </si>
  <si>
    <t xml:space="preserve"> WILKESBORO</t>
  </si>
  <si>
    <t xml:space="preserve"> STANTONSBURG</t>
  </si>
  <si>
    <t xml:space="preserve"> BLACK CREEK</t>
  </si>
  <si>
    <t xml:space="preserve"> LUCAMA</t>
  </si>
  <si>
    <t xml:space="preserve"> ELM CITY</t>
  </si>
  <si>
    <t xml:space="preserve"> YADKINVILLE</t>
  </si>
  <si>
    <t xml:space="preserve"> JONESVILLE</t>
  </si>
  <si>
    <t xml:space="preserve"> EAST BEND</t>
  </si>
  <si>
    <t xml:space="preserve"> BOONVILLE</t>
  </si>
  <si>
    <t xml:space="preserve"> MISENHEIMER</t>
  </si>
  <si>
    <t xml:space="preserve"> ALAMANCE</t>
  </si>
  <si>
    <t xml:space="preserve"> BALD HEAD ISLAND</t>
  </si>
  <si>
    <t xml:space="preserve"> CLEMMONS</t>
  </si>
  <si>
    <t>THE  FLAT ROCK</t>
  </si>
  <si>
    <t xml:space="preserve"> PINEHURST</t>
  </si>
  <si>
    <t xml:space="preserve"> WHISPERING PINES</t>
  </si>
  <si>
    <t xml:space="preserve"> SIMPSON</t>
  </si>
  <si>
    <t xml:space="preserve"> MARVIN</t>
  </si>
  <si>
    <t xml:space="preserve"> WESLEY CHAPEL</t>
  </si>
  <si>
    <t xml:space="preserve"> WALNUT CREEK</t>
  </si>
  <si>
    <t>YOUNGSVILLE</t>
  </si>
  <si>
    <t>ZEBULON</t>
  </si>
  <si>
    <t>YANCEYVILLE</t>
  </si>
  <si>
    <t>YADKINVILLE</t>
  </si>
  <si>
    <t>WRIGHTSVILLE BEACH</t>
  </si>
  <si>
    <t>ALAMANCE</t>
  </si>
  <si>
    <t>BALD HEAD ISLAND</t>
  </si>
  <si>
    <t>CLEMMONS</t>
  </si>
  <si>
    <t>FLAT ROCK</t>
  </si>
  <si>
    <t>FLETCHER</t>
  </si>
  <si>
    <t>FOREST CITY</t>
  </si>
  <si>
    <t>FOUR OAKS</t>
  </si>
  <si>
    <t>FRANKLIN</t>
  </si>
  <si>
    <t>FRANKLINTON</t>
  </si>
  <si>
    <t>FREMONT</t>
  </si>
  <si>
    <t>FUQUAY-VARINA</t>
  </si>
  <si>
    <t>GARLAND</t>
  </si>
  <si>
    <t>GARNER</t>
  </si>
  <si>
    <t>GARYSBURG</t>
  </si>
  <si>
    <t>GASTON</t>
  </si>
  <si>
    <t>GIBSON</t>
  </si>
  <si>
    <t>GIBSONVILLE</t>
  </si>
  <si>
    <t>GLEN ALPINE</t>
  </si>
  <si>
    <t>GRANITE FALLS</t>
  </si>
  <si>
    <t>GRANITE QUARRY</t>
  </si>
  <si>
    <t>GREEN LEVEL</t>
  </si>
  <si>
    <t>GRIFTON</t>
  </si>
  <si>
    <t>GRIMESLAND</t>
  </si>
  <si>
    <t>GROVER</t>
  </si>
  <si>
    <t>HAMILTON</t>
  </si>
  <si>
    <t>HARRISBURG</t>
  </si>
  <si>
    <t>HAW RIVER</t>
  </si>
  <si>
    <t>HERTFORD</t>
  </si>
  <si>
    <t>HERTFORD ABC BOARD</t>
  </si>
  <si>
    <t>HIGHLANDS</t>
  </si>
  <si>
    <t>HILDEBRAN</t>
  </si>
  <si>
    <t>HILLSBOROUGH</t>
  </si>
  <si>
    <t>HOBGOOD</t>
  </si>
  <si>
    <t>HOLDEN BEACH</t>
  </si>
  <si>
    <t>HOLLY RIDGE</t>
  </si>
  <si>
    <t>HOLLY SPRINGS</t>
  </si>
  <si>
    <t>HOOKERTON</t>
  </si>
  <si>
    <t>HOPE MILLS</t>
  </si>
  <si>
    <t>HUDSON</t>
  </si>
  <si>
    <t>HUNTERSVILLE</t>
  </si>
  <si>
    <t>INDIAN BEACH</t>
  </si>
  <si>
    <t>INDIAN TRAIL</t>
  </si>
  <si>
    <t>JACKSON</t>
  </si>
  <si>
    <t>JAMESTOWN</t>
  </si>
  <si>
    <t>JAMESVILLE</t>
  </si>
  <si>
    <t>JEFFERSON</t>
  </si>
  <si>
    <t>JONESVILLE</t>
  </si>
  <si>
    <t>KENANSVILLE</t>
  </si>
  <si>
    <t>KENLY</t>
  </si>
  <si>
    <t>KERNERSVILLE</t>
  </si>
  <si>
    <t>KILL DEVIL HILLS</t>
  </si>
  <si>
    <t>KING</t>
  </si>
  <si>
    <t>KITTY HAWK</t>
  </si>
  <si>
    <t>KNIGHTDALE</t>
  </si>
  <si>
    <t>KURE BEACH</t>
  </si>
  <si>
    <t>LAGRANGE</t>
  </si>
  <si>
    <t>LAKE LURE</t>
  </si>
  <si>
    <t>LAKE WACCAMAW</t>
  </si>
  <si>
    <t>LANDIS</t>
  </si>
  <si>
    <t>LAUREL PARK</t>
  </si>
  <si>
    <t>LAWNDALE</t>
  </si>
  <si>
    <t>LELAND</t>
  </si>
  <si>
    <t>LEWISTON WOODVILLE</t>
  </si>
  <si>
    <t>LEWISVILLE</t>
  </si>
  <si>
    <t>LIBERTY</t>
  </si>
  <si>
    <t>LILESVILLE</t>
  </si>
  <si>
    <t>LILLINGTON</t>
  </si>
  <si>
    <t>LINCOLNTON ABC BOARD</t>
  </si>
  <si>
    <t>LINDEN</t>
  </si>
  <si>
    <t>LITTLETON</t>
  </si>
  <si>
    <t>LONGVIEW</t>
  </si>
  <si>
    <t>LOUISBURG</t>
  </si>
  <si>
    <t>LUCAMA</t>
  </si>
  <si>
    <t>MACCLESFIELD</t>
  </si>
  <si>
    <t>MADISON</t>
  </si>
  <si>
    <t>MAGGIE VALLEY</t>
  </si>
  <si>
    <t>MAGNOLIA</t>
  </si>
  <si>
    <t>MAIDEN</t>
  </si>
  <si>
    <t>MANTEO</t>
  </si>
  <si>
    <t>MARION</t>
  </si>
  <si>
    <t>MARS HILL</t>
  </si>
  <si>
    <t>MARSHALL</t>
  </si>
  <si>
    <t>MARSHVILLE</t>
  </si>
  <si>
    <t>MARVIN</t>
  </si>
  <si>
    <t>MATTHEWS</t>
  </si>
  <si>
    <t>MAXTON</t>
  </si>
  <si>
    <t>MAYODAN</t>
  </si>
  <si>
    <t>MAYSVILLE</t>
  </si>
  <si>
    <t>MCADENVILLE</t>
  </si>
  <si>
    <t>MICRO</t>
  </si>
  <si>
    <t>MIDDLESEX</t>
  </si>
  <si>
    <t>MIDLAND</t>
  </si>
  <si>
    <t>MIDWAY</t>
  </si>
  <si>
    <t>MILLS RIVER</t>
  </si>
  <si>
    <t>MINERAL SPRINGS</t>
  </si>
  <si>
    <t>MINT HILL</t>
  </si>
  <si>
    <t>MISENHEIMER</t>
  </si>
  <si>
    <t>MOCKSVILLE</t>
  </si>
  <si>
    <t>MONTREAT</t>
  </si>
  <si>
    <t>MOREHEAD CITY</t>
  </si>
  <si>
    <t>MORRISVILLE</t>
  </si>
  <si>
    <t>MORVEN</t>
  </si>
  <si>
    <t>MOUNT GILEAD</t>
  </si>
  <si>
    <t>MOUNT OLIVE</t>
  </si>
  <si>
    <t>MOUNT PLEASANT</t>
  </si>
  <si>
    <t>MURFREESBORO</t>
  </si>
  <si>
    <t>MURPHY</t>
  </si>
  <si>
    <t>NORTH TOPSAIL BEACH</t>
  </si>
  <si>
    <t>NORTH WILKESBORO</t>
  </si>
  <si>
    <t>NORTH WILKESBORO ABC BOARD</t>
  </si>
  <si>
    <t>NAGS HEAD</t>
  </si>
  <si>
    <t>NASHVILLE</t>
  </si>
  <si>
    <t>NAVASSA</t>
  </si>
  <si>
    <t>NEW LONDON</t>
  </si>
  <si>
    <t>NEWLAND</t>
  </si>
  <si>
    <t>NEWPORT</t>
  </si>
  <si>
    <t>NEWTON GROVE</t>
  </si>
  <si>
    <t>NORLINA</t>
  </si>
  <si>
    <t>NORWOOD</t>
  </si>
  <si>
    <t>OAK CITY</t>
  </si>
  <si>
    <t>OAK ISLAND</t>
  </si>
  <si>
    <t>OAK RIDGE</t>
  </si>
  <si>
    <t>OAKBORO</t>
  </si>
  <si>
    <t>OCEAN ISLE BEACH</t>
  </si>
  <si>
    <t>OLD FORT</t>
  </si>
  <si>
    <t>ORIENTAL</t>
  </si>
  <si>
    <t>PARKTON</t>
  </si>
  <si>
    <t>PEACHLAND</t>
  </si>
  <si>
    <t>PEMBROKE</t>
  </si>
  <si>
    <t>PIKEVILLE</t>
  </si>
  <si>
    <t>PILOT MOUNTAIN</t>
  </si>
  <si>
    <t>PINE KNOLL SHORES</t>
  </si>
  <si>
    <t>PINE LEVEL</t>
  </si>
  <si>
    <t>PINEBLUFF</t>
  </si>
  <si>
    <t>PINEHURST</t>
  </si>
  <si>
    <t>PINETOPS</t>
  </si>
  <si>
    <t>PINEVILLE</t>
  </si>
  <si>
    <t>PINK HILL</t>
  </si>
  <si>
    <t>PITTSBORO</t>
  </si>
  <si>
    <t>PLYMOUTH</t>
  </si>
  <si>
    <t>POLKTON</t>
  </si>
  <si>
    <t>POLLOCKSVILLE</t>
  </si>
  <si>
    <t>PRINCETON</t>
  </si>
  <si>
    <t>PRINCEVILLE</t>
  </si>
  <si>
    <t>RAEFORD</t>
  </si>
  <si>
    <t>RAMSEUR</t>
  </si>
  <si>
    <t>RANLO</t>
  </si>
  <si>
    <t>RED SPRINGS</t>
  </si>
  <si>
    <t>RICH SQUARE</t>
  </si>
  <si>
    <t>RICHLANDS</t>
  </si>
  <si>
    <t>RIVER BEND</t>
  </si>
  <si>
    <t>ROBBINS</t>
  </si>
  <si>
    <t>ROBBINSVILLE</t>
  </si>
  <si>
    <t>ROBERSONVILLE</t>
  </si>
  <si>
    <t>ROCKWELL</t>
  </si>
  <si>
    <t>ROLESVILLE</t>
  </si>
  <si>
    <t>ROPER</t>
  </si>
  <si>
    <t>ROSE HILL</t>
  </si>
  <si>
    <t>ROSEBORO</t>
  </si>
  <si>
    <t>ROWLAND</t>
  </si>
  <si>
    <t>RURAL HALL</t>
  </si>
  <si>
    <t>RUTHERFORD COLLEGE</t>
  </si>
  <si>
    <t>RUTHERFORDTON</t>
  </si>
  <si>
    <t>SALEMBURG</t>
  </si>
  <si>
    <t>SAWMILLS</t>
  </si>
  <si>
    <t>SCOTLAND NECK</t>
  </si>
  <si>
    <t>SEABOARD</t>
  </si>
  <si>
    <t>SEAGROVE</t>
  </si>
  <si>
    <t>SELMA</t>
  </si>
  <si>
    <t>SEVEN DEVILS</t>
  </si>
  <si>
    <t>SEVERN</t>
  </si>
  <si>
    <t>SHALLOTTE</t>
  </si>
  <si>
    <t>SHARPSBURG</t>
  </si>
  <si>
    <t>SILER CITY</t>
  </si>
  <si>
    <t>SIMPSON</t>
  </si>
  <si>
    <t>SMITHFIELD</t>
  </si>
  <si>
    <t>SNOW HILL</t>
  </si>
  <si>
    <t>SOUTHERN PINES</t>
  </si>
  <si>
    <t>SOUTHERN SHORES</t>
  </si>
  <si>
    <t>SPARTA</t>
  </si>
  <si>
    <t>SPARTA ABC BOARD</t>
  </si>
  <si>
    <t>SPENCER</t>
  </si>
  <si>
    <t>SPINDALE</t>
  </si>
  <si>
    <t>SPRING HOPE</t>
  </si>
  <si>
    <t>SPRING LAKE</t>
  </si>
  <si>
    <t>SPRUCE PINE</t>
  </si>
  <si>
    <t>SAINT JAMES</t>
  </si>
  <si>
    <t>SAINT PAULS</t>
  </si>
  <si>
    <t>STALLINGS</t>
  </si>
  <si>
    <t>STANFIELD</t>
  </si>
  <si>
    <t>STANLEY</t>
  </si>
  <si>
    <t>STANTONSBURG</t>
  </si>
  <si>
    <t>STAR</t>
  </si>
  <si>
    <t>STEDMAN</t>
  </si>
  <si>
    <t>STONEVILLE</t>
  </si>
  <si>
    <t>STOVALL</t>
  </si>
  <si>
    <t>SUGAR MOUNTAIN</t>
  </si>
  <si>
    <t>SUMMERFIELD</t>
  </si>
  <si>
    <t>SUNSET BEACH</t>
  </si>
  <si>
    <t>SUNSET BEACH ABC BOARD</t>
  </si>
  <si>
    <t>SURF CITY</t>
  </si>
  <si>
    <t>SWANSBORO</t>
  </si>
  <si>
    <t>SYLVA</t>
  </si>
  <si>
    <t>TABOR CITY</t>
  </si>
  <si>
    <t>TARBORO</t>
  </si>
  <si>
    <t>TAYLORSVILLE</t>
  </si>
  <si>
    <t>TAYLORTOWN</t>
  </si>
  <si>
    <t>TEACHEY</t>
  </si>
  <si>
    <t>TOBACCOVILLE</t>
  </si>
  <si>
    <t>TOPSAIL BEACH</t>
  </si>
  <si>
    <t>TRENT WOODS</t>
  </si>
  <si>
    <t>TROUTMAN</t>
  </si>
  <si>
    <t>TROUTMAN ABC BOARD</t>
  </si>
  <si>
    <t>TROY</t>
  </si>
  <si>
    <t>TRYON</t>
  </si>
  <si>
    <t>TURKEY</t>
  </si>
  <si>
    <t>VALDESE</t>
  </si>
  <si>
    <t>VANCEBORO</t>
  </si>
  <si>
    <t>VASS</t>
  </si>
  <si>
    <t>WADE</t>
  </si>
  <si>
    <t>WADESBORO</t>
  </si>
  <si>
    <t>WAGRAM</t>
  </si>
  <si>
    <t>WAKE FOREST</t>
  </si>
  <si>
    <t>WALKERTOWN</t>
  </si>
  <si>
    <t>WALLACE</t>
  </si>
  <si>
    <t>WALNUT COVE</t>
  </si>
  <si>
    <t>WALNUT CREEK</t>
  </si>
  <si>
    <t>WALSTONBURG</t>
  </si>
  <si>
    <t>WARRENTON</t>
  </si>
  <si>
    <t>WARSAW</t>
  </si>
  <si>
    <t>WASHINGTON PARK</t>
  </si>
  <si>
    <t>WAXHAW</t>
  </si>
  <si>
    <t>WAYNESVILLE</t>
  </si>
  <si>
    <t>WEAVERVILLE</t>
  </si>
  <si>
    <t>WEDDINGTON</t>
  </si>
  <si>
    <t>WELDON</t>
  </si>
  <si>
    <t>WENDELL</t>
  </si>
  <si>
    <t>WESLEY CHAPEL</t>
  </si>
  <si>
    <t>WEST JEFFERSON</t>
  </si>
  <si>
    <t>WHISPERING PINES</t>
  </si>
  <si>
    <t>WHITAKERS</t>
  </si>
  <si>
    <t>WHITE LAKE</t>
  </si>
  <si>
    <t>WILKESBORO</t>
  </si>
  <si>
    <t>WILLIAMSTON</t>
  </si>
  <si>
    <t>WILSON'S MILLS</t>
  </si>
  <si>
    <t>WINDSOR</t>
  </si>
  <si>
    <t>WINFALL</t>
  </si>
  <si>
    <t>WINGATE</t>
  </si>
  <si>
    <t>WINTERVILLE</t>
  </si>
  <si>
    <t>WINTON</t>
  </si>
  <si>
    <t>WOODFIN</t>
  </si>
  <si>
    <t>WOODLAND</t>
  </si>
  <si>
    <t>BUNN ABC BOARD</t>
  </si>
  <si>
    <t>UNIONVILLE</t>
  </si>
  <si>
    <t>ASHEBORO HOUSING AUTHORITY</t>
  </si>
  <si>
    <t>WATER &amp; SEWER AUTHORITY OF CABARRUS CNTY</t>
  </si>
  <si>
    <t>CABARRUS CO PUBLIC HEALTH AUTHORITY</t>
  </si>
  <si>
    <t>BEAUFORT HOUSING AUTHORITY</t>
  </si>
  <si>
    <t>HICKORY CONOVER TOURISM DEV AUTHORITY</t>
  </si>
  <si>
    <t>CHATHAM CO HOUSING AUTHORITY</t>
  </si>
  <si>
    <t>THE NEW EDENTON HOUSING AUTHORITY</t>
  </si>
  <si>
    <t>COASTAL REGIONAL SOLID WASTE MNGT AUTHORITY</t>
  </si>
  <si>
    <t>FAYETTEVILLE METROPOLITAN HOUSING AUTHORITY</t>
  </si>
  <si>
    <t>PIEDMONT TRIAD REG WATER AUTHORITY</t>
  </si>
  <si>
    <t>HOUSING AUTHORITY FOR THE CTY OF KINSTON</t>
  </si>
  <si>
    <t>MARTIN CO TRAVEL &amp; TOURISM AUTHORITY</t>
  </si>
  <si>
    <t>NEW HANOVER AIRPORT AUTHORITY</t>
  </si>
  <si>
    <t>LOWER CAPE FEAR WATER &amp; SEWER AUTHORITY</t>
  </si>
  <si>
    <t>CHOANOKE PUBLIC TRANSPORTATION AUTHORITY</t>
  </si>
  <si>
    <t>ELIZABETH CITY-PASQUOTANK CO AIRPORT AUTHORITY</t>
  </si>
  <si>
    <t>HERTFORD HOUSING AUTHORITY</t>
  </si>
  <si>
    <t>THE NEW REIDSVILLE HOUSING AUTHORITY</t>
  </si>
  <si>
    <t>HOUSING AUTHORITY OF THE CTY OF SALISBURY</t>
  </si>
  <si>
    <t>EASTERN CAROLINA REG'L HOUSING AUTHORITY</t>
  </si>
  <si>
    <t>WILSON COUNTY TOURISM DEVELOPMENT AUTHORITY</t>
  </si>
  <si>
    <t>NEW EDENTON HOUSING AUTHORITY</t>
  </si>
  <si>
    <t>NEW REIDSVILLE HOUSING AUTHORITY</t>
  </si>
  <si>
    <t>BESSEMER CITY ABC BOARD</t>
  </si>
  <si>
    <t>BRUNSWICK COUNTY DEPT OF SOCIAL SERVICES</t>
  </si>
  <si>
    <t>BRUNSWICK COUNTY HEALTH DEPT</t>
  </si>
  <si>
    <t>BURKE COUNTY DEPT OF SOCIAL SERVICES</t>
  </si>
  <si>
    <t>BURKE COUNTY HEALTH DEPT</t>
  </si>
  <si>
    <t>CABARRUS COUNTY PUBLIC HEALTH AUTHORITY</t>
  </si>
  <si>
    <t>CASWELL COUNTY DEPT OF SOCIAL SERVICES</t>
  </si>
  <si>
    <t>CHATHAM COUNTY HOUSING AUTHORITY</t>
  </si>
  <si>
    <t>YANCEY SOIL &amp; WATER CONSERVATION DISTRICT</t>
  </si>
  <si>
    <t>WOODFIN SANITARY WATER AND SEWER DISTRICT</t>
  </si>
  <si>
    <t>WESTERN PIEDMONT COUNCIL OF GOVERNMENTS</t>
  </si>
  <si>
    <t>WATER &amp; SEWER AUTHORITY OF CABARRUS COUNTY</t>
  </si>
  <si>
    <t>VANCE COUNTY ABC BOARD</t>
  </si>
  <si>
    <t>TYRRELL COUNTY ABC BOARD</t>
  </si>
  <si>
    <t>SAINT PAUL'S BOARD OF ALCOHOLIC CONTROL</t>
  </si>
  <si>
    <t>RUTHERFORDTON ABC BOARD</t>
  </si>
  <si>
    <t>RUTHERFORD POLK MCDOWELL DIST BOARD OF HEALTH</t>
  </si>
  <si>
    <t>ROWAN CO SOIL &amp; WATER CONV DISTRICT</t>
  </si>
  <si>
    <t>FAYETTEVILLE PUBLIC WORKS COMMISSION</t>
  </si>
  <si>
    <t>PITT-GREENVILLE CONVENTION &amp; VISTORS BUREAU</t>
  </si>
  <si>
    <t>PERSON CO ABC BOARD</t>
  </si>
  <si>
    <t>OCRACOKE SANITARY DISTRICT</t>
  </si>
  <si>
    <t>OAK ISLAND ABC BOARD</t>
  </si>
  <si>
    <t>NORWOOD ABC BOARD</t>
  </si>
  <si>
    <t>MITCHELL SOIL &amp; WATER CONSERVATION DISTRICT</t>
  </si>
  <si>
    <t>MECKLENBURG EMERGENCY MEDICAL SVCS AGCY</t>
  </si>
  <si>
    <t>MARTIN-TYRRELL-WASHINGTON DISTRICT HEALTH DEPT</t>
  </si>
  <si>
    <t>MAGGIE VALLEY SANITARY DISTRICT</t>
  </si>
  <si>
    <t>LUMBERTON AIRPORT COMMISSION</t>
  </si>
  <si>
    <t>LENOIR ABC BOARD</t>
  </si>
  <si>
    <t>KINSTON-LENOIR CO PUBLIC LIBRARY</t>
  </si>
  <si>
    <t>KERR-TAR REGIONAL COUNCIL OF GOVERNMENTS</t>
  </si>
  <si>
    <t>J C HOLIDAY MEMORIAL LIBRARY</t>
  </si>
  <si>
    <t xml:space="preserve">SALISBURY HOUSING AUTHORITY </t>
  </si>
  <si>
    <t xml:space="preserve">GOLDSBORO HOUSING AUTHORITY </t>
  </si>
  <si>
    <t xml:space="preserve">KINSTON HOUSING AUTHORITY </t>
  </si>
  <si>
    <t>HIGH POINT ABC BOARD</t>
  </si>
  <si>
    <t>HENDERSONVILLE ABC BOARD</t>
  </si>
  <si>
    <t>GREENSBORO ABC BOARD</t>
  </si>
  <si>
    <t>GRANVILLE CO ABC BOARD</t>
  </si>
  <si>
    <t>Measurement date 6/30/2016</t>
  </si>
  <si>
    <t>Recognition period - 4.86 years</t>
  </si>
  <si>
    <t>source : LGERS GASB 68 FYE2017 - Client</t>
  </si>
  <si>
    <t>`</t>
  </si>
  <si>
    <t>Contributions - July 1, 2015 through June 30, 2016</t>
  </si>
  <si>
    <t>Net Pension Liability - Beginning of the Year</t>
  </si>
  <si>
    <t>Net Pension Liability - End of Year</t>
  </si>
  <si>
    <r>
      <t xml:space="preserve">Net DO/DI for Difference Between Projected and Actual Investment Earnings on Plan Investements </t>
    </r>
    <r>
      <rPr>
        <b/>
        <sz val="11"/>
        <color rgb="FFFF0000"/>
        <rFont val="Calibri"/>
        <family val="2"/>
        <scheme val="minor"/>
      </rPr>
      <t>(added by LGC)</t>
    </r>
  </si>
  <si>
    <t>TOTAL</t>
  </si>
  <si>
    <t>Aberdeen, Town Of</t>
  </si>
  <si>
    <t>Ahoskie, Town Of</t>
  </si>
  <si>
    <t>Alamance Community Fire Dist.,Inc</t>
  </si>
  <si>
    <t>Alamance, Village Of</t>
  </si>
  <si>
    <t>Albemarle A.B.C. Board</t>
  </si>
  <si>
    <t>Albemarle Regional Plan. &amp; Develop. Com</t>
  </si>
  <si>
    <t>Albemarle, City Of</t>
  </si>
  <si>
    <t>Alexander County Health Department</t>
  </si>
  <si>
    <t>Alexander County Library</t>
  </si>
  <si>
    <t>Alexander County Welfare Department</t>
  </si>
  <si>
    <t>Alliance Behavioral Healthcare</t>
  </si>
  <si>
    <t>Andrews, Town Of</t>
  </si>
  <si>
    <t>Angier A.B.C. Board</t>
  </si>
  <si>
    <t>Angier, Town Of</t>
  </si>
  <si>
    <t>Ansonville, Town Of</t>
  </si>
  <si>
    <t>Apex, Town Of</t>
  </si>
  <si>
    <t>Appalachian District Health Department</t>
  </si>
  <si>
    <t>Archdale, City Of</t>
  </si>
  <si>
    <t>Archer Lodge, Town Of</t>
  </si>
  <si>
    <t>Asheboro A.B.C. Board</t>
  </si>
  <si>
    <t>Asheboro Housing Authority</t>
  </si>
  <si>
    <t>Asheboro, City Of</t>
  </si>
  <si>
    <t>Asheville A.B.C. Board</t>
  </si>
  <si>
    <t>Asheville, City Of</t>
  </si>
  <si>
    <t>Atlantic Beach, Town Of</t>
  </si>
  <si>
    <t>Aulander, Town Of</t>
  </si>
  <si>
    <t>Aurora, Town Of</t>
  </si>
  <si>
    <t>Autryville, Town Of</t>
  </si>
  <si>
    <t>Avery-Mitchell-Yancey Dist. Library</t>
  </si>
  <si>
    <t>Ayden, Town Of</t>
  </si>
  <si>
    <t>B.H.M. Regional Library</t>
  </si>
  <si>
    <t>Badin, Town Of</t>
  </si>
  <si>
    <t>Bailey, Town Of</t>
  </si>
  <si>
    <t>Bakersville, Town Of</t>
  </si>
  <si>
    <t>Bald Head Island, Village Of</t>
  </si>
  <si>
    <t>Banner Elk, Town Of</t>
  </si>
  <si>
    <t>Bayboro, Town Of</t>
  </si>
  <si>
    <t>Beaufort County A.B.C. Board</t>
  </si>
  <si>
    <t>Beaufort Housing Authority</t>
  </si>
  <si>
    <t>Beaufort, Town Of</t>
  </si>
  <si>
    <t>Beech Mountain, Town Of</t>
  </si>
  <si>
    <t>Belhaven, Town Of</t>
  </si>
  <si>
    <t>Belmont, City Of</t>
  </si>
  <si>
    <t>Belville, Town Of</t>
  </si>
  <si>
    <t>Benson, Town Of</t>
  </si>
  <si>
    <t>Bermuda Run, Town Of</t>
  </si>
  <si>
    <t>Bertie County A.B.C. Board</t>
  </si>
  <si>
    <t>Bessemer City, City Of</t>
  </si>
  <si>
    <t>Bethel, Town Of</t>
  </si>
  <si>
    <t>Beulaville, Town Of</t>
  </si>
  <si>
    <t>Biltmore Forest, Town Of</t>
  </si>
  <si>
    <t>Biscoe, Town Of</t>
  </si>
  <si>
    <t>Black Creek, Town Of</t>
  </si>
  <si>
    <t>Black Mountain A.B.C. Board</t>
  </si>
  <si>
    <t>Black Mountain, Town Of</t>
  </si>
  <si>
    <t>Bladenboro, Town Of</t>
  </si>
  <si>
    <t>Blowing Rock A.B.C. Board</t>
  </si>
  <si>
    <t>Blowing Rock, Town Of</t>
  </si>
  <si>
    <t>Boiling Spring Lakes A.B.C. Board</t>
  </si>
  <si>
    <t>Boiling Spring Lakes, City Of</t>
  </si>
  <si>
    <t>Boiling Springs, Town Of</t>
  </si>
  <si>
    <t>Boone, Town Of</t>
  </si>
  <si>
    <t>Boonville, Town Of</t>
  </si>
  <si>
    <t>Brevard A.B.C. Board</t>
  </si>
  <si>
    <t>Brevard, City Of</t>
  </si>
  <si>
    <t>Bridgeton, Town Of</t>
  </si>
  <si>
    <t>Broadway, Town Of</t>
  </si>
  <si>
    <t>Brookford, Town Of</t>
  </si>
  <si>
    <t>Brunswick County A.B.C. Board</t>
  </si>
  <si>
    <t>Brunswick County Dept of Social Services</t>
  </si>
  <si>
    <t>Brunswick County Health Department</t>
  </si>
  <si>
    <t>Brunswick County Tourism Develop. Authority</t>
  </si>
  <si>
    <t>Brunswick Regional Water and Sewer H2GO</t>
  </si>
  <si>
    <t>Brunswick, Town Of</t>
  </si>
  <si>
    <t>Bryson City A.B.C. Board</t>
  </si>
  <si>
    <t>Bryson City, Town Of</t>
  </si>
  <si>
    <t>Bunn A.B.C. Board</t>
  </si>
  <si>
    <t>Bunn, Town Of</t>
  </si>
  <si>
    <t>Burgaw, Town Of</t>
  </si>
  <si>
    <t>Burke County Dept of Social Services</t>
  </si>
  <si>
    <t>Burke County Health Department</t>
  </si>
  <si>
    <t xml:space="preserve">Burke County Tourism Development Authority </t>
  </si>
  <si>
    <t>Burke-Catawba Dist. Confinement Fa</t>
  </si>
  <si>
    <t>Burlington, City Of</t>
  </si>
  <si>
    <t>Burnsville, Town Of</t>
  </si>
  <si>
    <t>Butner, Town Of</t>
  </si>
  <si>
    <t>Cabarrus Co. Public Health Auth</t>
  </si>
  <si>
    <t>Cabarrus Co. Tourism Auth</t>
  </si>
  <si>
    <t>Cajah's Mountain, Town Of</t>
  </si>
  <si>
    <t>Calabash A.B.C. Board</t>
  </si>
  <si>
    <t>Calabash, Town Of</t>
  </si>
  <si>
    <t>Calypso, Town Of</t>
  </si>
  <si>
    <t>Camden County A.B.C. Board</t>
  </si>
  <si>
    <t>Cameron, Town Of</t>
  </si>
  <si>
    <t>Candor, Town Of</t>
  </si>
  <si>
    <t>Canton A.B.C. Board</t>
  </si>
  <si>
    <t>Canton, Town Of</t>
  </si>
  <si>
    <t>Cape Carteret, Town Of</t>
  </si>
  <si>
    <t>Carolina Beach, Town Of</t>
  </si>
  <si>
    <t>Carolina Shores, Town of</t>
  </si>
  <si>
    <t>Carrboro, Town Of</t>
  </si>
  <si>
    <t>Carteret County A.B.C. Board</t>
  </si>
  <si>
    <t>Carthage, Town Of</t>
  </si>
  <si>
    <t>Cary, Town Of</t>
  </si>
  <si>
    <t>Caswell Beach, Town Of</t>
  </si>
  <si>
    <t>Caswell County A.B.C. Board</t>
  </si>
  <si>
    <t>Caswell County Dept of Social Services</t>
  </si>
  <si>
    <t>Catawba County A.B.C. Board</t>
  </si>
  <si>
    <t>Catawba, Town Of</t>
  </si>
  <si>
    <t>Cedar Point, Town Of</t>
  </si>
  <si>
    <t>Centennial Authority, The</t>
  </si>
  <si>
    <t>Chadbourn, Town Of</t>
  </si>
  <si>
    <t>Chapel Hill, Town Of</t>
  </si>
  <si>
    <t>Charlott Housing Authority</t>
  </si>
  <si>
    <t>Charlotte Fire Ret Sys Board of Trust</t>
  </si>
  <si>
    <t>Charlotte, City Of</t>
  </si>
  <si>
    <t>Charlotte-Mecklenburg Public Libra</t>
  </si>
  <si>
    <t>Chatham County A.B.C. Board</t>
  </si>
  <si>
    <t>Chatham County Housing Authority</t>
  </si>
  <si>
    <t>Cherryville A.B.C. Board</t>
  </si>
  <si>
    <t>Cherryville, City Of</t>
  </si>
  <si>
    <t>China Grove, Town Of</t>
  </si>
  <si>
    <t>Choanoke Public Transportation Authority</t>
  </si>
  <si>
    <t>Chocowinity, Town Of</t>
  </si>
  <si>
    <t>Chowan County A.B.C. Board</t>
  </si>
  <si>
    <t>City of Wilson Cemetery Commission</t>
  </si>
  <si>
    <t>Claremont, Town Of</t>
  </si>
  <si>
    <t>Clarkton, Town Of</t>
  </si>
  <si>
    <t>Clayton, Town Of</t>
  </si>
  <si>
    <t>Clemmons,  Village Of</t>
  </si>
  <si>
    <t>Cleveland County Sanitary District</t>
  </si>
  <si>
    <t>Cleveland, Town Of</t>
  </si>
  <si>
    <t>Clinton A.B.C. Board</t>
  </si>
  <si>
    <t>Clinton, City Of</t>
  </si>
  <si>
    <t>Coastal Care</t>
  </si>
  <si>
    <t>Coastal Regional Waste Management Authority</t>
  </si>
  <si>
    <t>Coats, Town Of</t>
  </si>
  <si>
    <t>Cofield, Town Of</t>
  </si>
  <si>
    <t>Colerain, Town Of</t>
  </si>
  <si>
    <t>Columbia, Town Of</t>
  </si>
  <si>
    <t>Columbus, Town Of</t>
  </si>
  <si>
    <t>Concord A.B.C. Board</t>
  </si>
  <si>
    <t>Concord, City Of</t>
  </si>
  <si>
    <t>Connelly Springs, Town Of</t>
  </si>
  <si>
    <t>Conover, Town Of</t>
  </si>
  <si>
    <t>Contennea Metro Sewer District</t>
  </si>
  <si>
    <t>Conway, Town Of</t>
  </si>
  <si>
    <t>Cooleemee A.B.C. Board</t>
  </si>
  <si>
    <t>Cooleemee, Town Of</t>
  </si>
  <si>
    <t>Cornelius, Town Of</t>
  </si>
  <si>
    <t>Cove City, Town Of</t>
  </si>
  <si>
    <t>Cramerton, Town Of</t>
  </si>
  <si>
    <t>Craven County A.B.C. Board</t>
  </si>
  <si>
    <t>Craven County Airport Authority</t>
  </si>
  <si>
    <t>Creedmoor, City Of</t>
  </si>
  <si>
    <t>Creswell, Town Of</t>
  </si>
  <si>
    <t>Cumberland County A.B.C. Board</t>
  </si>
  <si>
    <t>Currituck County A.B.C. Board</t>
  </si>
  <si>
    <t>Dallas, Town Of</t>
  </si>
  <si>
    <t>Dare County A.B.C. Board</t>
  </si>
  <si>
    <t>Davidson, Town Of</t>
  </si>
  <si>
    <t>Davie Soil &amp; Water Conservation District</t>
  </si>
  <si>
    <t>Denton, Town Of</t>
  </si>
  <si>
    <t>Dobson A.B.C. Board</t>
  </si>
  <si>
    <t>Dobson, Town Of</t>
  </si>
  <si>
    <t>Drexel, Town Of</t>
  </si>
  <si>
    <t>Duck, Town Of</t>
  </si>
  <si>
    <t>Dunn A.B.C. Board</t>
  </si>
  <si>
    <t>Dunn, Town Of</t>
  </si>
  <si>
    <t>Durham Convention and Visitors Bureau</t>
  </si>
  <si>
    <t>Durham County A.B.C. Board</t>
  </si>
  <si>
    <t>Durham Highway Fire Protection Age</t>
  </si>
  <si>
    <t>Durham, City Of</t>
  </si>
  <si>
    <t>East Bend, Town Of</t>
  </si>
  <si>
    <t>East Carolina Behavorial Healthcare</t>
  </si>
  <si>
    <t>East Spencer, Town Of</t>
  </si>
  <si>
    <t>Eastern Carolina Reg. Housing Auth</t>
  </si>
  <si>
    <t>Eastern Wayne Sanitary District</t>
  </si>
  <si>
    <t>Eastover, Town Of</t>
  </si>
  <si>
    <t>Eden A.B.C. Board</t>
  </si>
  <si>
    <t>Eden, City Of</t>
  </si>
  <si>
    <t>Edenton, Town Of</t>
  </si>
  <si>
    <t>Edgecombe County A.B.C. Board</t>
  </si>
  <si>
    <t>Edgecombe-Nash Memorial Library</t>
  </si>
  <si>
    <t>Electricities Of N.C., Inc</t>
  </si>
  <si>
    <t>Elizabeth City - Pasquotank Co. Tourism Dev. Auth.</t>
  </si>
  <si>
    <t>Elizabeth-Pasquotank Co Airport Au</t>
  </si>
  <si>
    <t>Elizabeth-Pasquotank Co Ind Dev Co</t>
  </si>
  <si>
    <t>Elizabethtown A.B.C. Board</t>
  </si>
  <si>
    <t>Elizabethtown, Town Of</t>
  </si>
  <si>
    <t>Elk Park, Town Of</t>
  </si>
  <si>
    <t>Elkin A.B.C. Board</t>
  </si>
  <si>
    <t>Elkin, Town Of</t>
  </si>
  <si>
    <t>Ellenboro, Town Of</t>
  </si>
  <si>
    <t>Ellerbe, Town Of</t>
  </si>
  <si>
    <t>Elm City, Town Of</t>
  </si>
  <si>
    <t>Elon College, Town Of</t>
  </si>
  <si>
    <t>Emerald Isle, Town Of</t>
  </si>
  <si>
    <t>Enfield, Town Of</t>
  </si>
  <si>
    <t>Erwin, Town Of</t>
  </si>
  <si>
    <t>Fair Bluff, Town Of</t>
  </si>
  <si>
    <t>Fairmont, Town Of</t>
  </si>
  <si>
    <t>Faison, Town Of</t>
  </si>
  <si>
    <t>Faith, Town Of</t>
  </si>
  <si>
    <t>Falcon, Town Of</t>
  </si>
  <si>
    <t>Farmville, City Of</t>
  </si>
  <si>
    <t>Fayetteville Metro. Housing Authority</t>
  </si>
  <si>
    <t>Fayetteville Public Works Commission</t>
  </si>
  <si>
    <t>Fayetteville, City Of</t>
  </si>
  <si>
    <t>First Craven Sanitary District</t>
  </si>
  <si>
    <t>Flat Rock, Village Of</t>
  </si>
  <si>
    <t>Fletcher A.B.C. Board</t>
  </si>
  <si>
    <t>Fletcher, Town Of</t>
  </si>
  <si>
    <t>Forest City A.B.C. Board</t>
  </si>
  <si>
    <t>Fork Township Sanitary District</t>
  </si>
  <si>
    <t>Fountain, Town of</t>
  </si>
  <si>
    <t>Four Oaks, Town Of</t>
  </si>
  <si>
    <t>Franklin, Town Of</t>
  </si>
  <si>
    <t>Franklinton A.B.C. Board</t>
  </si>
  <si>
    <t>Franklinton, Town Of</t>
  </si>
  <si>
    <t>Fremont, Town Of</t>
  </si>
  <si>
    <t>Fuquay-Varina, Town Of</t>
  </si>
  <si>
    <t>Garland, Town Of</t>
  </si>
  <si>
    <t>Garner Fire Department</t>
  </si>
  <si>
    <t>Garner, Town Of</t>
  </si>
  <si>
    <t>Garysburg, Town Of</t>
  </si>
  <si>
    <t>Gaston Co. Economic Dev. Commission</t>
  </si>
  <si>
    <t>Gaston, Town Of</t>
  </si>
  <si>
    <t>Gastonia A.B.C. Board</t>
  </si>
  <si>
    <t>Gastonia, City Of</t>
  </si>
  <si>
    <t>Gates County A.B.C. Board</t>
  </si>
  <si>
    <t>Gibson, Town Of</t>
  </si>
  <si>
    <t>Gibsonville A.B.C. Board</t>
  </si>
  <si>
    <t>Gibsonville, Town Of</t>
  </si>
  <si>
    <t>Glen Alpine, Town Of</t>
  </si>
  <si>
    <t>Goldsboro Housing Authority</t>
  </si>
  <si>
    <t>Goldsboro, City Of</t>
  </si>
  <si>
    <t>Graham County Dept of Social Services</t>
  </si>
  <si>
    <t>Graham County Health Department</t>
  </si>
  <si>
    <t>Graham, City Of</t>
  </si>
  <si>
    <t>Granite Falls A.B.C. Board</t>
  </si>
  <si>
    <t>Granite Falls, Town Of</t>
  </si>
  <si>
    <t>Granite Quarry, Town Of</t>
  </si>
  <si>
    <t>Granville County A.B.C. Board</t>
  </si>
  <si>
    <t>Granville-Vance Health District</t>
  </si>
  <si>
    <t>Greater Statesville Development Co</t>
  </si>
  <si>
    <t>Green Level, Town Of</t>
  </si>
  <si>
    <t>Greene County A.B.C. Board</t>
  </si>
  <si>
    <t>Greensboro A.B.C. Board</t>
  </si>
  <si>
    <t>Greensboro, City Of</t>
  </si>
  <si>
    <t>Greenville, City Of</t>
  </si>
  <si>
    <t>Grifton, Town Of</t>
  </si>
  <si>
    <t>Grimesland, Town Of</t>
  </si>
  <si>
    <t>Grover, Town Of</t>
  </si>
  <si>
    <t>Guilford Fire District</t>
  </si>
  <si>
    <t>Guilford, County Of</t>
  </si>
  <si>
    <t>Halifax County A.B.C. Board</t>
  </si>
  <si>
    <t>Hamilton, Town Of</t>
  </si>
  <si>
    <t>Hamlet A.B.C. Board</t>
  </si>
  <si>
    <t>Hamlet, City Of</t>
  </si>
  <si>
    <t>Harrisburg, Town Of</t>
  </si>
  <si>
    <t>Havelock, City Of</t>
  </si>
  <si>
    <t>Haw River, Town Of</t>
  </si>
  <si>
    <t>Henderson County</t>
  </si>
  <si>
    <t>Henderson, City Of</t>
  </si>
  <si>
    <t>Hendersonville A.B.C. Board</t>
  </si>
  <si>
    <t>Hendersonville, City Of</t>
  </si>
  <si>
    <t>Hertford A.B.C. Board</t>
  </si>
  <si>
    <t>Hertford County A.B.C. Board</t>
  </si>
  <si>
    <t>Hertford Housing Authority</t>
  </si>
  <si>
    <t>Hertford, Town Of</t>
  </si>
  <si>
    <t>Hickory Housing Authority</t>
  </si>
  <si>
    <t>Hickory, City Of</t>
  </si>
  <si>
    <t>Hickory/Conover Tourism Dev. Authority</t>
  </si>
  <si>
    <t>High Country Municipal A.B.C. Board</t>
  </si>
  <si>
    <t>High Point A.B.C. Board</t>
  </si>
  <si>
    <t>High Point, City Of</t>
  </si>
  <si>
    <t>Highlands A.B.C. Board</t>
  </si>
  <si>
    <t>Highlands, Town Of</t>
  </si>
  <si>
    <t>Hildebrand, Town Of</t>
  </si>
  <si>
    <t>Hillsborough, Town Of</t>
  </si>
  <si>
    <t>Hobgood, Town Of</t>
  </si>
  <si>
    <t>Hoke County A.B.C. Board</t>
  </si>
  <si>
    <t>Holden Beach, Town Of</t>
  </si>
  <si>
    <t>Holly Ridge, Town Of</t>
  </si>
  <si>
    <t>Holly Springs, Town Of</t>
  </si>
  <si>
    <t>Hookerton, Town Of</t>
  </si>
  <si>
    <t>Hope Mills, Town Of</t>
  </si>
  <si>
    <t>Hudson, Town Of</t>
  </si>
  <si>
    <t>Huntersville, Town Of</t>
  </si>
  <si>
    <t>Hyde County A.B.C. Board</t>
  </si>
  <si>
    <t>Indian Beach, Town Of</t>
  </si>
  <si>
    <t>Indian Trail, Town Of</t>
  </si>
  <si>
    <t>Isothermal Planning &amp; Develop Comm</t>
  </si>
  <si>
    <t>J.C. Holliday Memorial Library</t>
  </si>
  <si>
    <t>Jackson, Town Of</t>
  </si>
  <si>
    <t>Jacksonville, City Of</t>
  </si>
  <si>
    <t>Jamestown, Town Of</t>
  </si>
  <si>
    <t>Jamesville, Town Of</t>
  </si>
  <si>
    <t>Jefferson, Town Of</t>
  </si>
  <si>
    <t>Johnston County A.B.C. Board</t>
  </si>
  <si>
    <t>Johnston County Public Library</t>
  </si>
  <si>
    <t>Jones County A.B.C. Board</t>
  </si>
  <si>
    <t>Jonesville, Town Of</t>
  </si>
  <si>
    <t>Kannapolis, Town Of</t>
  </si>
  <si>
    <t>Kenansville A.B.C. Board</t>
  </si>
  <si>
    <t>Kenansville, Town Of</t>
  </si>
  <si>
    <t>Kenly, Town Of</t>
  </si>
  <si>
    <t>Kernersville, Town Of</t>
  </si>
  <si>
    <t>Kerr-Area Transportation Authority</t>
  </si>
  <si>
    <t>Kerr-Tar Regional Council Of Governments</t>
  </si>
  <si>
    <t>Kill Devil Hills, Town Of</t>
  </si>
  <si>
    <t>King, Town Of</t>
  </si>
  <si>
    <t>Kings Mountain A.B.C. Board</t>
  </si>
  <si>
    <t>Kings Mountain, City Of</t>
  </si>
  <si>
    <t>Kinston Housing Authority</t>
  </si>
  <si>
    <t>Kinston, City Of</t>
  </si>
  <si>
    <t>Kinston-Lenoir County Library</t>
  </si>
  <si>
    <t>Kitty Hawk, Town Of</t>
  </si>
  <si>
    <t>Knightdale, Town Of</t>
  </si>
  <si>
    <t>Kure Beach, Town Of</t>
  </si>
  <si>
    <t>Lagrange, Town Of</t>
  </si>
  <si>
    <t>Lake Lure, Town Of</t>
  </si>
  <si>
    <t>Lake Waccamaw A.B.C. Board</t>
  </si>
  <si>
    <t>Lake Woccamaw, Town Of</t>
  </si>
  <si>
    <t>Landis, Town Of</t>
  </si>
  <si>
    <t>Laurel Park A.B.C. Board</t>
  </si>
  <si>
    <t>Laurel Park, Town Of</t>
  </si>
  <si>
    <t>Laurenburg Housing Authority</t>
  </si>
  <si>
    <t>Laurinburg, City Of</t>
  </si>
  <si>
    <t>Lawndale, Town Of</t>
  </si>
  <si>
    <t>Leland, Town Of</t>
  </si>
  <si>
    <t>Lenoir A.B.C. Board</t>
  </si>
  <si>
    <t>Lenoir County A.B.C. Board</t>
  </si>
  <si>
    <t>Lenoir, City Of</t>
  </si>
  <si>
    <t>Lewiston-Woodville, Town Of</t>
  </si>
  <si>
    <t>Lewisville, Town Of</t>
  </si>
  <si>
    <t>Lexington A.B.C. Board</t>
  </si>
  <si>
    <t>Lexington, City Of</t>
  </si>
  <si>
    <t>Liberty A.B.C. Board</t>
  </si>
  <si>
    <t>Liberty, Town Of</t>
  </si>
  <si>
    <t>Lilesville, Town Of</t>
  </si>
  <si>
    <t>Lillington, Town Of</t>
  </si>
  <si>
    <t>Lincoln County A.B.C. Board</t>
  </si>
  <si>
    <t>Lincolnton A.B.C. Board</t>
  </si>
  <si>
    <t>Lincolnton, City Of</t>
  </si>
  <si>
    <t>Linden, Town Of</t>
  </si>
  <si>
    <t>Littleton, Town Of</t>
  </si>
  <si>
    <t>Locust, City Of</t>
  </si>
  <si>
    <t>Long View, Town Of</t>
  </si>
  <si>
    <t>Louisburg A.B.C. Board</t>
  </si>
  <si>
    <t>Louisburg, Town Of</t>
  </si>
  <si>
    <t>Lowell, Town Of</t>
  </si>
  <si>
    <t>Lucama, Town Of</t>
  </si>
  <si>
    <t>Lumberton A.B.C. Board</t>
  </si>
  <si>
    <t>Lumberton Airport Commission</t>
  </si>
  <si>
    <t>Lumberton, City Of</t>
  </si>
  <si>
    <t>Macclesfield, Town Of</t>
  </si>
  <si>
    <t>Madison A.B.C. Board</t>
  </si>
  <si>
    <t>Madison, Town Of</t>
  </si>
  <si>
    <t>Maggie Valley A.B.C. Board</t>
  </si>
  <si>
    <t>Maggie Valley Sanitary District</t>
  </si>
  <si>
    <t>Maggie Valley, Town Of</t>
  </si>
  <si>
    <t>Magnolia, Town Of</t>
  </si>
  <si>
    <t>Maiden, Town Of</t>
  </si>
  <si>
    <t>Manteo, Town Of</t>
  </si>
  <si>
    <t>Marion A.B.C. Board</t>
  </si>
  <si>
    <t>Marion, Town Of</t>
  </si>
  <si>
    <t>Mars Hill, Town Of</t>
  </si>
  <si>
    <t>Marshall, Town Of</t>
  </si>
  <si>
    <t>Marshville, Town Of</t>
  </si>
  <si>
    <t>Martin County A B C Board</t>
  </si>
  <si>
    <t>Martin County Travel &amp; Tourism Authority</t>
  </si>
  <si>
    <t>Martin-Tyrell-Washington D.H.D</t>
  </si>
  <si>
    <t>Marvin, Village Of</t>
  </si>
  <si>
    <t>Matthews, Town Of</t>
  </si>
  <si>
    <t>Maxton A.B.C. Board</t>
  </si>
  <si>
    <t>Maxton, Town Of</t>
  </si>
  <si>
    <t>Mayodan, Town Of</t>
  </si>
  <si>
    <t>Maysville, Town Of</t>
  </si>
  <si>
    <t>Mcadenville, Town Of</t>
  </si>
  <si>
    <t>McDowell County</t>
  </si>
  <si>
    <t>Mebane, Town Of</t>
  </si>
  <si>
    <t>Mecklenburg County A.B.C. Board</t>
  </si>
  <si>
    <t>Mecklenburg County Ems Agency</t>
  </si>
  <si>
    <t>MI Connection Communications System</t>
  </si>
  <si>
    <t>Micro, Town of</t>
  </si>
  <si>
    <t>Mid-Carolina Council of Governments</t>
  </si>
  <si>
    <t>Middlesex, Town Of</t>
  </si>
  <si>
    <t>Midland, Town of</t>
  </si>
  <si>
    <t>Mills River, Town Of</t>
  </si>
  <si>
    <t>Mineral Springs, Town of</t>
  </si>
  <si>
    <t>Mint Hill, Town Of</t>
  </si>
  <si>
    <t>Misenheimer, Village Of</t>
  </si>
  <si>
    <t>Mitchell Soil &amp; Water Conserv. District</t>
  </si>
  <si>
    <t>Mocksville, Town Of</t>
  </si>
  <si>
    <t>Monroe A.B.C. Board</t>
  </si>
  <si>
    <t>Monroe Housing Authority</t>
  </si>
  <si>
    <t>Monroe, City Of</t>
  </si>
  <si>
    <t>Montgomery-Municipal A.B.C. Board</t>
  </si>
  <si>
    <t>Montreat, Town Of</t>
  </si>
  <si>
    <t>Moore County A.B.C. Board</t>
  </si>
  <si>
    <t>Moore County Tourism Develop. Auth.</t>
  </si>
  <si>
    <t>Mooresville A.B.C. Board</t>
  </si>
  <si>
    <t>Mooresville, City Of</t>
  </si>
  <si>
    <t>Morehead City, Town Of</t>
  </si>
  <si>
    <t>Morganton A.B.C. Board</t>
  </si>
  <si>
    <t>Morganton, City Of</t>
  </si>
  <si>
    <t>Morrisville, Town Of</t>
  </si>
  <si>
    <t>Morven, Town Of</t>
  </si>
  <si>
    <t>Mount Airy, Town Of</t>
  </si>
  <si>
    <t>Mount Gilead, Town Of</t>
  </si>
  <si>
    <t>Mount Olive Housing Authority</t>
  </si>
  <si>
    <t>Mount Olive, Town Of</t>
  </si>
  <si>
    <t>Mount Pleasant, Town Of</t>
  </si>
  <si>
    <t>Mt. Airy Alcoholic Board Of Control</t>
  </si>
  <si>
    <t>Mt. Holly, City Of</t>
  </si>
  <si>
    <t>Mt. Pleasant A.B.C. Board</t>
  </si>
  <si>
    <t>Murfreesboro, Town Of</t>
  </si>
  <si>
    <t>Murphy A.B.C. Board</t>
  </si>
  <si>
    <t>Murphy, Town Of</t>
  </si>
  <si>
    <t>N.C. Association Of County Comm</t>
  </si>
  <si>
    <t>N.C. League Of Municipalities</t>
  </si>
  <si>
    <t>Nags Head, Town Of</t>
  </si>
  <si>
    <t>Nash County A.B.C. Board</t>
  </si>
  <si>
    <t>Nashville, Town Of</t>
  </si>
  <si>
    <t>Neuse Regional Library - Greene County</t>
  </si>
  <si>
    <t>Neuse Regional Library - Jones County</t>
  </si>
  <si>
    <t>New Bern, City Of</t>
  </si>
  <si>
    <t>New Hanover Airport Authority</t>
  </si>
  <si>
    <t>New Hanover County A.B.C. Board</t>
  </si>
  <si>
    <t>New Reidsville Housing Authority</t>
  </si>
  <si>
    <t>Newland, Town Of</t>
  </si>
  <si>
    <t>Newport, Town Of</t>
  </si>
  <si>
    <t>Newton Grove, Town Of</t>
  </si>
  <si>
    <t>Newton, Town Of</t>
  </si>
  <si>
    <t>Norlina, Town Of</t>
  </si>
  <si>
    <t>North Topsail Beach, Town Of</t>
  </si>
  <si>
    <t>North Wilkesboro A.B.C. Board</t>
  </si>
  <si>
    <t>North Wilkesboro, Town Of</t>
  </si>
  <si>
    <t>Northampton County A.B.C. Board</t>
  </si>
  <si>
    <t>Northwest, City Of</t>
  </si>
  <si>
    <t>Norwood A.B.C. Board</t>
  </si>
  <si>
    <t>Norwood, Town Of</t>
  </si>
  <si>
    <t>Oak City, Town Of</t>
  </si>
  <si>
    <t>Oak Island A.B.C. Board</t>
  </si>
  <si>
    <t>Oak Island, Town Of</t>
  </si>
  <si>
    <t>Oak Ridge, Town Of</t>
  </si>
  <si>
    <t>Oakboro, Town Of</t>
  </si>
  <si>
    <t>Ocean Isle A.B.C. Board</t>
  </si>
  <si>
    <t>Ocean Isle Beach, Town Of</t>
  </si>
  <si>
    <t>Ocracoke Sanitary District</t>
  </si>
  <si>
    <t>Old Fort, Town Of</t>
  </si>
  <si>
    <t>Onslow County A.B.C. Board</t>
  </si>
  <si>
    <t>Onslow Water &amp; Sewage Authority</t>
  </si>
  <si>
    <t>Orange County A.B.C. Board</t>
  </si>
  <si>
    <t>Orange Water &amp; Sewer Authority</t>
  </si>
  <si>
    <t>Oriental, Town Of</t>
  </si>
  <si>
    <t>Oxford, City Of</t>
  </si>
  <si>
    <t>Parkton, Town of</t>
  </si>
  <si>
    <t>Pasquotank County A.B.C Board</t>
  </si>
  <si>
    <t>Peachland, Town Of</t>
  </si>
  <si>
    <t>Pembroke, Town Of</t>
  </si>
  <si>
    <t>Pender County A.B.C. Board</t>
  </si>
  <si>
    <t>Person County A.B.C. Board</t>
  </si>
  <si>
    <t>Piedmont Triad Regional Water Authority</t>
  </si>
  <si>
    <t>Pikeville, Town Of</t>
  </si>
  <si>
    <t>Pilot Mountain A.B.C. Board</t>
  </si>
  <si>
    <t>Pilot Mountain, Town Of</t>
  </si>
  <si>
    <t>Pine Knoll Shores, Town Of</t>
  </si>
  <si>
    <t>Pine Level, Town Of</t>
  </si>
  <si>
    <t>Pinebluff, Town Of</t>
  </si>
  <si>
    <t>Pinecroft-Sedgefield Fire District</t>
  </si>
  <si>
    <t>Pinehurst, Village Of</t>
  </si>
  <si>
    <t>Pinetops, Town Of</t>
  </si>
  <si>
    <t>Pineville, Town Of</t>
  </si>
  <si>
    <t>Pink Hill, Town Of</t>
  </si>
  <si>
    <t>Pitt County A.B.C. Board</t>
  </si>
  <si>
    <t>Pitt-Greenville Convention &amp; Visitors Authority</t>
  </si>
  <si>
    <t>Pittsboro, Town Of</t>
  </si>
  <si>
    <t>Pleasant Garden Fire Department</t>
  </si>
  <si>
    <t>Plymouth, Town Of</t>
  </si>
  <si>
    <t>Polkton, Town Of</t>
  </si>
  <si>
    <t>Pollocksville, Town Of</t>
  </si>
  <si>
    <t>Princeton, Town Of</t>
  </si>
  <si>
    <t>Princeville, Town Of</t>
  </si>
  <si>
    <t>Raeford, Town Of</t>
  </si>
  <si>
    <t>Raleigh Housing Authority</t>
  </si>
  <si>
    <t>Raleigh, City Of</t>
  </si>
  <si>
    <t>Ramseur, Town Of</t>
  </si>
  <si>
    <t>Randleman A.B.C. Board</t>
  </si>
  <si>
    <t>Randleman Housing Authority</t>
  </si>
  <si>
    <t>Randleman, City Of</t>
  </si>
  <si>
    <t>Ranlo, Town Of</t>
  </si>
  <si>
    <t>Red Springs A.B.C. Board</t>
  </si>
  <si>
    <t>Red Springs, Town of</t>
  </si>
  <si>
    <t>Reidsville A.B.C. Board</t>
  </si>
  <si>
    <t>Reidsville, Town Of</t>
  </si>
  <si>
    <t>Rich Square, Town Of</t>
  </si>
  <si>
    <t>Richlands, Town Of</t>
  </si>
  <si>
    <t>River Bend, Town Of</t>
  </si>
  <si>
    <t>Roanoke Rapids, City Of</t>
  </si>
  <si>
    <t>Robbins, Town Of</t>
  </si>
  <si>
    <t>Robbinsville, Town of</t>
  </si>
  <si>
    <t>Robersonville, Town Of</t>
  </si>
  <si>
    <t>Rockingham A.B.C. Board</t>
  </si>
  <si>
    <t>Rockingham, City Of</t>
  </si>
  <si>
    <t>Rockwell, Town Of</t>
  </si>
  <si>
    <t>Rocky Mount Housing Authority</t>
  </si>
  <si>
    <t>Rocky Mount, City Of</t>
  </si>
  <si>
    <t>Rolesville, Town Of</t>
  </si>
  <si>
    <t>Roper, Town Of</t>
  </si>
  <si>
    <t>Rose Hill, Town Of</t>
  </si>
  <si>
    <t>Roseboro A.B.C. Board</t>
  </si>
  <si>
    <t>Roseboro, Town Of</t>
  </si>
  <si>
    <t>Rowan Convention and Visitors Bureau</t>
  </si>
  <si>
    <t>Rowan County A.B.C. Board</t>
  </si>
  <si>
    <t>Rowan County Housing Authority</t>
  </si>
  <si>
    <t>Rowan Soil and Water Conservation. Dist</t>
  </si>
  <si>
    <t>Rowland, Town Of</t>
  </si>
  <si>
    <t>Roxboro, City Of</t>
  </si>
  <si>
    <t>Rural Hall, Town Of</t>
  </si>
  <si>
    <t>Rutherford College, Town of</t>
  </si>
  <si>
    <t>Rutherford-Polk-Mc Dowell D.H.D</t>
  </si>
  <si>
    <t>Rutherfordton A.B.C. Board</t>
  </si>
  <si>
    <t>Rutherfordton, Town Of</t>
  </si>
  <si>
    <t>Saint Paul's A.B.C. Board</t>
  </si>
  <si>
    <t>Salemburg, Town Of</t>
  </si>
  <si>
    <t>Salisbury Housing Authority</t>
  </si>
  <si>
    <t>Salisbury, City Of</t>
  </si>
  <si>
    <t>Saluda, Town Of</t>
  </si>
  <si>
    <t>Sanford A.B.C. Board</t>
  </si>
  <si>
    <t>Sanford, City Of</t>
  </si>
  <si>
    <t>Sawmills, Town Of</t>
  </si>
  <si>
    <t>Scotland County A.B.C. Board</t>
  </si>
  <si>
    <t>Scotland Neck, Town Of</t>
  </si>
  <si>
    <t>Seaboard, Town Of</t>
  </si>
  <si>
    <t>Selma, Town Of</t>
  </si>
  <si>
    <t>Seven Devils, Town Of</t>
  </si>
  <si>
    <t>Severn, Town Of</t>
  </si>
  <si>
    <t>Shallotte A.B.C. Board</t>
  </si>
  <si>
    <t>Shallotte, Town Of</t>
  </si>
  <si>
    <t>Sharpsburg, Town of</t>
  </si>
  <si>
    <t>Shelby A.B.C. Board</t>
  </si>
  <si>
    <t>Shelby, City Of</t>
  </si>
  <si>
    <t>Siler City A.B.C. Board</t>
  </si>
  <si>
    <t>Siler City, Town Of</t>
  </si>
  <si>
    <t>Simpson, Village Of</t>
  </si>
  <si>
    <t>Skyland Volunteer Fire Department</t>
  </si>
  <si>
    <t>Smithfield, Town Of</t>
  </si>
  <si>
    <t>Smoky Mountain Mental Health Center</t>
  </si>
  <si>
    <t>Snow Hill, Town Of</t>
  </si>
  <si>
    <t>South Granville Water and Sewer Authority</t>
  </si>
  <si>
    <t>Southeastern Economic Develop. Com</t>
  </si>
  <si>
    <t>Southern Pines, Town Of</t>
  </si>
  <si>
    <t>Southern Shores, Town Of</t>
  </si>
  <si>
    <t>Southport A.B.C. Board</t>
  </si>
  <si>
    <t>Southport, City Of</t>
  </si>
  <si>
    <t>Southwestern Plan. &amp; Econ. Dev. Co</t>
  </si>
  <si>
    <t>Sparta A.B.C. Board</t>
  </si>
  <si>
    <t>Sparta, Town Of</t>
  </si>
  <si>
    <t>Spencer, Town Of</t>
  </si>
  <si>
    <t>Spindale, Town Of</t>
  </si>
  <si>
    <t>Spring Hope, Town Of</t>
  </si>
  <si>
    <t>Spring Lake, Town Of</t>
  </si>
  <si>
    <t>Spruce Pine, Town Of</t>
  </si>
  <si>
    <t>St. James, Town Of</t>
  </si>
  <si>
    <t>St. Pauls, Town Of</t>
  </si>
  <si>
    <t>Stallings, Town Of</t>
  </si>
  <si>
    <t>Stanfield, Town Of</t>
  </si>
  <si>
    <t>Stanley, Town Of</t>
  </si>
  <si>
    <t>Stantonsburg, Town Of</t>
  </si>
  <si>
    <t>Star, Town Of</t>
  </si>
  <si>
    <t>Statesville A.B.C. Board</t>
  </si>
  <si>
    <t>Statesville, City Of</t>
  </si>
  <si>
    <t>Stedman, Town Of</t>
  </si>
  <si>
    <t>Stoneville, Town Of</t>
  </si>
  <si>
    <t>Stovall, Town Of</t>
  </si>
  <si>
    <t>Sugar Mountain, Town Of</t>
  </si>
  <si>
    <t>Summerfield, Town Of</t>
  </si>
  <si>
    <t>Sunset Beach A.B.C. Board</t>
  </si>
  <si>
    <t>Sunset Beach, Town Of</t>
  </si>
  <si>
    <t>Swansboro, Town Of</t>
  </si>
  <si>
    <t>Sylva, Town Of</t>
  </si>
  <si>
    <t>Tabor City, Town Of</t>
  </si>
  <si>
    <t>Tarboro, Town Of</t>
  </si>
  <si>
    <t>Taylorsville, Town Of</t>
  </si>
  <si>
    <t>Taylortown, Town Of</t>
  </si>
  <si>
    <t>Teachey, Town Of</t>
  </si>
  <si>
    <t>The New Edenton Housing Authority</t>
  </si>
  <si>
    <t>Thomasville, City Of</t>
  </si>
  <si>
    <t>Tobaccoville,  Village Of</t>
  </si>
  <si>
    <t xml:space="preserve">Toe River District Health Department </t>
  </si>
  <si>
    <t>Topsail Beach, Town Of</t>
  </si>
  <si>
    <t>Trent Woods, Town Of</t>
  </si>
  <si>
    <t>Trinity, City Of</t>
  </si>
  <si>
    <t>Troutman, Town Of</t>
  </si>
  <si>
    <t>Troy, Town Of</t>
  </si>
  <si>
    <t>Tryon, Town Of</t>
  </si>
  <si>
    <t>Tuckaseigee Water And Sewer Auth</t>
  </si>
  <si>
    <t>Turkey, Town Of</t>
  </si>
  <si>
    <t>Tyrrell County A.B.C. Board</t>
  </si>
  <si>
    <t>Unionville, Town of</t>
  </si>
  <si>
    <t>Upper Coastal Plain Council of Governments</t>
  </si>
  <si>
    <t>Valdese, Town Of</t>
  </si>
  <si>
    <t>Vance County A.B.C. Board</t>
  </si>
  <si>
    <t>Vanceboro, Town Of</t>
  </si>
  <si>
    <t>Vass, Town Of</t>
  </si>
  <si>
    <t>Wade, Town Of</t>
  </si>
  <si>
    <t>Wadesboro A.B.C. Board</t>
  </si>
  <si>
    <t>Wadesboro, Town Of</t>
  </si>
  <si>
    <t>Wagram, Town Of</t>
  </si>
  <si>
    <t>Wake County A.B.C. Board</t>
  </si>
  <si>
    <t>Wake Forest, Town Of</t>
  </si>
  <si>
    <t>Walkertown, Town Of</t>
  </si>
  <si>
    <t>Wallace A.B.C. Board</t>
  </si>
  <si>
    <t>Wallace, Town Of</t>
  </si>
  <si>
    <t>Walnut Cove A.B.C. Board</t>
  </si>
  <si>
    <t>Walnut Cove, Town Of</t>
  </si>
  <si>
    <t>Walnut Creek, Village Of</t>
  </si>
  <si>
    <t>Walstonburg, Town Of</t>
  </si>
  <si>
    <t>Warren County A.B.C. Board</t>
  </si>
  <si>
    <t>Warrenton, Town Of</t>
  </si>
  <si>
    <t>Warsaw A.B.C. Board</t>
  </si>
  <si>
    <t>Warsaw, Town Of</t>
  </si>
  <si>
    <t>Washington County A.B.C. Board</t>
  </si>
  <si>
    <t>Washington Park, Town Of</t>
  </si>
  <si>
    <t>Washington, City Of</t>
  </si>
  <si>
    <t>Watauga County Tourism Develop. Auth.</t>
  </si>
  <si>
    <t>Water &amp; Sewer Authority Of Cabarrus County</t>
  </si>
  <si>
    <t>Waxhaw A.B.C. Board</t>
  </si>
  <si>
    <t>Waxhaw, Town Of</t>
  </si>
  <si>
    <t>Wayne County A.B.C. Board</t>
  </si>
  <si>
    <t>Waynesville A.B.C. Board</t>
  </si>
  <si>
    <t>Waynesville, Town Of</t>
  </si>
  <si>
    <t>Weaverville A.B.C. Board</t>
  </si>
  <si>
    <t>Weaverville, Town Of</t>
  </si>
  <si>
    <t>Weddington, Town Of</t>
  </si>
  <si>
    <t>Weldon, Town Of</t>
  </si>
  <si>
    <t>Wendell, Town Of</t>
  </si>
  <si>
    <t>Wesley Chapel, Village Of</t>
  </si>
  <si>
    <t>West Buncombe Fire Department</t>
  </si>
  <si>
    <t>West Jefferson, Town Of</t>
  </si>
  <si>
    <t>Westarea Volunteer Fire Department</t>
  </si>
  <si>
    <t>Western Cartert Interlocal Agency</t>
  </si>
  <si>
    <t>Western NC Regional Air Pollution Control</t>
  </si>
  <si>
    <t>Western Piedmont Council of Governments</t>
  </si>
  <si>
    <t>Whispering Pines, Village Of</t>
  </si>
  <si>
    <t>Whitakers, Town Of</t>
  </si>
  <si>
    <t>White Lake, Town Of</t>
  </si>
  <si>
    <t>Whiteville A.B.C. Board</t>
  </si>
  <si>
    <t>Whiteville, City Of</t>
  </si>
  <si>
    <t>Wilkesboro A.B.C. Board</t>
  </si>
  <si>
    <t>Wilkesboro, Town Of</t>
  </si>
  <si>
    <t>Williamston, City Of</t>
  </si>
  <si>
    <t>Wilmington, City Of</t>
  </si>
  <si>
    <t>Wilson County A.B.C. Board</t>
  </si>
  <si>
    <t>Wilson County Tourism Develop. Authority</t>
  </si>
  <si>
    <t>Wilson Economic Development Council</t>
  </si>
  <si>
    <t>Wilson, City Of</t>
  </si>
  <si>
    <t>Wilson's Mills, Town Of</t>
  </si>
  <si>
    <t>Windsor, Town Of</t>
  </si>
  <si>
    <t>Winfall, Town Of</t>
  </si>
  <si>
    <t>Wingate, Town Of</t>
  </si>
  <si>
    <t>Winston-Salem, City Of</t>
  </si>
  <si>
    <t>Winterville, Town Of</t>
  </si>
  <si>
    <t>Winton, Town Of</t>
  </si>
  <si>
    <t>Woodfin Sanitary Water &amp; Sewer District</t>
  </si>
  <si>
    <t>Woodfin, Town Of</t>
  </si>
  <si>
    <t>Woodland, Town Of</t>
  </si>
  <si>
    <t>Wrightsville Beach, Town Of</t>
  </si>
  <si>
    <t>Yadkinville, Town Of</t>
  </si>
  <si>
    <t>Yancey Soil &amp; Water Conservation District</t>
  </si>
  <si>
    <t>Yanceyville, Town Of</t>
  </si>
  <si>
    <t>Youngsville, Town Of</t>
  </si>
  <si>
    <t>Zebulon, Town Of</t>
  </si>
  <si>
    <t>FY 2017 Total Contributions</t>
  </si>
  <si>
    <t>Totals:</t>
  </si>
  <si>
    <r>
      <t xml:space="preserve">Step 4 - In cells C29, C33, and, if applicable, C31, enter your employer contributions to LGERS made for the period indicated. </t>
    </r>
    <r>
      <rPr>
        <b/>
        <sz val="10"/>
        <color rgb="FFFF0000"/>
        <rFont val="Arial"/>
        <family val="2"/>
      </rPr>
      <t xml:space="preserve"> PLEASE NOTE - only enter your normal and accrued liability LGERS contributions related to the LGERS plan.  Do not include contributions for health plan, death plan, etc.</t>
    </r>
  </si>
  <si>
    <t>Current Discount Rate (7.00%)</t>
  </si>
  <si>
    <t>1% Decrease (6.00%)</t>
  </si>
  <si>
    <t>1% Increase    (8.00%)</t>
  </si>
  <si>
    <t>MOUNT OLIVE HOUSING AUTHORITY</t>
  </si>
  <si>
    <t>MOUNT PLEASANT ABC BOARD</t>
  </si>
  <si>
    <t>FOUNTAIN</t>
  </si>
  <si>
    <t xml:space="preserve">Following participants have been added for consistency - </t>
  </si>
  <si>
    <t xml:space="preserve">Following participants have been added by LGC for consistency - </t>
  </si>
  <si>
    <t>96519M</t>
  </si>
  <si>
    <t>92509M</t>
  </si>
  <si>
    <t>92513M</t>
  </si>
  <si>
    <t>TRILLIUM HEALTH RESOURCES (INCLUDES EAST CAROLINA BEHAVIORAL HEALTHCARE AND COASTALCARE)</t>
  </si>
  <si>
    <t>97461M</t>
  </si>
  <si>
    <t>97463M</t>
  </si>
  <si>
    <t>98414M</t>
  </si>
  <si>
    <t>71786M</t>
  </si>
  <si>
    <t>98604M</t>
  </si>
  <si>
    <t>98647M</t>
  </si>
  <si>
    <t>Check total</t>
  </si>
  <si>
    <t>ELKIN ABC BOARD (merged with Yadkin Valley ABC Board)</t>
  </si>
  <si>
    <t>YADKIN VALLEY ABC BOARD (includes Elkin ABC Board)</t>
  </si>
  <si>
    <t>TOTALS</t>
  </si>
  <si>
    <t>Tab</t>
  </si>
  <si>
    <t>Info</t>
  </si>
  <si>
    <t>A3</t>
  </si>
  <si>
    <t>Note - If you are unable to see the 10 different tabs in this workbook :</t>
  </si>
  <si>
    <t>C15</t>
  </si>
  <si>
    <r>
      <t>Info, JE Template, 20</t>
    </r>
    <r>
      <rPr>
        <sz val="10"/>
        <color rgb="FFFF0000"/>
        <rFont val="Arial"/>
        <family val="2"/>
      </rPr>
      <t>20</t>
    </r>
    <r>
      <rPr>
        <sz val="10"/>
        <rFont val="Arial"/>
        <family val="2"/>
      </rPr>
      <t xml:space="preserve"> summary, 2019 summary, 2018 summary, 2017 summary,LGERS Contributions FY 20</t>
    </r>
    <r>
      <rPr>
        <sz val="10"/>
        <color rgb="FFFF0000"/>
        <rFont val="Arial"/>
        <family val="2"/>
      </rPr>
      <t>19</t>
    </r>
    <r>
      <rPr>
        <sz val="10"/>
        <rFont val="Arial"/>
        <family val="2"/>
      </rPr>
      <t>, LGERS Contributions FY 2018, LGERS Contributions FY 2017,and Deferred Amort MD 6-30-</t>
    </r>
    <r>
      <rPr>
        <sz val="10"/>
        <color rgb="FFFF0000"/>
        <rFont val="Arial"/>
        <family val="2"/>
      </rPr>
      <t>19</t>
    </r>
    <r>
      <rPr>
        <sz val="10"/>
        <rFont val="Arial"/>
        <family val="2"/>
      </rPr>
      <t xml:space="preserve"> then go to File, Options,</t>
    </r>
  </si>
  <si>
    <t>D31</t>
  </si>
  <si>
    <t>HIDE CELLS IN YELLOW</t>
  </si>
  <si>
    <t>A50</t>
  </si>
  <si>
    <t>A51</t>
  </si>
  <si>
    <t>A52</t>
  </si>
  <si>
    <t>A53</t>
  </si>
  <si>
    <t>B50</t>
  </si>
  <si>
    <t>B51</t>
  </si>
  <si>
    <t>B52</t>
  </si>
  <si>
    <t>B53</t>
  </si>
  <si>
    <t>I52</t>
  </si>
  <si>
    <t>I49</t>
  </si>
  <si>
    <t>I50</t>
  </si>
  <si>
    <t>I51</t>
  </si>
  <si>
    <t>J49</t>
  </si>
  <si>
    <t>J50</t>
  </si>
  <si>
    <t>J51</t>
  </si>
  <si>
    <t>J52</t>
  </si>
  <si>
    <t>10/1/2018 through 6/30/2019</t>
  </si>
  <si>
    <t>1/1/2019 through 6/30/2019</t>
  </si>
  <si>
    <t>4/1/2019 through 6/30/2019</t>
  </si>
  <si>
    <t>7/1/2018 through 9/30/2018</t>
  </si>
  <si>
    <t>7/1/2018 through 12/31/2018</t>
  </si>
  <si>
    <t>7/1/2018 through 3/31/2019</t>
  </si>
  <si>
    <t>7/1/2018 through 6/30/2019</t>
  </si>
  <si>
    <t>A58</t>
  </si>
  <si>
    <t>A59</t>
  </si>
  <si>
    <t>A60</t>
  </si>
  <si>
    <t>A61</t>
  </si>
  <si>
    <t>JE Template</t>
  </si>
  <si>
    <t>Tab Name</t>
  </si>
  <si>
    <t>update for current year</t>
  </si>
  <si>
    <t>B6</t>
  </si>
  <si>
    <t>Plan measurement period used for FY20 is the twelve months ending June 30, 2019.</t>
  </si>
  <si>
    <t>B19</t>
  </si>
  <si>
    <t>B28</t>
  </si>
  <si>
    <t>Plan Total for 6/30/2019 Measurement Date</t>
  </si>
  <si>
    <t>Plan total for 6/30/2018 Measurement Date</t>
  </si>
  <si>
    <t>F11 through F21</t>
  </si>
  <si>
    <t>F22 through F28</t>
  </si>
  <si>
    <t>Find FY 2019 and replace with FY__</t>
  </si>
  <si>
    <t>Find FY 2018 and replace with FY__</t>
  </si>
  <si>
    <t>Find 2019 and replace with 20__</t>
  </si>
  <si>
    <t>Find 2018 and replace with 20__</t>
  </si>
  <si>
    <t>G11 through G21</t>
  </si>
  <si>
    <t>G22 through G28</t>
  </si>
  <si>
    <t>H11 through V21</t>
  </si>
  <si>
    <t>Find 2017 and replace with 20__</t>
  </si>
  <si>
    <t>A33</t>
  </si>
  <si>
    <t>This should be the CY</t>
  </si>
  <si>
    <t>Find 6-30-18 and replace with 6-30-__</t>
  </si>
  <si>
    <t>This should by CY</t>
  </si>
  <si>
    <t>This should be CY-1</t>
  </si>
  <si>
    <t>CYE</t>
  </si>
  <si>
    <t>CYE-3mo</t>
  </si>
  <si>
    <t>CYE- 6mo</t>
  </si>
  <si>
    <t>CYE-9mo</t>
  </si>
  <si>
    <t>PYE</t>
  </si>
  <si>
    <t>PYE-9mo</t>
  </si>
  <si>
    <t>PYE- 6mo</t>
  </si>
  <si>
    <t>PYE-3mo</t>
  </si>
  <si>
    <t>PY</t>
  </si>
  <si>
    <t>CY</t>
  </si>
  <si>
    <t>Add CY tab for Summary, PY tab for LGERS Contributions and replace Deferred Amort MD with PY info</t>
  </si>
  <si>
    <t>E58</t>
  </si>
  <si>
    <t>F58</t>
  </si>
  <si>
    <t>G58</t>
  </si>
  <si>
    <t>E59</t>
  </si>
  <si>
    <t>G59</t>
  </si>
  <si>
    <t>Current discount rate from the Actuary</t>
  </si>
  <si>
    <t>Current discount rate from the Actuary -1%</t>
  </si>
  <si>
    <t>Current discount rate from the Actuary+ 1%</t>
  </si>
  <si>
    <t>A1</t>
  </si>
  <si>
    <t>Measurement date 6/30/2019</t>
  </si>
  <si>
    <t>C2</t>
  </si>
  <si>
    <t>FY 2019 Total Contributions</t>
  </si>
  <si>
    <t>A2</t>
  </si>
  <si>
    <t>LGERS Contributions FY 2019</t>
  </si>
  <si>
    <t>2020 Summary - CY</t>
  </si>
  <si>
    <t>This should be the PY</t>
  </si>
  <si>
    <t>Deferred Amort MD 6-30-19</t>
  </si>
  <si>
    <t>This should by FY CY …ending June 30, PY</t>
  </si>
  <si>
    <t>Location</t>
  </si>
  <si>
    <t>NOTES</t>
  </si>
  <si>
    <r>
      <t>&lt;&lt; This will be blank if you have a 6/30/20</t>
    </r>
    <r>
      <rPr>
        <sz val="10"/>
        <color rgb="FFFF0000"/>
        <rFont val="Arial"/>
        <family val="2"/>
      </rPr>
      <t>20</t>
    </r>
    <r>
      <rPr>
        <sz val="10"/>
        <rFont val="Arial"/>
        <family val="2"/>
      </rPr>
      <t xml:space="preserve"> fiscal year end.   STEP 4</t>
    </r>
  </si>
  <si>
    <t>Update/Task</t>
  </si>
  <si>
    <r>
      <t>Fiscal Year Ended June 30, 20</t>
    </r>
    <r>
      <rPr>
        <sz val="10"/>
        <color rgb="FFFF0000"/>
        <rFont val="Arial"/>
        <family val="2"/>
      </rPr>
      <t>20</t>
    </r>
  </si>
  <si>
    <t>update name for prior year</t>
  </si>
  <si>
    <t>LGERS Contributions</t>
  </si>
  <si>
    <t>Copy the most recent sheet and name it the next year</t>
  </si>
  <si>
    <t>SUMMARY</t>
  </si>
  <si>
    <t>CY Summary</t>
  </si>
  <si>
    <r>
      <t>+VLOOKUP(A8,'</t>
    </r>
    <r>
      <rPr>
        <sz val="11"/>
        <color rgb="FFFF0000"/>
        <rFont val="Calibri"/>
        <family val="2"/>
        <scheme val="minor"/>
      </rPr>
      <t>20PY</t>
    </r>
    <r>
      <rPr>
        <sz val="11"/>
        <color theme="1"/>
        <rFont val="Calibri"/>
        <family val="2"/>
        <scheme val="minor"/>
      </rPr>
      <t xml:space="preserve"> summary'!$A$8:$T$927,4,FALSE)</t>
    </r>
  </si>
  <si>
    <t>D50-D53</t>
  </si>
  <si>
    <t>Change tab name to 20CY</t>
  </si>
  <si>
    <t>Unhide rows and columns</t>
  </si>
  <si>
    <t>manually key correct dates</t>
  </si>
  <si>
    <t>any cell formatted a shade of</t>
  </si>
  <si>
    <t>then the formula should refer to the current year</t>
  </si>
  <si>
    <t>then the formula should refer to the prior year</t>
  </si>
  <si>
    <t>then the formula should refer to the prior year 2 back</t>
  </si>
  <si>
    <t>then the formula should refer to the prior year 3 back</t>
  </si>
  <si>
    <t>FY 06/30/20</t>
  </si>
  <si>
    <t>FY 06/30/19</t>
  </si>
  <si>
    <t>TOWN OF RHODHISS</t>
  </si>
  <si>
    <t>MOCKSVILLE-COOLEEMEE ABC BOARD</t>
  </si>
  <si>
    <t>IREDELL ECONOMIC DEVELOPMENT</t>
  </si>
  <si>
    <t>ROXBORO HOUSING AUTHORITY</t>
  </si>
  <si>
    <t xml:space="preserve"> &lt;&lt; Enter your fiscal year-end (i.e 9/30/2019, 12/31/2019, 3/31/2020, 6/30/2020). STEP 3</t>
  </si>
  <si>
    <t>Data validation: C26, C28</t>
  </si>
  <si>
    <t>Data Validation for Info tab Chose Your Agency, Additional Agency, Agency Number: C20, C21,C23,C24</t>
  </si>
  <si>
    <t>C20</t>
  </si>
  <si>
    <t>ref s/b to CY Summary tab</t>
  </si>
  <si>
    <t>C21</t>
  </si>
  <si>
    <t>C23</t>
  </si>
  <si>
    <t>C24</t>
  </si>
  <si>
    <t>Data Validation for Info tab Chose Your Agency</t>
  </si>
  <si>
    <t>Data Validation for Info tab Additional Agency</t>
  </si>
  <si>
    <t>Data Validation for Info tab  Agency Number</t>
  </si>
  <si>
    <t>Data Validation for Info tab  Additional Agency Number</t>
  </si>
  <si>
    <t>refers to measurement date</t>
  </si>
  <si>
    <t>This should be the CY or CY+1?????</t>
  </si>
  <si>
    <t>May only be Data Validation for ROD Template</t>
  </si>
  <si>
    <t>Copy most recent sheet and rename it the CY, drop in numbers from OA when report available</t>
  </si>
  <si>
    <t>Comes from Section 8 of  actuarial valuation</t>
  </si>
  <si>
    <t>Comes from OSA</t>
  </si>
  <si>
    <t>YANCEY SOIL AND WATER CONSERVATION</t>
  </si>
  <si>
    <t>APPALACHIAN DISTRICT HEALTH DEPARTMENT</t>
  </si>
  <si>
    <t>ALEXANDER COUNTY HEALTH DEPARTMENT</t>
  </si>
  <si>
    <t>ALEXANDER COUNTY DEPT OF SOCIAL SERVICES</t>
  </si>
  <si>
    <t>AVERY-MITCHELL-YANCEY REGIONAL LIBRARY</t>
  </si>
  <si>
    <t>BERTIE-MARTIN REGIONAL JAIL COMMISSION</t>
  </si>
  <si>
    <t>SOUTH EASTERN ECONOMIC DEVELOPMENT COMMISSION</t>
  </si>
  <si>
    <t>BRUNSWICK COUNTY HEALTH DEPARTMENT</t>
  </si>
  <si>
    <t>BRUNSWICK COUNTY DEPARTMENT OF SOCIAL SERVICES</t>
  </si>
  <si>
    <t>CITY OF BOILING SPRING LAKES</t>
  </si>
  <si>
    <t>WESTERN NORTH CAROLINA REGIONAL AIR QUALITY</t>
  </si>
  <si>
    <t>METRO SEWERAGE DISTRICT OF BUNCOMBE COUNTY</t>
  </si>
  <si>
    <t xml:space="preserve">WEST BUNCOMBE FIRE DEPARTMENT </t>
  </si>
  <si>
    <t>SKYLAND VOLUNTEER FIRE DEPARTMENT</t>
  </si>
  <si>
    <t>BLACK MOUNTAIN ABC BOARD</t>
  </si>
  <si>
    <t>BURKE-CATAWBA DISTRICT CONFINEMENT</t>
  </si>
  <si>
    <t>BURKE COUNTY HEALTH DEPARTMENT</t>
  </si>
  <si>
    <t>BURKE COUNTY DEPTARTMENT OF SOCIAL SERVICES</t>
  </si>
  <si>
    <t>BURKE COUNTY TOURISM DEVELOPMENT AUTHORITY</t>
  </si>
  <si>
    <t>WATER AND SEWER AUTH OF CABARRUS COUNTY</t>
  </si>
  <si>
    <t>CITY OF LENOIR ABC BOARD</t>
  </si>
  <si>
    <t>CASWELL COUNTY DEPTARTMENT OF SOCIAL SERVICES</t>
  </si>
  <si>
    <t>HICKORY CONOVER TOURISM DEVELOPMENT AUTHORITY</t>
  </si>
  <si>
    <t>ALBEMARLE REGIONAL PLANNING AND DEV COMMISSION</t>
  </si>
  <si>
    <t>FIRST CRAVEN SANITARY DISTRICT</t>
  </si>
  <si>
    <t>CRAVEN COUNTY ABC BOARD</t>
  </si>
  <si>
    <t>COASTAL REGIONAL SOLID WASTE MANAGEMENT AUTH</t>
  </si>
  <si>
    <t>WESTAREA VOLUNTEER FIRE DEPARTMENT</t>
  </si>
  <si>
    <t>CUMBERLAND COUNTY ABC BOARD</t>
  </si>
  <si>
    <t>PUBLIC WORKS COMMISSION CITY OF FAYETTEVILLE</t>
  </si>
  <si>
    <t>CURRITUCK COUNTY ABC BOARD</t>
  </si>
  <si>
    <t>DAVIE SOIL AND WATER CONSERVATION DISTRICT</t>
  </si>
  <si>
    <t>WALLACE ABC BOARD</t>
  </si>
  <si>
    <t>DURHAM CONVENTION AND VISITORS BUREAU</t>
  </si>
  <si>
    <t>ROCKY MOUNT HOUSING AUTHORITY</t>
  </si>
  <si>
    <t>GASTON COUNTY ECONOMIC DEVELOPMENT COMMISSION</t>
  </si>
  <si>
    <t>GRAHAM COUNTY HEALTH DEPARTMENT</t>
  </si>
  <si>
    <t>GRAHAM COUNTY DEPARTMENT OF SOCIAL SERVICES</t>
  </si>
  <si>
    <t>GRANVILLE COUNTY ABC BOARD</t>
  </si>
  <si>
    <t>PINECROFT-SEDGEFIELD FIRE DISTRICT INC</t>
  </si>
  <si>
    <t>ALAMANCE COMMUNITY FIRE DISTRICT</t>
  </si>
  <si>
    <t>PIEDMONT TRIAD REGIONAL WATER AUTHORITY</t>
  </si>
  <si>
    <t>GREATER STATESVILLE DEVELOPMENT CORPORATION</t>
  </si>
  <si>
    <t>SOUTHWESTERN NC PLANNING &amp; ECONOMIC DEV COMM</t>
  </si>
  <si>
    <t>PUBLIC LIBRARY OF JOHNSTON COUNTY AND SMITHFIELD</t>
  </si>
  <si>
    <t>HOUSING AUTHORITY FOR THE CITY OF KINSTON</t>
  </si>
  <si>
    <t>KINSTON-LENOIR COUNTY PUBLIC LIBRARY</t>
  </si>
  <si>
    <t>MARTIN COUNTY TRAVEL AND TOURISM AUTHORITY</t>
  </si>
  <si>
    <t>PLEASANT GARDEN FIRE DEPARTMENT</t>
  </si>
  <si>
    <t>MECKLENBURG EMERGENCY MEDICAL SERVICES AGENCY</t>
  </si>
  <si>
    <t>CHARLOTTE FIREMEN'S RETIREMENT SYSTEM</t>
  </si>
  <si>
    <t>LOWER CAPE FEAR WATER AND SEWER AUTHORITY</t>
  </si>
  <si>
    <t>TOWN OF NORTH TOPSAIL BEACH</t>
  </si>
  <si>
    <t>PASQUOTANK COUNTY ABC BOARD</t>
  </si>
  <si>
    <t>ELIZABETH CITY-PASQUOTANK COUNTY AIRPORT AUTH</t>
  </si>
  <si>
    <t>ELIZABETH CITY-PASQUOTANK COUNTY IND DEV COMM</t>
  </si>
  <si>
    <t>PERSON COUNTY ABC BOARD</t>
  </si>
  <si>
    <t>PITT-GREENVILLE CONVENTION AND VISTORS</t>
  </si>
  <si>
    <t>CONTENNEA METROPOLITAN SEWERAGE DISTRICT</t>
  </si>
  <si>
    <t>ST PAUL'S BOARD OF ALCOHOLIC CONTROL</t>
  </si>
  <si>
    <t>MADISON-MAYODAN RECREATION COMMISSION</t>
  </si>
  <si>
    <t>ROWAN COUNTY HOUSING AUTHORITY</t>
  </si>
  <si>
    <t>ROWAN COUNTY SOIL &amp; WATER CONSERVATION DISTRICT</t>
  </si>
  <si>
    <t>HOUSING AUTHORITY OF THE CITY OF SALISBURY</t>
  </si>
  <si>
    <t>ISOTHERMAL PLANNING AND DEV COMMISSION</t>
  </si>
  <si>
    <t>DOBSON ABC BOARD</t>
  </si>
  <si>
    <t>ELECTRICITIES OF NORTH CAROLINA</t>
  </si>
  <si>
    <t>DURHAM HIGHWAY FIRE PROTECTION ASSOCIATION</t>
  </si>
  <si>
    <t>GARNER FIRE DEPARTMENT</t>
  </si>
  <si>
    <t>WATAUGA COUNTY DISTRICT U TOURISM DEV AUTH</t>
  </si>
  <si>
    <t>BLOWING ROCK ABC BOARD</t>
  </si>
  <si>
    <t>FORK TOWNSHIP SANITARY DISTRICT</t>
  </si>
  <si>
    <t>EASTERN CAROLINA REGIONAL HOUSING AUTHORITY</t>
  </si>
  <si>
    <t>EASTERN WAYNE SANITARY DISTRICT</t>
  </si>
  <si>
    <t>TOWN OF NORTH WILKESBORO</t>
  </si>
  <si>
    <t>TOWN OF NORTH WILKESBORO ABC BOARD</t>
  </si>
  <si>
    <t>WILSON ECONOMIC DEVELOPMENT COUNCIL</t>
  </si>
  <si>
    <t>NORTH CAROLINA ASSOC OF COUNTY COMMISSIONERS</t>
  </si>
  <si>
    <t>NORTH CAROLINA LEAGUE OF MUNICIPALITIES</t>
  </si>
  <si>
    <t>CUMBERLAND MEMORIAL AUDITORIUM COMMISSION</t>
  </si>
  <si>
    <t>GLOBAL TRANSPARK DEVELOPMENT COMMISSION</t>
  </si>
  <si>
    <t>TOWN OF FOUNTAIN</t>
  </si>
  <si>
    <t>VLOOKUP($A3,'[201-301 LGERS GASB 68 Tables for RSD_ORIGINAL FROM CMC.xlsx]App C Total'!$A$4:$I$97,5,FALSE)</t>
  </si>
  <si>
    <t>Def Amort</t>
  </si>
  <si>
    <t>check</t>
  </si>
  <si>
    <t>total</t>
  </si>
  <si>
    <t>diff</t>
  </si>
  <si>
    <t>merged with another unit</t>
  </si>
  <si>
    <t>Inactive</t>
  </si>
  <si>
    <t>new</t>
  </si>
  <si>
    <t>RHODHISS</t>
  </si>
  <si>
    <t>93027M</t>
  </si>
  <si>
    <t>93028M</t>
  </si>
  <si>
    <t>ROXBORO HOUSINGAUTHORITY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</si>
</sst>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0.00000000000%"/>
    <numFmt numFmtId="170" formatCode="0.0000000%"/>
  </numFmts>
  <fonts count="29">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sz val="11"/>
      <color rgb="FFFF0000"/>
      <name val="Calibri"/>
      <family val="2"/>
      <scheme val="minor"/>
    </font>
    <font>
      <sz val="11"/>
      <name val="Calibri"/>
      <family val="2"/>
      <scheme val="minor"/>
    </font>
    <font>
      <b/>
      <sz val="10"/>
      <name val="Arial"/>
      <family val="2"/>
    </font>
    <font>
      <b/>
      <sz val="14"/>
      <color rgb="FFFF0000"/>
      <name val="Arial"/>
      <family val="2"/>
    </font>
    <font>
      <b/>
      <sz val="10"/>
      <color indexed="10"/>
      <name val="Arial"/>
      <family val="2"/>
    </font>
    <font>
      <sz val="10"/>
      <color indexed="10"/>
      <name val="Arial"/>
      <family val="2"/>
    </font>
    <font>
      <u/>
      <sz val="9"/>
      <name val="Arial Narrow"/>
      <family val="2"/>
    </font>
    <font>
      <sz val="9"/>
      <name val="Arial Narrow"/>
      <family val="2"/>
    </font>
    <font>
      <b/>
      <sz val="11"/>
      <color rgb="FFFF0000"/>
      <name val="Calibri"/>
      <family val="2"/>
      <scheme val="minor"/>
    </font>
    <font>
      <b/>
      <sz val="11"/>
      <name val="Calibri"/>
      <family val="2"/>
      <scheme val="minor"/>
    </font>
    <font>
      <sz val="10"/>
      <color theme="0"/>
      <name val="Arial"/>
      <family val="2"/>
    </font>
    <font>
      <b/>
      <sz val="10"/>
      <color rgb="FFFF0000"/>
      <name val="Arial"/>
      <family val="2"/>
    </font>
    <font>
      <sz val="10"/>
      <color rgb="FFFF0000"/>
      <name val="Arial"/>
      <family val="2"/>
    </font>
    <font>
      <b/>
      <sz val="11"/>
      <color rgb="FF000000"/>
      <name val="Calibri"/>
      <family val="2"/>
    </font>
    <font>
      <sz val="11"/>
      <color theme="1"/>
      <name val="Calibri"/>
      <family val="2"/>
    </font>
    <font>
      <sz val="11"/>
      <color rgb="FF000000"/>
      <name val="Calibri"/>
      <family val="2"/>
    </font>
    <font>
      <sz val="10"/>
      <color rgb="FF000000"/>
      <name val="Arial"/>
      <family val="2"/>
    </font>
    <font>
      <b/>
      <sz val="10"/>
      <color rgb="FF000000"/>
      <name val="Arial"/>
      <family val="2"/>
    </font>
    <font>
      <sz val="9"/>
      <color indexed="81"/>
      <name val="Tahoma"/>
      <family val="2"/>
    </font>
    <font>
      <b/>
      <sz val="9"/>
      <color indexed="81"/>
      <name val="Tahoma"/>
      <family val="2"/>
    </font>
    <font>
      <sz val="11"/>
      <color theme="0"/>
      <name val="Calibri"/>
      <family val="2"/>
      <scheme val="minor"/>
    </font>
  </fonts>
  <fills count="22">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darkUp">
        <bgColor theme="6" tint="0.59999389629810485"/>
      </patternFill>
    </fill>
    <fill>
      <patternFill patternType="solid">
        <fgColor theme="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rgb="FFFFC00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rgb="FF00B050"/>
        <bgColor indexed="64"/>
      </patternFill>
    </fill>
    <fill>
      <patternFill patternType="solid">
        <fgColor theme="7"/>
        <bgColor indexed="64"/>
      </patternFill>
    </fill>
    <fill>
      <patternFill patternType="solid">
        <fgColor rgb="FFFF000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8"/>
        <bgColor indexed="64"/>
      </patternFill>
    </fill>
    <fill>
      <patternFill patternType="solid">
        <fgColor theme="6" tint="-0.499984740745262"/>
        <bgColor indexed="64"/>
      </patternFill>
    </fill>
    <fill>
      <patternFill patternType="solid">
        <fgColor theme="6"/>
        <bgColor indexed="64"/>
      </patternFill>
    </fill>
    <fill>
      <patternFill patternType="solid">
        <fgColor theme="6" tint="-0.249977111117893"/>
        <bgColor indexed="64"/>
      </patternFill>
    </fill>
  </fills>
  <borders count="2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0">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16">
    <xf numFmtId="0" fontId="0" fillId="0" borderId="0" xfId="0"/>
    <xf numFmtId="0" fontId="0" fillId="0" borderId="0" xfId="0" applyAlignment="1">
      <alignment wrapText="1"/>
    </xf>
    <xf numFmtId="164" fontId="0" fillId="0" borderId="0" xfId="0" applyNumberFormat="1"/>
    <xf numFmtId="43" fontId="0" fillId="0" borderId="0" xfId="1" applyFont="1"/>
    <xf numFmtId="0" fontId="0" fillId="0" borderId="0" xfId="0" applyFill="1"/>
    <xf numFmtId="0" fontId="0" fillId="0" borderId="0" xfId="0" applyFill="1" applyAlignment="1">
      <alignment horizontal="right"/>
    </xf>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0" fontId="0" fillId="0" borderId="0" xfId="0" applyAlignment="1">
      <alignment horizontal="right"/>
    </xf>
    <xf numFmtId="0" fontId="0" fillId="0" borderId="0" xfId="0" applyAlignment="1">
      <alignment vertical="top"/>
    </xf>
    <xf numFmtId="0" fontId="0" fillId="3" borderId="2" xfId="0" applyFill="1" applyBorder="1"/>
    <xf numFmtId="0" fontId="0" fillId="3" borderId="3" xfId="0" applyFill="1" applyBorder="1"/>
    <xf numFmtId="0" fontId="0" fillId="3" borderId="5" xfId="0" applyFill="1" applyBorder="1"/>
    <xf numFmtId="0" fontId="0" fillId="3" borderId="0" xfId="0" applyFill="1" applyBorder="1"/>
    <xf numFmtId="0" fontId="0" fillId="3" borderId="5" xfId="0" applyFill="1" applyBorder="1" applyAlignment="1">
      <alignment vertical="top"/>
    </xf>
    <xf numFmtId="0" fontId="0" fillId="3" borderId="0" xfId="0" applyFill="1" applyBorder="1" applyAlignment="1">
      <alignment wrapText="1"/>
    </xf>
    <xf numFmtId="164" fontId="0" fillId="3" borderId="0" xfId="1" applyNumberFormat="1" applyFont="1" applyFill="1" applyBorder="1"/>
    <xf numFmtId="164" fontId="0" fillId="3" borderId="6" xfId="1" applyNumberFormat="1" applyFont="1" applyFill="1" applyBorder="1"/>
    <xf numFmtId="43" fontId="0" fillId="3" borderId="0" xfId="1" applyFont="1" applyFill="1" applyBorder="1"/>
    <xf numFmtId="43" fontId="0" fillId="3" borderId="6" xfId="1" applyFont="1" applyFill="1" applyBorder="1"/>
    <xf numFmtId="0" fontId="0" fillId="3" borderId="0" xfId="0" applyFill="1" applyBorder="1" applyAlignment="1"/>
    <xf numFmtId="0" fontId="0" fillId="3" borderId="7" xfId="0" applyFill="1" applyBorder="1" applyAlignment="1">
      <alignment vertical="top"/>
    </xf>
    <xf numFmtId="0" fontId="0" fillId="3" borderId="1" xfId="0" applyFill="1" applyBorder="1" applyAlignment="1">
      <alignment wrapText="1"/>
    </xf>
    <xf numFmtId="43" fontId="0" fillId="3" borderId="1" xfId="1" applyFont="1" applyFill="1" applyBorder="1"/>
    <xf numFmtId="43" fontId="0" fillId="3" borderId="8" xfId="1" applyFont="1" applyFill="1" applyBorder="1"/>
    <xf numFmtId="0" fontId="0" fillId="0" borderId="0" xfId="0" applyFill="1" applyAlignment="1"/>
    <xf numFmtId="43" fontId="2" fillId="3" borderId="1" xfId="1" applyFont="1" applyFill="1" applyBorder="1" applyAlignment="1">
      <alignment horizontal="center" wrapText="1"/>
    </xf>
    <xf numFmtId="166" fontId="0" fillId="3" borderId="9" xfId="8" applyNumberFormat="1" applyFont="1" applyFill="1" applyBorder="1"/>
    <xf numFmtId="0" fontId="10" fillId="5" borderId="0" xfId="4" quotePrefix="1" applyFont="1" applyFill="1"/>
    <xf numFmtId="0" fontId="6" fillId="5" borderId="0" xfId="4" applyFill="1"/>
    <xf numFmtId="0" fontId="6" fillId="0" borderId="0" xfId="4" applyFont="1"/>
    <xf numFmtId="0" fontId="10" fillId="5" borderId="0" xfId="4" applyFont="1" applyFill="1"/>
    <xf numFmtId="0" fontId="11" fillId="5" borderId="0" xfId="4" applyFont="1" applyFill="1" applyAlignment="1">
      <alignment horizontal="center"/>
    </xf>
    <xf numFmtId="0" fontId="12" fillId="5" borderId="0" xfId="4" applyFont="1" applyFill="1" applyAlignment="1" applyProtection="1">
      <alignment horizontal="left" indent="1"/>
    </xf>
    <xf numFmtId="0" fontId="6" fillId="5" borderId="0" xfId="4" applyFill="1" applyBorder="1"/>
    <xf numFmtId="0" fontId="12" fillId="5" borderId="0" xfId="4" applyFont="1" applyFill="1" applyAlignment="1" applyProtection="1">
      <alignment horizontal="left" indent="3"/>
    </xf>
    <xf numFmtId="0" fontId="13" fillId="5" borderId="0" xfId="4" applyFont="1" applyFill="1" applyAlignment="1" applyProtection="1">
      <alignment horizontal="left" indent="4"/>
    </xf>
    <xf numFmtId="0" fontId="0" fillId="0" borderId="0" xfId="0" applyFill="1" applyBorder="1"/>
    <xf numFmtId="0" fontId="15" fillId="5" borderId="0" xfId="0" applyFont="1" applyFill="1" applyAlignment="1" applyProtection="1">
      <alignment horizontal="center"/>
    </xf>
    <xf numFmtId="168" fontId="15" fillId="5" borderId="0" xfId="0" applyNumberFormat="1" applyFont="1" applyFill="1" applyProtection="1"/>
    <xf numFmtId="0" fontId="0" fillId="5" borderId="0" xfId="0" applyFill="1"/>
    <xf numFmtId="0" fontId="15" fillId="5" borderId="0" xfId="0" applyFont="1" applyFill="1" applyAlignment="1">
      <alignment horizontal="center" vertical="top"/>
    </xf>
    <xf numFmtId="0" fontId="15" fillId="5" borderId="0" xfId="0" applyFont="1" applyFill="1"/>
    <xf numFmtId="0" fontId="15" fillId="5" borderId="0" xfId="0" applyNumberFormat="1" applyFont="1" applyFill="1" applyAlignment="1" applyProtection="1">
      <alignment horizontal="left" vertical="top"/>
    </xf>
    <xf numFmtId="0" fontId="15" fillId="5" borderId="0" xfId="0" applyFont="1" applyFill="1" applyAlignment="1">
      <alignment vertical="top"/>
    </xf>
    <xf numFmtId="49" fontId="15" fillId="5" borderId="0" xfId="0" quotePrefix="1" applyNumberFormat="1" applyFont="1" applyFill="1" applyAlignment="1" applyProtection="1">
      <alignment horizontal="center" vertical="top"/>
    </xf>
    <xf numFmtId="49" fontId="15" fillId="5" borderId="0" xfId="0" quotePrefix="1" applyNumberFormat="1" applyFont="1" applyFill="1" applyAlignment="1">
      <alignment horizontal="center" vertical="top"/>
    </xf>
    <xf numFmtId="0" fontId="6" fillId="0" borderId="0" xfId="4"/>
    <xf numFmtId="0" fontId="2" fillId="0" borderId="0" xfId="0"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0" fontId="9" fillId="0" borderId="0" xfId="0" applyFont="1" applyFill="1" applyAlignment="1">
      <alignment horizontal="center"/>
    </xf>
    <xf numFmtId="167" fontId="0" fillId="0" borderId="0" xfId="9" applyNumberFormat="1" applyFont="1" applyFill="1"/>
    <xf numFmtId="164" fontId="0" fillId="0" borderId="0" xfId="0" applyNumberFormat="1" applyFill="1"/>
    <xf numFmtId="0" fontId="17" fillId="0" borderId="0" xfId="0" applyFont="1" applyFill="1" applyBorder="1" applyAlignment="1">
      <alignment horizontal="left"/>
    </xf>
    <xf numFmtId="0" fontId="2" fillId="0" borderId="0" xfId="0" applyFont="1" applyAlignment="1">
      <alignment horizontal="right"/>
    </xf>
    <xf numFmtId="0" fontId="0" fillId="3" borderId="7" xfId="0" applyFill="1" applyBorder="1"/>
    <xf numFmtId="0" fontId="0" fillId="3" borderId="1" xfId="0" applyFill="1" applyBorder="1"/>
    <xf numFmtId="0" fontId="0" fillId="3" borderId="0" xfId="0" quotePrefix="1" applyFill="1" applyBorder="1" applyAlignment="1">
      <alignment wrapText="1"/>
    </xf>
    <xf numFmtId="0" fontId="0" fillId="0" borderId="0" xfId="0" applyFill="1" applyAlignment="1">
      <alignment horizontal="right" wrapText="1"/>
    </xf>
    <xf numFmtId="43" fontId="0" fillId="0" borderId="0" xfId="0" applyNumberFormat="1" applyFill="1"/>
    <xf numFmtId="0" fontId="6" fillId="0" borderId="0" xfId="4"/>
    <xf numFmtId="0" fontId="4" fillId="0" borderId="0" xfId="0" applyFont="1" applyFill="1" applyBorder="1" applyAlignment="1">
      <alignment horizontal="left" wrapText="1"/>
    </xf>
    <xf numFmtId="0" fontId="0" fillId="0" borderId="0" xfId="0" applyFill="1" applyBorder="1" applyAlignment="1">
      <alignment horizontal="right"/>
    </xf>
    <xf numFmtId="0" fontId="6" fillId="5" borderId="0" xfId="4" applyFont="1" applyFill="1"/>
    <xf numFmtId="0" fontId="6" fillId="5" borderId="0" xfId="4" quotePrefix="1" applyFont="1" applyFill="1"/>
    <xf numFmtId="0" fontId="6" fillId="0" borderId="0" xfId="4"/>
    <xf numFmtId="164" fontId="0" fillId="0" borderId="0" xfId="0" applyNumberFormat="1" applyFill="1" applyBorder="1"/>
    <xf numFmtId="0" fontId="18" fillId="0" borderId="0" xfId="4" applyFont="1"/>
    <xf numFmtId="0" fontId="6" fillId="0" borderId="0" xfId="4"/>
    <xf numFmtId="0" fontId="20" fillId="0" borderId="0" xfId="4" applyFont="1"/>
    <xf numFmtId="43" fontId="0" fillId="0" borderId="0" xfId="0" applyNumberFormat="1"/>
    <xf numFmtId="166" fontId="0" fillId="0" borderId="0" xfId="0" applyNumberFormat="1"/>
    <xf numFmtId="0" fontId="8" fillId="0" borderId="0" xfId="0" applyFont="1"/>
    <xf numFmtId="0" fontId="6" fillId="0" borderId="0" xfId="4"/>
    <xf numFmtId="166" fontId="6" fillId="0" borderId="0" xfId="8" applyNumberFormat="1" applyFont="1" applyFill="1" applyBorder="1"/>
    <xf numFmtId="0" fontId="0" fillId="0" borderId="0" xfId="0" applyFill="1" applyAlignment="1">
      <alignment horizontal="left"/>
    </xf>
    <xf numFmtId="166" fontId="0" fillId="0" borderId="0" xfId="8" applyNumberFormat="1" applyFont="1" applyFill="1"/>
    <xf numFmtId="0" fontId="0" fillId="0" borderId="0" xfId="0" applyFill="1" applyAlignment="1">
      <alignment vertical="top"/>
    </xf>
    <xf numFmtId="0" fontId="0" fillId="0" borderId="0" xfId="0" applyFill="1" applyAlignment="1">
      <alignment wrapText="1"/>
    </xf>
    <xf numFmtId="0" fontId="15" fillId="5" borderId="0" xfId="0" applyNumberFormat="1" applyFont="1" applyFill="1" applyAlignment="1" applyProtection="1">
      <alignment horizontal="left" vertical="top" wrapText="1"/>
    </xf>
    <xf numFmtId="0" fontId="0" fillId="5" borderId="0" xfId="0" applyFill="1" applyAlignment="1">
      <alignment vertical="top" wrapText="1"/>
    </xf>
    <xf numFmtId="0" fontId="0" fillId="5" borderId="0" xfId="0" applyFill="1" applyAlignment="1">
      <alignment vertical="top"/>
    </xf>
    <xf numFmtId="0" fontId="0" fillId="0" borderId="0" xfId="0" applyFill="1" applyAlignment="1">
      <alignment horizontal="center"/>
    </xf>
    <xf numFmtId="0" fontId="0" fillId="5" borderId="0" xfId="0" applyFill="1" applyAlignment="1">
      <alignment vertical="center"/>
    </xf>
    <xf numFmtId="0" fontId="9" fillId="0" borderId="0" xfId="0" applyFont="1" applyFill="1"/>
    <xf numFmtId="0" fontId="17" fillId="0" borderId="1" xfId="0" applyFont="1" applyFill="1" applyBorder="1" applyAlignment="1">
      <alignment horizontal="centerContinuous"/>
    </xf>
    <xf numFmtId="0" fontId="17" fillId="2" borderId="1" xfId="0" applyFont="1" applyFill="1" applyBorder="1" applyAlignment="1">
      <alignment horizontal="centerContinuous"/>
    </xf>
    <xf numFmtId="0" fontId="17" fillId="0" borderId="0" xfId="0" applyFont="1" applyFill="1" applyBorder="1" applyAlignment="1">
      <alignment horizontal="center" wrapText="1"/>
    </xf>
    <xf numFmtId="0" fontId="17" fillId="2" borderId="0" xfId="0" applyFont="1" applyFill="1" applyBorder="1" applyAlignment="1">
      <alignment horizontal="center" wrapText="1"/>
    </xf>
    <xf numFmtId="167" fontId="9" fillId="0" borderId="0" xfId="9" applyNumberFormat="1" applyFont="1" applyFill="1"/>
    <xf numFmtId="165" fontId="9" fillId="2" borderId="0" xfId="0" applyNumberFormat="1" applyFont="1" applyFill="1"/>
    <xf numFmtId="0" fontId="9" fillId="2" borderId="0" xfId="0" applyFont="1" applyFill="1"/>
    <xf numFmtId="0" fontId="17" fillId="0" borderId="0" xfId="0" applyFont="1" applyFill="1" applyBorder="1" applyAlignment="1">
      <alignment horizontal="center"/>
    </xf>
    <xf numFmtId="167" fontId="17" fillId="0" borderId="0" xfId="9" applyNumberFormat="1" applyFont="1" applyFill="1"/>
    <xf numFmtId="164" fontId="17" fillId="0" borderId="0" xfId="1" applyNumberFormat="1" applyFont="1" applyFill="1"/>
    <xf numFmtId="165" fontId="17" fillId="0" borderId="0" xfId="0" applyNumberFormat="1" applyFont="1" applyFill="1"/>
    <xf numFmtId="165" fontId="17" fillId="2" borderId="0" xfId="0" applyNumberFormat="1" applyFont="1" applyFill="1"/>
    <xf numFmtId="0" fontId="17" fillId="0" borderId="0" xfId="0" applyFont="1" applyFill="1"/>
    <xf numFmtId="0" fontId="2" fillId="0" borderId="0" xfId="0" applyFont="1" applyFill="1" applyAlignment="1">
      <alignment horizontal="center"/>
    </xf>
    <xf numFmtId="0" fontId="21" fillId="0" borderId="10" xfId="0" applyFont="1" applyFill="1" applyBorder="1"/>
    <xf numFmtId="43" fontId="21" fillId="0" borderId="10" xfId="1" applyFont="1" applyFill="1" applyBorder="1"/>
    <xf numFmtId="0" fontId="22" fillId="0" borderId="0" xfId="0" applyFont="1" applyFill="1" applyBorder="1"/>
    <xf numFmtId="43" fontId="22" fillId="0" borderId="0" xfId="1" applyFont="1" applyFill="1" applyBorder="1"/>
    <xf numFmtId="0" fontId="21" fillId="0" borderId="0" xfId="0" applyFont="1" applyFill="1" applyBorder="1"/>
    <xf numFmtId="43" fontId="21" fillId="0" borderId="0" xfId="1" applyFont="1" applyFill="1" applyBorder="1"/>
    <xf numFmtId="0" fontId="23" fillId="0" borderId="0" xfId="0" applyFont="1" applyFill="1" applyBorder="1"/>
    <xf numFmtId="0" fontId="23" fillId="0" borderId="0" xfId="0" applyFont="1" applyFill="1" applyBorder="1" applyAlignment="1">
      <alignment horizontal="right"/>
    </xf>
    <xf numFmtId="166" fontId="0" fillId="0" borderId="0" xfId="0" applyNumberFormat="1" applyFill="1"/>
    <xf numFmtId="169" fontId="0" fillId="0" borderId="0" xfId="9" applyNumberFormat="1" applyFont="1"/>
    <xf numFmtId="0" fontId="0" fillId="0" borderId="0" xfId="0" applyFont="1" applyFill="1" applyAlignment="1">
      <alignment horizontal="right"/>
    </xf>
    <xf numFmtId="43" fontId="0" fillId="0" borderId="0" xfId="0" applyNumberFormat="1" applyFill="1" applyBorder="1"/>
    <xf numFmtId="0" fontId="0" fillId="0" borderId="0"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2" fillId="0" borderId="0" xfId="1" applyFont="1" applyFill="1" applyBorder="1" applyAlignment="1">
      <alignment horizontal="center" wrapText="1"/>
    </xf>
    <xf numFmtId="0" fontId="0" fillId="0" borderId="0" xfId="0" applyFill="1" applyBorder="1" applyAlignment="1"/>
    <xf numFmtId="164" fontId="0" fillId="0" borderId="0" xfId="1" applyNumberFormat="1" applyFont="1" applyFill="1" applyBorder="1"/>
    <xf numFmtId="0" fontId="10" fillId="0" borderId="0" xfId="4" applyFont="1" applyFill="1" applyAlignment="1">
      <alignment horizontal="left"/>
    </xf>
    <xf numFmtId="0" fontId="6" fillId="0" borderId="10" xfId="4" applyFont="1" applyFill="1" applyBorder="1" applyAlignment="1" applyProtection="1">
      <alignment horizontal="center"/>
      <protection locked="0"/>
    </xf>
    <xf numFmtId="0" fontId="6" fillId="0" borderId="0" xfId="4" applyFill="1"/>
    <xf numFmtId="0" fontId="6" fillId="0" borderId="0" xfId="4" applyFill="1" applyBorder="1"/>
    <xf numFmtId="0" fontId="6" fillId="0" borderId="0" xfId="4" applyFill="1" applyAlignment="1">
      <alignment vertical="center"/>
    </xf>
    <xf numFmtId="14" fontId="6" fillId="0" borderId="0" xfId="4" applyNumberFormat="1" applyFill="1" applyBorder="1"/>
    <xf numFmtId="0" fontId="6" fillId="0" borderId="0" xfId="4" applyFill="1" applyAlignment="1">
      <alignment vertical="center" wrapText="1"/>
    </xf>
    <xf numFmtId="14" fontId="6" fillId="0" borderId="0" xfId="4" applyNumberFormat="1" applyFill="1" applyAlignment="1">
      <alignment horizontal="left" vertical="center"/>
    </xf>
    <xf numFmtId="0" fontId="6" fillId="0" borderId="0" xfId="4" applyFill="1" applyAlignment="1">
      <alignment wrapText="1"/>
    </xf>
    <xf numFmtId="14" fontId="6" fillId="0" borderId="0" xfId="4" applyNumberFormat="1" applyFill="1" applyAlignment="1">
      <alignment horizontal="left"/>
    </xf>
    <xf numFmtId="14" fontId="6" fillId="0" borderId="0" xfId="4" applyNumberFormat="1" applyFill="1" applyAlignment="1">
      <alignment wrapText="1"/>
    </xf>
    <xf numFmtId="14" fontId="6" fillId="0" borderId="0" xfId="4" applyNumberFormat="1" applyFill="1" applyBorder="1" applyAlignment="1">
      <alignment horizontal="left"/>
    </xf>
    <xf numFmtId="0" fontId="6" fillId="0" borderId="0" xfId="4" applyFont="1" applyFill="1"/>
    <xf numFmtId="0" fontId="20" fillId="0" borderId="0" xfId="4" applyFont="1" applyFill="1"/>
    <xf numFmtId="0" fontId="18" fillId="0" borderId="0" xfId="4" applyFont="1" applyFill="1"/>
    <xf numFmtId="49" fontId="9" fillId="0" borderId="0" xfId="0" applyNumberFormat="1" applyFont="1" applyFill="1" applyBorder="1" applyAlignment="1">
      <alignment horizontal="left"/>
    </xf>
    <xf numFmtId="0" fontId="12" fillId="0" borderId="0" xfId="4" applyFont="1" applyFill="1" applyAlignment="1" applyProtection="1">
      <alignment horizontal="left" indent="2"/>
    </xf>
    <xf numFmtId="0" fontId="0" fillId="3" borderId="2" xfId="0" applyFill="1" applyBorder="1" applyAlignment="1">
      <alignment vertical="top"/>
    </xf>
    <xf numFmtId="0" fontId="0" fillId="3" borderId="3" xfId="0" applyFill="1" applyBorder="1" applyAlignment="1">
      <alignment wrapText="1"/>
    </xf>
    <xf numFmtId="164" fontId="0" fillId="3" borderId="4" xfId="0" applyNumberFormat="1" applyFill="1" applyBorder="1" applyAlignment="1">
      <alignment wrapText="1"/>
    </xf>
    <xf numFmtId="164" fontId="0" fillId="3" borderId="6" xfId="0" applyNumberFormat="1" applyFill="1" applyBorder="1" applyAlignment="1">
      <alignment wrapText="1"/>
    </xf>
    <xf numFmtId="164" fontId="0" fillId="3" borderId="8" xfId="0" applyNumberFormat="1" applyFill="1" applyBorder="1" applyAlignment="1">
      <alignment wrapText="1"/>
    </xf>
    <xf numFmtId="43" fontId="0" fillId="3" borderId="3" xfId="1" applyFont="1" applyFill="1" applyBorder="1"/>
    <xf numFmtId="43" fontId="0" fillId="3" borderId="4" xfId="1" applyFont="1" applyFill="1" applyBorder="1"/>
    <xf numFmtId="43" fontId="2" fillId="3" borderId="8" xfId="1" applyFont="1" applyFill="1" applyBorder="1" applyAlignment="1">
      <alignment horizontal="center" wrapText="1"/>
    </xf>
    <xf numFmtId="41" fontId="0" fillId="3" borderId="0" xfId="1" applyNumberFormat="1" applyFont="1" applyFill="1" applyBorder="1"/>
    <xf numFmtId="43" fontId="0" fillId="4" borderId="6" xfId="1" applyFont="1" applyFill="1" applyBorder="1"/>
    <xf numFmtId="166" fontId="0" fillId="3" borderId="11" xfId="8" applyNumberFormat="1" applyFont="1" applyFill="1" applyBorder="1"/>
    <xf numFmtId="0" fontId="0" fillId="3" borderId="4" xfId="0" applyFill="1" applyBorder="1"/>
    <xf numFmtId="0" fontId="0" fillId="3" borderId="6" xfId="0" applyFill="1" applyBorder="1"/>
    <xf numFmtId="0" fontId="2" fillId="3" borderId="5" xfId="0" applyFont="1" applyFill="1" applyBorder="1"/>
    <xf numFmtId="0" fontId="2" fillId="3" borderId="0" xfId="0" applyFont="1" applyFill="1" applyBorder="1"/>
    <xf numFmtId="0" fontId="0" fillId="3" borderId="5" xfId="0" applyFill="1" applyBorder="1" applyAlignment="1">
      <alignment horizontal="left"/>
    </xf>
    <xf numFmtId="0" fontId="0" fillId="3" borderId="0" xfId="0" applyFill="1" applyBorder="1" applyAlignment="1">
      <alignment horizontal="left"/>
    </xf>
    <xf numFmtId="166" fontId="0" fillId="3" borderId="6" xfId="8" applyNumberFormat="1" applyFont="1" applyFill="1" applyBorder="1"/>
    <xf numFmtId="41" fontId="0" fillId="3" borderId="6" xfId="8" applyNumberFormat="1" applyFont="1" applyFill="1" applyBorder="1"/>
    <xf numFmtId="0" fontId="0" fillId="3" borderId="1" xfId="0" applyFill="1" applyBorder="1" applyAlignment="1">
      <alignment horizontal="left"/>
    </xf>
    <xf numFmtId="166" fontId="0" fillId="3" borderId="12" xfId="0" applyNumberFormat="1" applyFill="1" applyBorder="1"/>
    <xf numFmtId="0" fontId="2" fillId="3" borderId="2" xfId="0" applyFont="1" applyFill="1" applyBorder="1"/>
    <xf numFmtId="0" fontId="2" fillId="3" borderId="3" xfId="0" applyFont="1" applyFill="1" applyBorder="1"/>
    <xf numFmtId="0" fontId="2" fillId="3" borderId="13" xfId="0" applyFont="1" applyFill="1" applyBorder="1" applyAlignment="1">
      <alignment horizontal="center" wrapText="1"/>
    </xf>
    <xf numFmtId="0" fontId="2" fillId="3" borderId="12" xfId="0" applyFont="1" applyFill="1" applyBorder="1" applyAlignment="1">
      <alignment horizontal="center" wrapText="1"/>
    </xf>
    <xf numFmtId="0" fontId="0" fillId="3" borderId="0" xfId="0" applyFont="1" applyFill="1" applyBorder="1"/>
    <xf numFmtId="0" fontId="2" fillId="3" borderId="1" xfId="0" applyFont="1" applyFill="1" applyBorder="1"/>
    <xf numFmtId="0" fontId="0" fillId="3" borderId="5" xfId="0" applyFill="1" applyBorder="1" applyAlignment="1"/>
    <xf numFmtId="0" fontId="0" fillId="3" borderId="7" xfId="0" applyFill="1" applyBorder="1" applyAlignment="1"/>
    <xf numFmtId="166" fontId="0" fillId="3" borderId="12" xfId="8" applyNumberFormat="1" applyFont="1" applyFill="1" applyBorder="1"/>
    <xf numFmtId="0" fontId="2" fillId="3" borderId="2" xfId="0" applyFont="1" applyFill="1" applyBorder="1" applyAlignment="1">
      <alignment vertical="top"/>
    </xf>
    <xf numFmtId="0" fontId="2" fillId="3" borderId="3" xfId="0" applyFont="1" applyFill="1" applyBorder="1" applyAlignment="1">
      <alignment wrapText="1"/>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0" fontId="0" fillId="0" borderId="0" xfId="0" applyAlignment="1">
      <alignment vertical="top" wrapText="1"/>
    </xf>
    <xf numFmtId="164" fontId="0" fillId="3" borderId="0" xfId="1" applyNumberFormat="1" applyFont="1" applyFill="1" applyBorder="1" applyAlignment="1">
      <alignment horizontal="right"/>
    </xf>
    <xf numFmtId="166" fontId="0" fillId="3" borderId="13" xfId="8" applyNumberFormat="1" applyFont="1" applyFill="1" applyBorder="1" applyAlignment="1">
      <alignment horizontal="right"/>
    </xf>
    <xf numFmtId="164" fontId="0" fillId="3" borderId="6" xfId="1" applyNumberFormat="1" applyFont="1" applyFill="1" applyBorder="1" applyAlignment="1">
      <alignment horizontal="right"/>
    </xf>
    <xf numFmtId="164" fontId="0" fillId="3" borderId="6" xfId="0" applyNumberFormat="1" applyFill="1" applyBorder="1" applyAlignment="1">
      <alignment horizontal="right"/>
    </xf>
    <xf numFmtId="43" fontId="0" fillId="3" borderId="6" xfId="1" applyFont="1" applyFill="1" applyBorder="1" applyAlignment="1">
      <alignment horizontal="right"/>
    </xf>
    <xf numFmtId="41" fontId="0" fillId="3" borderId="6" xfId="1" applyNumberFormat="1" applyFont="1" applyFill="1" applyBorder="1" applyAlignment="1">
      <alignment horizontal="right"/>
    </xf>
    <xf numFmtId="0" fontId="6" fillId="3" borderId="7" xfId="4" applyFill="1" applyBorder="1"/>
    <xf numFmtId="0" fontId="6" fillId="3" borderId="1" xfId="4" applyFill="1" applyBorder="1"/>
    <xf numFmtId="0" fontId="6" fillId="3" borderId="8" xfId="4" applyFill="1" applyBorder="1"/>
    <xf numFmtId="167" fontId="9" fillId="0" borderId="0" xfId="9" applyNumberFormat="1" applyFont="1" applyFill="1" applyBorder="1" applyAlignment="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0" fontId="9" fillId="0" borderId="0" xfId="0"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0" applyFont="1" applyFill="1"/>
    <xf numFmtId="0" fontId="0" fillId="0" borderId="0" xfId="0" applyFill="1"/>
    <xf numFmtId="164" fontId="9" fillId="0" borderId="0" xfId="1" applyNumberFormat="1" applyFont="1" applyFill="1"/>
    <xf numFmtId="0" fontId="9" fillId="0" borderId="0" xfId="0" applyFont="1" applyFill="1" applyBorder="1" applyAlignment="1">
      <alignment horizontal="center"/>
    </xf>
    <xf numFmtId="0" fontId="9" fillId="0" borderId="0" xfId="0" applyFont="1" applyFill="1"/>
    <xf numFmtId="0" fontId="0" fillId="0" borderId="0" xfId="0" applyFill="1"/>
    <xf numFmtId="0" fontId="9" fillId="0" borderId="0" xfId="0" applyFont="1" applyFill="1" applyBorder="1" applyAlignment="1">
      <alignment horizontal="center"/>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0" fontId="9" fillId="0" borderId="0" xfId="9" applyNumberFormat="1" applyFont="1" applyFill="1" applyBorder="1" applyAlignment="1">
      <alignment horizontal="center"/>
    </xf>
    <xf numFmtId="165" fontId="9" fillId="2" borderId="0" xfId="0" applyNumberFormat="1" applyFont="1" applyFill="1"/>
    <xf numFmtId="164" fontId="9" fillId="0" borderId="0" xfId="1" applyNumberFormat="1" applyFont="1" applyFill="1"/>
    <xf numFmtId="0" fontId="9" fillId="0" borderId="0" xfId="0" applyFont="1" applyFill="1"/>
    <xf numFmtId="0" fontId="9" fillId="0" borderId="0" xfId="0" applyFont="1" applyFill="1" applyBorder="1" applyAlignment="1">
      <alignment horizontal="center"/>
    </xf>
    <xf numFmtId="0" fontId="22" fillId="0" borderId="0" xfId="0" applyFont="1" applyFill="1" applyBorder="1"/>
    <xf numFmtId="0" fontId="9" fillId="0" borderId="0" xfId="0" applyFont="1" applyFill="1"/>
    <xf numFmtId="0" fontId="9" fillId="0" borderId="0" xfId="0" applyFont="1" applyFill="1" applyBorder="1" applyAlignment="1">
      <alignment horizontal="center"/>
    </xf>
    <xf numFmtId="0" fontId="9" fillId="0" borderId="0" xfId="0" applyFont="1" applyFill="1" applyBorder="1" applyAlignment="1">
      <alignment horizontal="left"/>
    </xf>
    <xf numFmtId="164" fontId="9" fillId="0" borderId="0" xfId="1" applyNumberFormat="1" applyFont="1" applyFill="1"/>
    <xf numFmtId="164" fontId="9" fillId="0" borderId="0" xfId="1" applyNumberFormat="1" applyFont="1" applyFill="1"/>
    <xf numFmtId="164" fontId="9" fillId="0" borderId="0" xfId="1" applyNumberFormat="1" applyFont="1" applyFill="1"/>
    <xf numFmtId="164" fontId="9" fillId="0" borderId="0" xfId="1" applyNumberFormat="1" applyFont="1" applyFill="1"/>
    <xf numFmtId="165" fontId="9" fillId="0" borderId="0" xfId="0" applyNumberFormat="1" applyFont="1" applyFill="1"/>
    <xf numFmtId="164" fontId="9" fillId="0" borderId="0" xfId="0" applyNumberFormat="1" applyFont="1" applyFill="1"/>
    <xf numFmtId="167" fontId="9" fillId="0" borderId="0" xfId="9" applyNumberFormat="1" applyFont="1" applyFill="1" applyBorder="1" applyAlignment="1"/>
    <xf numFmtId="0" fontId="0" fillId="0" borderId="0" xfId="0" applyFill="1" applyAlignment="1">
      <alignment horizontal="center"/>
    </xf>
    <xf numFmtId="164" fontId="9" fillId="2" borderId="0" xfId="1" applyNumberFormat="1" applyFont="1" applyFill="1"/>
    <xf numFmtId="164" fontId="17" fillId="2" borderId="0" xfId="1" applyNumberFormat="1" applyFont="1" applyFill="1"/>
    <xf numFmtId="170" fontId="9" fillId="0" borderId="0" xfId="9" applyNumberFormat="1" applyFont="1" applyFill="1"/>
    <xf numFmtId="43" fontId="22" fillId="0" borderId="9" xfId="1" applyFont="1" applyFill="1" applyBorder="1"/>
    <xf numFmtId="43" fontId="23" fillId="0" borderId="0" xfId="1" applyFont="1" applyFill="1" applyBorder="1"/>
    <xf numFmtId="167" fontId="1" fillId="0" borderId="0" xfId="9" applyNumberFormat="1" applyFont="1" applyFill="1"/>
    <xf numFmtId="0" fontId="0" fillId="0" borderId="0" xfId="0" applyFont="1" applyFill="1"/>
    <xf numFmtId="165" fontId="0" fillId="0" borderId="0" xfId="0" applyNumberFormat="1" applyFill="1"/>
    <xf numFmtId="165" fontId="0" fillId="0" borderId="0" xfId="0" applyNumberFormat="1" applyFont="1" applyFill="1"/>
    <xf numFmtId="164" fontId="2" fillId="0" borderId="0" xfId="1" applyNumberFormat="1" applyFont="1" applyFill="1"/>
    <xf numFmtId="165" fontId="2" fillId="0" borderId="0" xfId="0" applyNumberFormat="1" applyFont="1" applyFill="1"/>
    <xf numFmtId="167" fontId="17" fillId="0" borderId="0" xfId="9" applyNumberFormat="1" applyFont="1" applyFill="1" applyBorder="1" applyAlignment="1"/>
    <xf numFmtId="164" fontId="17" fillId="0" borderId="0" xfId="1" applyNumberFormat="1" applyFont="1" applyFill="1" applyBorder="1" applyAlignment="1"/>
    <xf numFmtId="49" fontId="0" fillId="0" borderId="0" xfId="0" applyNumberFormat="1" applyFill="1"/>
    <xf numFmtId="49" fontId="9" fillId="0" borderId="0" xfId="0" applyNumberFormat="1" applyFont="1" applyFill="1"/>
    <xf numFmtId="167" fontId="17" fillId="0" borderId="0" xfId="9" applyNumberFormat="1" applyFont="1" applyFill="1" applyBorder="1" applyAlignment="1">
      <alignment horizontal="center"/>
    </xf>
    <xf numFmtId="49" fontId="22" fillId="0" borderId="0" xfId="0" applyNumberFormat="1" applyFont="1" applyFill="1" applyBorder="1" applyAlignment="1">
      <alignment horizontal="left"/>
    </xf>
    <xf numFmtId="49" fontId="0" fillId="0" borderId="0" xfId="0" applyNumberFormat="1" applyFill="1" applyAlignment="1">
      <alignment horizontal="left"/>
    </xf>
    <xf numFmtId="0" fontId="2" fillId="0" borderId="1" xfId="0" applyFont="1" applyFill="1" applyBorder="1" applyAlignment="1">
      <alignment horizontal="centerContinuous"/>
    </xf>
    <xf numFmtId="41" fontId="3" fillId="0" borderId="0" xfId="0" applyNumberFormat="1" applyFont="1" applyFill="1" applyBorder="1" applyAlignment="1">
      <alignment horizontal="center" wrapText="1"/>
    </xf>
    <xf numFmtId="164" fontId="1" fillId="0" borderId="0" xfId="1" applyNumberFormat="1" applyFont="1" applyFill="1"/>
    <xf numFmtId="165" fontId="1" fillId="0" borderId="0" xfId="1" applyNumberFormat="1" applyFont="1" applyFill="1" applyAlignment="1">
      <alignment horizontal="left"/>
    </xf>
    <xf numFmtId="167" fontId="2" fillId="0" borderId="0" xfId="9" applyNumberFormat="1" applyFont="1" applyFill="1"/>
    <xf numFmtId="0" fontId="16" fillId="0" borderId="0" xfId="0" applyFont="1" applyFill="1" applyAlignment="1">
      <alignment horizontal="right"/>
    </xf>
    <xf numFmtId="43" fontId="21" fillId="0" borderId="9" xfId="1" applyFont="1" applyFill="1" applyBorder="1"/>
    <xf numFmtId="0" fontId="9" fillId="6" borderId="0" xfId="0" applyFont="1" applyFill="1" applyBorder="1" applyAlignment="1">
      <alignment horizontal="center"/>
    </xf>
    <xf numFmtId="0" fontId="9" fillId="6" borderId="0" xfId="0" applyFont="1" applyFill="1" applyBorder="1" applyAlignment="1">
      <alignment horizontal="left"/>
    </xf>
    <xf numFmtId="167" fontId="9" fillId="6" borderId="0" xfId="9" applyNumberFormat="1" applyFont="1" applyFill="1"/>
    <xf numFmtId="164" fontId="9" fillId="6" borderId="0" xfId="1" applyNumberFormat="1" applyFont="1" applyFill="1"/>
    <xf numFmtId="165" fontId="9" fillId="6" borderId="0" xfId="0" applyNumberFormat="1" applyFont="1" applyFill="1"/>
    <xf numFmtId="164" fontId="9" fillId="6" borderId="0" xfId="0" applyNumberFormat="1" applyFont="1" applyFill="1"/>
    <xf numFmtId="0" fontId="9" fillId="6" borderId="0" xfId="0" applyFont="1" applyFill="1"/>
    <xf numFmtId="0" fontId="6" fillId="0" borderId="0" xfId="4" applyFill="1"/>
    <xf numFmtId="0" fontId="10" fillId="0" borderId="0" xfId="4" applyFont="1" applyFill="1"/>
    <xf numFmtId="164" fontId="0" fillId="3" borderId="0" xfId="1" applyNumberFormat="1" applyFont="1" applyFill="1" applyBorder="1" applyAlignment="1">
      <alignment vertical="center"/>
    </xf>
    <xf numFmtId="164" fontId="0" fillId="3" borderId="0" xfId="0" applyNumberFormat="1" applyFont="1" applyFill="1" applyBorder="1" applyAlignment="1">
      <alignment vertical="center" wrapText="1"/>
    </xf>
    <xf numFmtId="164" fontId="0" fillId="3" borderId="6" xfId="1" applyNumberFormat="1" applyFont="1" applyFill="1" applyBorder="1" applyAlignment="1">
      <alignment vertical="center"/>
    </xf>
    <xf numFmtId="0" fontId="2" fillId="3" borderId="0" xfId="0" applyFont="1" applyFill="1" applyBorder="1" applyAlignment="1">
      <alignment vertical="center" wrapText="1"/>
    </xf>
    <xf numFmtId="0" fontId="2" fillId="3" borderId="6" xfId="0" applyFont="1" applyFill="1" applyBorder="1" applyAlignment="1">
      <alignment vertical="center" wrapText="1"/>
    </xf>
    <xf numFmtId="164" fontId="2" fillId="3" borderId="1" xfId="0" applyNumberFormat="1" applyFont="1" applyFill="1" applyBorder="1" applyAlignment="1">
      <alignment vertical="center"/>
    </xf>
    <xf numFmtId="164" fontId="2" fillId="3" borderId="8" xfId="0" applyNumberFormat="1" applyFont="1" applyFill="1" applyBorder="1" applyAlignment="1">
      <alignment vertical="center"/>
    </xf>
    <xf numFmtId="0" fontId="6" fillId="0" borderId="0" xfId="4" applyFill="1"/>
    <xf numFmtId="0" fontId="22" fillId="6" borderId="0" xfId="0" applyFont="1" applyFill="1" applyBorder="1" applyAlignment="1">
      <alignment horizontal="right"/>
    </xf>
    <xf numFmtId="0" fontId="22" fillId="6" borderId="0" xfId="0" applyFont="1" applyFill="1" applyBorder="1"/>
    <xf numFmtId="43" fontId="22" fillId="6" borderId="0" xfId="1" applyFont="1" applyFill="1" applyBorder="1"/>
    <xf numFmtId="43" fontId="22" fillId="6" borderId="9" xfId="1" applyFont="1" applyFill="1" applyBorder="1"/>
    <xf numFmtId="0" fontId="6" fillId="6" borderId="0" xfId="4" applyFill="1"/>
    <xf numFmtId="0" fontId="6" fillId="6" borderId="0" xfId="4" applyFont="1" applyFill="1"/>
    <xf numFmtId="0" fontId="20" fillId="6" borderId="0" xfId="4" applyFont="1" applyFill="1"/>
    <xf numFmtId="0" fontId="18" fillId="6" borderId="0" xfId="4" applyFont="1" applyFill="1"/>
    <xf numFmtId="14" fontId="6" fillId="6" borderId="0" xfId="4" applyNumberFormat="1" applyFont="1" applyFill="1"/>
    <xf numFmtId="14" fontId="6" fillId="6" borderId="0" xfId="4" applyNumberFormat="1" applyFill="1"/>
    <xf numFmtId="14" fontId="6" fillId="6" borderId="0" xfId="4" quotePrefix="1" applyNumberFormat="1" applyFill="1"/>
    <xf numFmtId="0" fontId="6" fillId="6" borderId="0" xfId="4" applyFont="1" applyFill="1" applyAlignment="1">
      <alignment horizontal="center"/>
    </xf>
    <xf numFmtId="0" fontId="6" fillId="6" borderId="0" xfId="4" applyFill="1" applyAlignment="1">
      <alignment horizontal="right"/>
    </xf>
    <xf numFmtId="0" fontId="0" fillId="0" borderId="0" xfId="0" applyFont="1"/>
    <xf numFmtId="0" fontId="2" fillId="0" borderId="0" xfId="0" applyFont="1"/>
    <xf numFmtId="0" fontId="9" fillId="0" borderId="0" xfId="0" applyFont="1" applyFill="1" applyAlignment="1">
      <alignment horizontal="left"/>
    </xf>
    <xf numFmtId="14" fontId="9" fillId="0" borderId="0" xfId="0" applyNumberFormat="1" applyFont="1" applyFill="1" applyAlignment="1">
      <alignment horizontal="left"/>
    </xf>
    <xf numFmtId="43" fontId="9" fillId="0" borderId="0" xfId="1" applyFont="1" applyFill="1" applyAlignment="1">
      <alignment horizontal="left"/>
    </xf>
    <xf numFmtId="0" fontId="6" fillId="0" borderId="0" xfId="4" applyFont="1" applyFill="1" applyAlignment="1" applyProtection="1">
      <alignment horizontal="left" indent="1"/>
    </xf>
    <xf numFmtId="0" fontId="2" fillId="7" borderId="0" xfId="0" applyFont="1" applyFill="1"/>
    <xf numFmtId="0" fontId="9" fillId="0" borderId="0" xfId="0" applyFont="1"/>
    <xf numFmtId="0" fontId="0" fillId="0" borderId="0" xfId="0" quotePrefix="1" applyFill="1"/>
    <xf numFmtId="0" fontId="0" fillId="6" borderId="0" xfId="0" applyFill="1"/>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0" fillId="14" borderId="0" xfId="0" applyFill="1"/>
    <xf numFmtId="0" fontId="0" fillId="0" borderId="0" xfId="0" applyAlignment="1">
      <alignment horizontal="left"/>
    </xf>
    <xf numFmtId="0" fontId="8" fillId="0" borderId="0" xfId="0" applyFont="1" applyFill="1"/>
    <xf numFmtId="0" fontId="10" fillId="6" borderId="0" xfId="4" applyFont="1" applyFill="1" applyAlignment="1">
      <alignment horizontal="right"/>
    </xf>
    <xf numFmtId="0" fontId="6" fillId="2" borderId="14" xfId="4" applyFont="1" applyFill="1" applyBorder="1"/>
    <xf numFmtId="0" fontId="6" fillId="2" borderId="15" xfId="4" applyFont="1" applyFill="1" applyBorder="1"/>
    <xf numFmtId="0" fontId="18" fillId="2" borderId="15" xfId="4" applyFont="1" applyFill="1" applyBorder="1"/>
    <xf numFmtId="0" fontId="18" fillId="2" borderId="16" xfId="4" applyFont="1" applyFill="1" applyBorder="1"/>
    <xf numFmtId="0" fontId="6" fillId="2" borderId="17" xfId="4" applyFill="1" applyBorder="1"/>
    <xf numFmtId="0" fontId="6" fillId="2" borderId="0" xfId="4" applyFill="1" applyBorder="1"/>
    <xf numFmtId="0" fontId="18" fillId="2" borderId="18" xfId="4" applyFont="1" applyFill="1" applyBorder="1"/>
    <xf numFmtId="14" fontId="6" fillId="2" borderId="19" xfId="4" applyNumberFormat="1" applyFont="1" applyFill="1" applyBorder="1"/>
    <xf numFmtId="0" fontId="6" fillId="2" borderId="20" xfId="4" applyFont="1" applyFill="1" applyBorder="1"/>
    <xf numFmtId="0" fontId="18" fillId="2" borderId="20" xfId="4" applyFont="1" applyFill="1" applyBorder="1"/>
    <xf numFmtId="0" fontId="18" fillId="2" borderId="21" xfId="4" applyFont="1" applyFill="1" applyBorder="1"/>
    <xf numFmtId="0" fontId="0" fillId="0" borderId="0" xfId="0" applyFill="1" applyAlignment="1">
      <alignment horizontal="center"/>
    </xf>
    <xf numFmtId="167" fontId="0" fillId="0" borderId="0" xfId="0" applyNumberFormat="1"/>
    <xf numFmtId="164" fontId="23" fillId="0" borderId="0" xfId="1" applyNumberFormat="1" applyFont="1" applyFill="1" applyAlignment="1">
      <alignment horizontal="left" vertical="center" wrapText="1"/>
    </xf>
    <xf numFmtId="164" fontId="23" fillId="0" borderId="0" xfId="1" applyNumberFormat="1" applyFont="1" applyFill="1" applyAlignment="1">
      <alignment horizontal="right" vertical="center" wrapText="1"/>
    </xf>
    <xf numFmtId="0" fontId="6" fillId="17" borderId="0" xfId="0" applyFont="1" applyFill="1" applyAlignment="1">
      <alignment horizontal="center"/>
    </xf>
    <xf numFmtId="164" fontId="23" fillId="17" borderId="0" xfId="1" applyNumberFormat="1" applyFont="1" applyFill="1" applyAlignment="1">
      <alignment horizontal="left" vertical="center" wrapText="1"/>
    </xf>
    <xf numFmtId="167" fontId="9" fillId="17" borderId="0" xfId="9" applyNumberFormat="1" applyFont="1" applyFill="1" applyBorder="1" applyAlignment="1"/>
    <xf numFmtId="164" fontId="9" fillId="17" borderId="0" xfId="1" applyNumberFormat="1" applyFont="1" applyFill="1"/>
    <xf numFmtId="0" fontId="9" fillId="17" borderId="0" xfId="0" applyFont="1" applyFill="1"/>
    <xf numFmtId="0" fontId="24" fillId="0" borderId="0" xfId="0" applyFont="1" applyFill="1" applyAlignment="1">
      <alignment horizontal="center"/>
    </xf>
    <xf numFmtId="0" fontId="9" fillId="17" borderId="0" xfId="0" applyFont="1" applyFill="1" applyBorder="1" applyAlignment="1">
      <alignment horizontal="center"/>
    </xf>
    <xf numFmtId="0" fontId="9" fillId="17" borderId="0" xfId="0" applyFont="1" applyFill="1" applyBorder="1" applyAlignment="1">
      <alignment horizontal="left"/>
    </xf>
    <xf numFmtId="165" fontId="9" fillId="17" borderId="0" xfId="0" applyNumberFormat="1" applyFont="1" applyFill="1"/>
    <xf numFmtId="164" fontId="9" fillId="17" borderId="0" xfId="0" applyNumberFormat="1" applyFont="1" applyFill="1"/>
    <xf numFmtId="0" fontId="9" fillId="8" borderId="0" xfId="0" applyFont="1" applyFill="1"/>
    <xf numFmtId="0" fontId="9" fillId="16" borderId="0" xfId="0" applyFont="1" applyFill="1"/>
    <xf numFmtId="0" fontId="9" fillId="18" borderId="0" xfId="0" applyFont="1" applyFill="1"/>
    <xf numFmtId="164" fontId="0" fillId="0" borderId="0" xfId="0" quotePrefix="1" applyNumberFormat="1"/>
    <xf numFmtId="0" fontId="2" fillId="0" borderId="0" xfId="0" applyFont="1" applyAlignment="1">
      <alignment horizontal="center" wrapText="1"/>
    </xf>
    <xf numFmtId="164" fontId="0" fillId="0" borderId="0" xfId="0" quotePrefix="1" applyNumberFormat="1" applyAlignment="1">
      <alignment wrapText="1"/>
    </xf>
    <xf numFmtId="167" fontId="9" fillId="0" borderId="0" xfId="0" applyNumberFormat="1" applyFont="1" applyFill="1"/>
    <xf numFmtId="167" fontId="9" fillId="19" borderId="0" xfId="9" applyNumberFormat="1" applyFont="1" applyFill="1" applyBorder="1" applyAlignment="1"/>
    <xf numFmtId="43" fontId="0" fillId="0" borderId="0" xfId="1" applyFont="1" applyFill="1"/>
    <xf numFmtId="0" fontId="6" fillId="0" borderId="1" xfId="4" applyFill="1" applyBorder="1" applyAlignment="1" applyProtection="1">
      <alignment horizontal="right"/>
      <protection locked="0"/>
    </xf>
    <xf numFmtId="14" fontId="6" fillId="0" borderId="10" xfId="4" applyNumberFormat="1" applyFont="1" applyFill="1" applyBorder="1" applyProtection="1">
      <protection locked="0"/>
    </xf>
    <xf numFmtId="0" fontId="6" fillId="15" borderId="0" xfId="4" applyNumberFormat="1" applyFill="1" applyBorder="1" applyProtection="1">
      <protection locked="0"/>
    </xf>
    <xf numFmtId="166" fontId="6" fillId="0" borderId="10" xfId="8" applyNumberFormat="1" applyFont="1" applyFill="1" applyBorder="1" applyAlignment="1" applyProtection="1">
      <alignment vertical="center"/>
      <protection locked="0"/>
    </xf>
    <xf numFmtId="166" fontId="6" fillId="0" borderId="10" xfId="8" applyNumberFormat="1" applyFont="1" applyFill="1" applyBorder="1" applyProtection="1">
      <protection locked="0"/>
    </xf>
    <xf numFmtId="0" fontId="0" fillId="0" borderId="0" xfId="0" applyFill="1" applyAlignment="1">
      <alignment horizontal="left" wrapText="1"/>
    </xf>
    <xf numFmtId="41" fontId="0" fillId="0" borderId="0" xfId="0" applyNumberFormat="1" applyFill="1"/>
    <xf numFmtId="167" fontId="9" fillId="20" borderId="0" xfId="9" applyNumberFormat="1" applyFont="1" applyFill="1" applyBorder="1" applyAlignment="1">
      <alignment wrapText="1"/>
    </xf>
    <xf numFmtId="0" fontId="6" fillId="20" borderId="0" xfId="0" applyFont="1" applyFill="1" applyAlignment="1">
      <alignment horizontal="center"/>
    </xf>
    <xf numFmtId="164" fontId="23" fillId="20" borderId="0" xfId="1" applyNumberFormat="1" applyFont="1" applyFill="1" applyAlignment="1">
      <alignment horizontal="left" vertical="center" wrapText="1"/>
    </xf>
    <xf numFmtId="0" fontId="6" fillId="3" borderId="0" xfId="0" applyFont="1" applyFill="1" applyAlignment="1">
      <alignment horizontal="center"/>
    </xf>
    <xf numFmtId="164" fontId="23" fillId="3" borderId="0" xfId="1" applyNumberFormat="1" applyFont="1" applyFill="1" applyAlignment="1">
      <alignment horizontal="left" vertical="center" wrapText="1"/>
    </xf>
    <xf numFmtId="0" fontId="24" fillId="3" borderId="0" xfId="0" applyFont="1" applyFill="1" applyAlignment="1">
      <alignment horizontal="center"/>
    </xf>
    <xf numFmtId="0" fontId="24" fillId="11" borderId="0" xfId="0" applyFont="1" applyFill="1" applyAlignment="1">
      <alignment horizontal="center"/>
    </xf>
    <xf numFmtId="164" fontId="23" fillId="11" borderId="0" xfId="1" applyNumberFormat="1" applyFont="1" applyFill="1" applyAlignment="1">
      <alignment horizontal="left" vertical="center" wrapText="1"/>
    </xf>
    <xf numFmtId="0" fontId="6" fillId="11" borderId="0" xfId="0" applyFont="1" applyFill="1" applyAlignment="1">
      <alignment horizontal="center"/>
    </xf>
    <xf numFmtId="0" fontId="6" fillId="17" borderId="0" xfId="0" applyFont="1" applyFill="1" applyAlignment="1">
      <alignment horizontal="left"/>
    </xf>
    <xf numFmtId="0" fontId="6" fillId="21" borderId="0" xfId="0" applyFont="1" applyFill="1" applyAlignment="1">
      <alignment horizontal="center"/>
    </xf>
    <xf numFmtId="164" fontId="23" fillId="21" borderId="0" xfId="1" applyNumberFormat="1" applyFont="1" applyFill="1" applyAlignment="1">
      <alignment horizontal="left" vertical="center" wrapText="1"/>
    </xf>
    <xf numFmtId="0" fontId="24" fillId="13" borderId="0" xfId="0" applyFont="1" applyFill="1" applyAlignment="1">
      <alignment horizontal="center"/>
    </xf>
    <xf numFmtId="164" fontId="23" fillId="13" borderId="0" xfId="1" applyNumberFormat="1" applyFont="1" applyFill="1" applyAlignment="1">
      <alignment horizontal="left" vertical="center" wrapText="1"/>
    </xf>
    <xf numFmtId="0" fontId="6" fillId="13" borderId="0" xfId="0" applyFont="1" applyFill="1" applyAlignment="1">
      <alignment horizontal="center"/>
    </xf>
    <xf numFmtId="0" fontId="24" fillId="11" borderId="0" xfId="0" applyFont="1" applyFill="1" applyAlignment="1">
      <alignment horizontal="left"/>
    </xf>
    <xf numFmtId="0" fontId="6" fillId="11" borderId="0" xfId="0" applyFont="1" applyFill="1" applyAlignment="1">
      <alignment horizontal="left"/>
    </xf>
    <xf numFmtId="0" fontId="24" fillId="0" borderId="0" xfId="0" applyFont="1" applyFill="1" applyAlignment="1">
      <alignment horizontal="left"/>
    </xf>
    <xf numFmtId="167" fontId="9" fillId="11" borderId="0" xfId="9" applyNumberFormat="1" applyFont="1" applyFill="1" applyBorder="1" applyAlignment="1"/>
    <xf numFmtId="0" fontId="28" fillId="0" borderId="0" xfId="0" applyFont="1" applyFill="1"/>
    <xf numFmtId="43" fontId="9" fillId="0" borderId="0" xfId="1" applyFont="1" applyFill="1" applyBorder="1" applyAlignment="1"/>
    <xf numFmtId="164" fontId="9" fillId="0" borderId="0" xfId="1" applyNumberFormat="1" applyFont="1" applyFill="1" applyBorder="1" applyAlignment="1"/>
    <xf numFmtId="164" fontId="0" fillId="0" borderId="0" xfId="1" applyNumberFormat="1" applyFont="1"/>
    <xf numFmtId="41" fontId="0" fillId="0" borderId="0" xfId="0" applyNumberFormat="1"/>
    <xf numFmtId="167" fontId="0" fillId="0" borderId="0" xfId="9" applyNumberFormat="1" applyFont="1"/>
    <xf numFmtId="0" fontId="2" fillId="0" borderId="1" xfId="0" applyFont="1" applyFill="1" applyBorder="1"/>
    <xf numFmtId="43" fontId="2" fillId="0" borderId="1" xfId="1" applyFont="1" applyFill="1" applyBorder="1"/>
    <xf numFmtId="43" fontId="2" fillId="0" borderId="0" xfId="1" applyFont="1" applyFill="1"/>
    <xf numFmtId="0" fontId="22" fillId="0" borderId="0" xfId="0" applyFont="1" applyFill="1" applyBorder="1" applyAlignment="1">
      <alignment horizontal="right"/>
    </xf>
    <xf numFmtId="43" fontId="0" fillId="0" borderId="1" xfId="1" applyFont="1" applyFill="1" applyBorder="1"/>
    <xf numFmtId="0" fontId="24" fillId="16" borderId="0" xfId="0" applyFont="1" applyFill="1" applyAlignment="1">
      <alignment horizontal="center"/>
    </xf>
    <xf numFmtId="164" fontId="23" fillId="16" borderId="0" xfId="1" applyNumberFormat="1" applyFont="1" applyFill="1" applyAlignment="1">
      <alignment horizontal="left" vertical="center" wrapText="1"/>
    </xf>
    <xf numFmtId="0" fontId="6" fillId="16" borderId="0" xfId="0" applyFont="1" applyFill="1" applyAlignment="1">
      <alignment horizontal="center"/>
    </xf>
    <xf numFmtId="0" fontId="6" fillId="6" borderId="0" xfId="4" applyFill="1"/>
    <xf numFmtId="0" fontId="24" fillId="3" borderId="2" xfId="0" applyFont="1" applyFill="1" applyBorder="1" applyAlignment="1">
      <alignment horizontal="left" vertical="top" wrapText="1"/>
    </xf>
    <xf numFmtId="0" fontId="24" fillId="3" borderId="3" xfId="0" applyFont="1" applyFill="1" applyBorder="1" applyAlignment="1">
      <alignment horizontal="left" vertical="top" wrapText="1"/>
    </xf>
    <xf numFmtId="0" fontId="24" fillId="3" borderId="4" xfId="0" applyFont="1" applyFill="1" applyBorder="1" applyAlignment="1">
      <alignment horizontal="left" vertical="top" wrapText="1"/>
    </xf>
    <xf numFmtId="0" fontId="24" fillId="3" borderId="5" xfId="0" applyFont="1" applyFill="1" applyBorder="1" applyAlignment="1">
      <alignment horizontal="left" vertical="center"/>
    </xf>
    <xf numFmtId="0" fontId="24" fillId="3" borderId="0" xfId="0" applyFont="1" applyFill="1" applyBorder="1" applyAlignment="1">
      <alignment horizontal="left" vertical="center"/>
    </xf>
    <xf numFmtId="0" fontId="24" fillId="3" borderId="6" xfId="0" applyFont="1" applyFill="1" applyBorder="1" applyAlignment="1">
      <alignment horizontal="left" vertical="center"/>
    </xf>
    <xf numFmtId="0" fontId="24" fillId="3" borderId="5" xfId="0" applyFont="1" applyFill="1" applyBorder="1" applyAlignment="1">
      <alignment vertical="center" wrapText="1"/>
    </xf>
    <xf numFmtId="0" fontId="0" fillId="3" borderId="0" xfId="0" applyFill="1" applyBorder="1" applyAlignment="1">
      <alignment vertical="center" wrapText="1"/>
    </xf>
    <xf numFmtId="0" fontId="0" fillId="3" borderId="6" xfId="0" applyFill="1" applyBorder="1" applyAlignment="1">
      <alignment vertical="center" wrapText="1"/>
    </xf>
    <xf numFmtId="0" fontId="16" fillId="0" borderId="0" xfId="0" applyFont="1" applyAlignment="1">
      <alignment wrapText="1"/>
    </xf>
    <xf numFmtId="0" fontId="15" fillId="5" borderId="0" xfId="0" applyNumberFormat="1" applyFont="1" applyFill="1" applyAlignment="1" applyProtection="1">
      <alignment horizontal="left" vertical="top" wrapText="1"/>
    </xf>
    <xf numFmtId="0" fontId="0" fillId="5" borderId="0" xfId="0" applyFill="1" applyAlignment="1">
      <alignment vertical="top" wrapText="1"/>
    </xf>
    <xf numFmtId="0" fontId="15" fillId="5" borderId="0" xfId="0" applyFont="1" applyFill="1" applyAlignment="1">
      <alignment vertical="top" wrapText="1"/>
    </xf>
    <xf numFmtId="0" fontId="0" fillId="5" borderId="0" xfId="0" applyFill="1" applyAlignment="1">
      <alignment vertical="top"/>
    </xf>
    <xf numFmtId="0" fontId="0" fillId="0" borderId="0" xfId="0" applyFill="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4" fillId="5" borderId="0" xfId="0" applyNumberFormat="1" applyFont="1" applyFill="1" applyAlignment="1" applyProtection="1">
      <alignment horizontal="left" vertical="center"/>
    </xf>
    <xf numFmtId="0" fontId="0" fillId="5" borderId="0" xfId="0" applyFill="1" applyAlignment="1">
      <alignment vertical="center"/>
    </xf>
  </cellXfs>
  <cellStyles count="10">
    <cellStyle name="Comma" xfId="1" builtinId="3"/>
    <cellStyle name="Comma 2" xfId="2" xr:uid="{00000000-0005-0000-0000-000001000000}"/>
    <cellStyle name="Currency" xfId="8" builtinId="4"/>
    <cellStyle name="Normal" xfId="0" builtinId="0"/>
    <cellStyle name="Normal 2" xfId="3" xr:uid="{00000000-0005-0000-0000-000004000000}"/>
    <cellStyle name="Normal 3" xfId="4" xr:uid="{00000000-0005-0000-0000-000005000000}"/>
    <cellStyle name="Normal 3 2" xfId="5" xr:uid="{00000000-0005-0000-0000-000006000000}"/>
    <cellStyle name="Normal 4" xfId="6" xr:uid="{00000000-0005-0000-0000-000007000000}"/>
    <cellStyle name="Percent" xfId="9" builtinId="5"/>
    <cellStyle name="Percent 2" xfId="7" xr:uid="{00000000-0005-0000-0000-000009000000}"/>
  </cellStyles>
  <dxfs count="10">
    <dxf>
      <fill>
        <patternFill patternType="solid">
          <fgColor rgb="FFE6B8B7"/>
          <bgColor rgb="FF000000"/>
        </patternFill>
      </fill>
    </dxf>
    <dxf>
      <fill>
        <patternFill patternType="solid">
          <fgColor rgb="FFFDE9D9"/>
          <bgColor rgb="FF000000"/>
        </patternFill>
      </fill>
    </dxf>
    <dxf>
      <fill>
        <patternFill patternType="solid">
          <fgColor rgb="FFE6B8B7"/>
          <bgColor rgb="FF000000"/>
        </patternFill>
      </fill>
    </dxf>
    <dxf>
      <fill>
        <patternFill patternType="solid">
          <fgColor rgb="FFFDE9D9"/>
          <bgColor rgb="FF000000"/>
        </patternFill>
      </fill>
    </dxf>
    <dxf>
      <fill>
        <patternFill patternType="none">
          <fgColor indexed="64"/>
          <bgColor indexed="65"/>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28577</xdr:colOff>
      <xdr:row>39</xdr:row>
      <xdr:rowOff>209550</xdr:rowOff>
    </xdr:from>
    <xdr:to>
      <xdr:col>6</xdr:col>
      <xdr:colOff>1714500</xdr:colOff>
      <xdr:row>39</xdr:row>
      <xdr:rowOff>285750</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1449052" y="9591675"/>
          <a:ext cx="1685923" cy="7620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persons/person.xml><?xml version="1.0" encoding="utf-8"?>
<personList xmlns="http://schemas.microsoft.com/office/spreadsheetml/2018/threadedcomments" xmlns:x="http://schemas.openxmlformats.org/spreadsheetml/2006/main">
  <person displayName="Kendra Boyle" id="{4689EE39-4D50-4DDB-A6A9-D3B21C1FA47D}" userId="S::LGC0084@nctreasurer.com::e6da70e9-72c2-409b-9978-192edee7820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7" dT="2020-04-06T13:43:01.61" personId="{4689EE39-4D50-4DDB-A6A9-D3B21C1FA47D}" id="{28AF635C-2109-40AE-B7C6-6E334C9B3DCB}">
    <text>All # come from Office of State Auditor Report Schedule 2</text>
  </threadedComment>
</ThreadedComments>
</file>

<file path=xl/threadedComments/threadedComment2.xml><?xml version="1.0" encoding="utf-8"?>
<ThreadedComments xmlns="http://schemas.microsoft.com/office/spreadsheetml/2018/threadedcomments" xmlns:x="http://schemas.openxmlformats.org/spreadsheetml/2006/main">
  <threadedComment ref="B2" dT="2020-04-06T13:46:20.76" personId="{4689EE39-4D50-4DDB-A6A9-D3B21C1FA47D}" id="{74FD9AF4-4B3B-41DD-9327-7112CFA4739F}">
    <text>Make sure this list matches the CY Office of State Auditor list and list from FOD</text>
  </threadedComment>
  <threadedComment ref="C2" dT="2020-04-06T13:44:20.55" personId="{4689EE39-4D50-4DDB-A6A9-D3B21C1FA47D}" id="{85737AA7-88DC-4526-A5B6-9AD463D3B7A4}">
    <text># come from NCST FOD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85"/>
  <sheetViews>
    <sheetView showGridLines="0" tabSelected="1" zoomScaleNormal="100" workbookViewId="0">
      <selection activeCell="C20" sqref="C20"/>
    </sheetView>
  </sheetViews>
  <sheetFormatPr defaultColWidth="9.140625" defaultRowHeight="12.75"/>
  <cols>
    <col min="1" max="1" width="54.28515625" style="48" customWidth="1"/>
    <col min="2" max="2" width="11.140625" style="48" customWidth="1"/>
    <col min="3" max="3" width="53.7109375" style="48" customWidth="1"/>
    <col min="4" max="4" width="45.42578125" style="48" bestFit="1" customWidth="1"/>
    <col min="5" max="8" width="9.140625" style="48"/>
    <col min="9" max="9" width="10.140625" style="31" bestFit="1" customWidth="1"/>
    <col min="10" max="11" width="9.140625" style="31"/>
    <col min="12" max="16384" width="9.140625" style="48"/>
  </cols>
  <sheetData>
    <row r="1" spans="1:11">
      <c r="A1" s="29" t="s">
        <v>231</v>
      </c>
      <c r="B1" s="29"/>
      <c r="C1" s="30"/>
      <c r="D1" s="30"/>
      <c r="E1" s="31"/>
    </row>
    <row r="2" spans="1:11">
      <c r="A2" s="29" t="s">
        <v>232</v>
      </c>
      <c r="B2" s="29"/>
      <c r="C2" s="30"/>
    </row>
    <row r="3" spans="1:11">
      <c r="A3" s="32" t="str">
        <f>+'Changes to Update Template '!C4</f>
        <v>Fiscal Year Ended June 30, 2020</v>
      </c>
      <c r="B3" s="32"/>
      <c r="C3" s="30"/>
      <c r="D3" s="30"/>
    </row>
    <row r="4" spans="1:11" s="63" customFormat="1">
      <c r="A4" s="32"/>
      <c r="B4" s="32"/>
      <c r="C4" s="30"/>
      <c r="D4" s="30"/>
      <c r="I4" s="31"/>
      <c r="J4" s="31"/>
      <c r="K4" s="31"/>
    </row>
    <row r="5" spans="1:11" s="63" customFormat="1">
      <c r="A5" s="32"/>
      <c r="B5" s="32"/>
      <c r="C5" s="30"/>
      <c r="D5" s="30"/>
      <c r="I5" s="31"/>
      <c r="J5" s="31"/>
      <c r="K5" s="31"/>
    </row>
    <row r="6" spans="1:11" s="63" customFormat="1">
      <c r="A6" s="32" t="s">
        <v>693</v>
      </c>
      <c r="B6" s="32"/>
      <c r="C6" s="30"/>
      <c r="D6" s="30"/>
      <c r="I6" s="31"/>
      <c r="J6" s="31"/>
      <c r="K6" s="31"/>
    </row>
    <row r="7" spans="1:11" s="63" customFormat="1">
      <c r="A7" s="32"/>
      <c r="B7" s="32"/>
      <c r="C7" s="30"/>
      <c r="D7" s="30"/>
      <c r="I7" s="31"/>
      <c r="J7" s="31"/>
      <c r="K7" s="31"/>
    </row>
    <row r="8" spans="1:11" s="63" customFormat="1">
      <c r="A8" s="66" t="s">
        <v>1918</v>
      </c>
      <c r="B8" s="32"/>
      <c r="C8" s="30"/>
      <c r="D8" s="30"/>
      <c r="I8" s="31"/>
      <c r="J8" s="31"/>
      <c r="K8" s="31"/>
    </row>
    <row r="9" spans="1:11" s="63" customFormat="1" ht="12.75" customHeight="1">
      <c r="A9" s="66" t="s">
        <v>699</v>
      </c>
      <c r="B9" s="32"/>
      <c r="C9" s="30"/>
      <c r="D9" s="30"/>
      <c r="I9" s="31"/>
      <c r="J9" s="31"/>
      <c r="K9" s="31"/>
    </row>
    <row r="10" spans="1:11" s="63" customFormat="1">
      <c r="A10" s="67" t="s">
        <v>700</v>
      </c>
      <c r="B10" s="32"/>
      <c r="C10" s="30"/>
      <c r="D10" s="30"/>
      <c r="I10" s="31"/>
      <c r="J10" s="31"/>
      <c r="K10" s="31"/>
    </row>
    <row r="11" spans="1:11" s="63" customFormat="1">
      <c r="A11" s="66" t="s">
        <v>1921</v>
      </c>
      <c r="B11" s="32"/>
      <c r="C11" s="30"/>
      <c r="D11" s="30"/>
      <c r="I11" s="31"/>
      <c r="J11" s="31"/>
      <c r="K11" s="31"/>
    </row>
    <row r="12" spans="1:11" s="273" customFormat="1">
      <c r="A12" s="132" t="s">
        <v>3503</v>
      </c>
      <c r="B12" s="274"/>
      <c r="I12" s="132"/>
      <c r="J12" s="132"/>
      <c r="K12" s="132"/>
    </row>
    <row r="13" spans="1:11" s="63" customFormat="1">
      <c r="A13" s="66" t="s">
        <v>1927</v>
      </c>
      <c r="B13" s="32"/>
      <c r="C13" s="30"/>
      <c r="D13" s="30"/>
      <c r="I13" s="31"/>
      <c r="J13" s="31"/>
      <c r="K13" s="31"/>
    </row>
    <row r="14" spans="1:11" s="63" customFormat="1">
      <c r="A14" s="67" t="s">
        <v>694</v>
      </c>
      <c r="B14" s="32"/>
      <c r="C14" s="30"/>
      <c r="D14" s="30"/>
      <c r="I14" s="31"/>
      <c r="J14" s="31"/>
      <c r="K14" s="31"/>
    </row>
    <row r="15" spans="1:11" s="273" customFormat="1">
      <c r="A15" s="132" t="s">
        <v>3529</v>
      </c>
      <c r="B15" s="274"/>
      <c r="C15" s="282" t="str">
        <f>+'Changes to Update Template '!C5</f>
        <v>Info, JE Template, 2020 summary, 2019 summary, 2018 summary, 2017 summary,LGERS Contributions FY 2019, LGERS Contributions FY 2018, LGERS Contributions FY 2017,and Deferred Amort MD 6-30-19 then go to File, Options,</v>
      </c>
      <c r="I15" s="132"/>
      <c r="J15" s="132"/>
      <c r="K15" s="132"/>
    </row>
    <row r="16" spans="1:11" s="63" customFormat="1">
      <c r="A16" s="66" t="s">
        <v>698</v>
      </c>
      <c r="B16" s="32"/>
      <c r="C16" s="30"/>
      <c r="D16" s="30"/>
      <c r="I16" s="31"/>
      <c r="J16" s="31"/>
      <c r="K16" s="31"/>
    </row>
    <row r="17" spans="1:11" s="63" customFormat="1">
      <c r="B17" s="32"/>
      <c r="C17" s="30"/>
      <c r="D17" s="30"/>
      <c r="I17" s="31"/>
      <c r="J17" s="31"/>
      <c r="K17" s="31"/>
    </row>
    <row r="18" spans="1:11" ht="18">
      <c r="A18" s="32"/>
      <c r="B18" s="32"/>
      <c r="C18" s="30"/>
      <c r="D18" s="33"/>
    </row>
    <row r="19" spans="1:11">
      <c r="A19" s="30"/>
      <c r="B19" s="30"/>
      <c r="C19" s="30"/>
      <c r="D19" s="30"/>
    </row>
    <row r="20" spans="1:11">
      <c r="A20" s="120" t="s">
        <v>233</v>
      </c>
      <c r="B20" s="120"/>
      <c r="C20" s="121"/>
      <c r="D20" s="34" t="s">
        <v>695</v>
      </c>
    </row>
    <row r="21" spans="1:11" s="63" customFormat="1">
      <c r="A21" s="120" t="s">
        <v>689</v>
      </c>
      <c r="B21" s="120"/>
      <c r="C21" s="121" t="s">
        <v>691</v>
      </c>
      <c r="D21" s="34" t="s">
        <v>697</v>
      </c>
      <c r="I21" s="31"/>
      <c r="J21" s="31"/>
      <c r="K21" s="31"/>
    </row>
    <row r="22" spans="1:11" ht="12.75" customHeight="1">
      <c r="A22" s="122"/>
      <c r="B22" s="122"/>
      <c r="C22" s="123"/>
      <c r="D22" s="36"/>
    </row>
    <row r="23" spans="1:11">
      <c r="A23" s="122" t="s">
        <v>234</v>
      </c>
      <c r="B23" s="122"/>
      <c r="C23" s="349" t="e">
        <f>VLOOKUP(C20,'2020 summary'!$B$935:$C$1843,2,FALSE)</f>
        <v>#N/A</v>
      </c>
      <c r="D23" s="37"/>
    </row>
    <row r="24" spans="1:11" s="63" customFormat="1">
      <c r="A24" s="122" t="s">
        <v>688</v>
      </c>
      <c r="B24" s="122"/>
      <c r="C24" s="349" t="str">
        <f>VLOOKUP(C21,'2020 summary'!$B$935:$C$1843,2,FALSE)</f>
        <v>N/A</v>
      </c>
      <c r="D24" s="136" t="s">
        <v>1919</v>
      </c>
      <c r="I24" s="31"/>
      <c r="J24" s="31"/>
      <c r="K24" s="31"/>
    </row>
    <row r="25" spans="1:11" ht="13.5" customHeight="1">
      <c r="A25" s="122"/>
      <c r="B25" s="122"/>
      <c r="C25" s="123"/>
      <c r="D25" s="37"/>
    </row>
    <row r="26" spans="1:11" ht="16.5" customHeight="1">
      <c r="A26" s="122" t="s">
        <v>276</v>
      </c>
      <c r="B26" s="122"/>
      <c r="C26" s="350">
        <v>44012</v>
      </c>
      <c r="D26" s="34" t="s">
        <v>3640</v>
      </c>
    </row>
    <row r="27" spans="1:11" s="71" customFormat="1" ht="16.5" hidden="1" customHeight="1">
      <c r="A27" s="122"/>
      <c r="B27" s="122"/>
      <c r="C27" s="351" t="e">
        <f>VLOOKUP(C26,I46:M49,5,FALSE)</f>
        <v>#N/A</v>
      </c>
      <c r="D27" s="34"/>
      <c r="I27" s="31"/>
      <c r="J27" s="31"/>
      <c r="K27" s="31"/>
    </row>
    <row r="28" spans="1:11" s="68" customFormat="1" ht="16.5" customHeight="1">
      <c r="A28" s="124" t="s">
        <v>701</v>
      </c>
      <c r="B28" s="122"/>
      <c r="C28" s="123"/>
      <c r="D28" s="34"/>
      <c r="I28" s="31"/>
      <c r="J28" s="31"/>
      <c r="K28" s="31"/>
    </row>
    <row r="29" spans="1:11" s="68" customFormat="1" ht="16.5" customHeight="1">
      <c r="A29" s="126" t="str">
        <f>VLOOKUP(C26,I49:M52,2,FALSE)</f>
        <v>7/1/2018 through 6/30/2019</v>
      </c>
      <c r="B29" s="127"/>
      <c r="C29" s="352"/>
      <c r="D29" s="34" t="s">
        <v>696</v>
      </c>
      <c r="I29" s="31"/>
      <c r="J29" s="31"/>
      <c r="K29" s="31"/>
    </row>
    <row r="30" spans="1:11" s="76" customFormat="1" ht="10.5" customHeight="1">
      <c r="A30" s="128"/>
      <c r="B30" s="129"/>
      <c r="C30" s="77"/>
      <c r="D30" s="34"/>
      <c r="I30" s="31"/>
      <c r="J30" s="31"/>
      <c r="K30" s="31"/>
    </row>
    <row r="31" spans="1:11" s="76" customFormat="1" ht="18" customHeight="1">
      <c r="A31" s="130" t="str">
        <f>(VLOOKUP(C26,A50:B53,2,FALSE))</f>
        <v>N/A</v>
      </c>
      <c r="B31" s="129"/>
      <c r="C31" s="353"/>
      <c r="D31" s="34" t="str">
        <f>+'Changes to Update Template '!C6</f>
        <v>&lt;&lt; This will be blank if you have a 6/30/2020 fiscal year end.   STEP 4</v>
      </c>
      <c r="I31" s="31"/>
      <c r="J31" s="31"/>
      <c r="K31" s="31"/>
    </row>
    <row r="32" spans="1:11" s="68" customFormat="1">
      <c r="A32" s="122"/>
      <c r="B32" s="122"/>
      <c r="C32" s="125"/>
      <c r="D32" s="34"/>
      <c r="I32" s="31"/>
      <c r="J32" s="31"/>
      <c r="K32" s="31"/>
    </row>
    <row r="33" spans="1:16">
      <c r="A33" s="76" t="str">
        <f>CONCATENATE("Your employer contributions from 7/1/2019 through ",(TEXT(C26,"MM/DD/YYYY")))</f>
        <v>Your employer contributions from 7/1/2019 through 06/30/2020</v>
      </c>
      <c r="B33" s="131"/>
      <c r="C33" s="353"/>
      <c r="D33" s="34" t="s">
        <v>696</v>
      </c>
    </row>
    <row r="34" spans="1:16">
      <c r="A34" s="122"/>
      <c r="B34" s="131"/>
      <c r="C34" s="123"/>
      <c r="D34" s="34"/>
    </row>
    <row r="35" spans="1:16">
      <c r="A35" s="30"/>
      <c r="B35" s="30"/>
      <c r="C35" s="35"/>
      <c r="D35" s="37"/>
    </row>
    <row r="36" spans="1:16" ht="30.75" customHeight="1">
      <c r="A36" s="390" t="s">
        <v>1923</v>
      </c>
      <c r="B36" s="391"/>
      <c r="C36" s="392"/>
      <c r="D36" s="30"/>
    </row>
    <row r="37" spans="1:16" ht="21.75" customHeight="1">
      <c r="A37" s="393" t="s">
        <v>1924</v>
      </c>
      <c r="B37" s="394"/>
      <c r="C37" s="395"/>
      <c r="D37" s="30"/>
    </row>
    <row r="38" spans="1:16" ht="30" customHeight="1">
      <c r="A38" s="396" t="s">
        <v>1925</v>
      </c>
      <c r="B38" s="397"/>
      <c r="C38" s="398"/>
      <c r="D38" s="30"/>
    </row>
    <row r="39" spans="1:16">
      <c r="A39" s="178"/>
      <c r="B39" s="179"/>
      <c r="C39" s="180"/>
      <c r="D39" s="30"/>
    </row>
    <row r="40" spans="1:16">
      <c r="A40" s="30"/>
      <c r="B40" s="30"/>
      <c r="C40" s="30"/>
      <c r="D40" s="66"/>
      <c r="E40" s="31"/>
      <c r="F40" s="31"/>
      <c r="G40" s="31"/>
      <c r="H40" s="31"/>
      <c r="L40" s="31"/>
      <c r="M40" s="31"/>
      <c r="N40" s="31"/>
      <c r="O40" s="31"/>
      <c r="P40" s="31"/>
    </row>
    <row r="41" spans="1:16">
      <c r="A41" s="30"/>
      <c r="B41" s="30"/>
      <c r="C41" s="30"/>
      <c r="D41" s="66"/>
      <c r="E41" s="31"/>
      <c r="F41" s="72"/>
      <c r="G41" s="72"/>
      <c r="H41" s="72"/>
      <c r="L41" s="72"/>
      <c r="M41" s="72"/>
      <c r="N41" s="31"/>
      <c r="O41" s="31"/>
      <c r="P41" s="31"/>
    </row>
    <row r="42" spans="1:16" ht="13.5" customHeight="1">
      <c r="A42" s="30"/>
      <c r="B42" s="30"/>
      <c r="C42" s="30"/>
      <c r="D42" s="66"/>
      <c r="E42" s="31"/>
      <c r="F42" s="72"/>
      <c r="G42" s="72"/>
      <c r="H42" s="72"/>
      <c r="L42" s="72"/>
      <c r="M42" s="72"/>
      <c r="N42" s="31"/>
      <c r="O42" s="31"/>
      <c r="P42" s="31"/>
    </row>
    <row r="43" spans="1:16">
      <c r="A43" s="30"/>
      <c r="B43" s="30"/>
      <c r="C43" s="30"/>
      <c r="D43" s="66"/>
      <c r="E43" s="31"/>
      <c r="F43" s="72"/>
      <c r="G43" s="70"/>
      <c r="H43" s="70"/>
      <c r="L43" s="70"/>
      <c r="M43" s="70"/>
      <c r="N43" s="70"/>
      <c r="O43" s="31"/>
      <c r="P43" s="31"/>
    </row>
    <row r="44" spans="1:16" ht="13.5" hidden="1" thickBot="1">
      <c r="A44" s="30"/>
      <c r="B44" s="30"/>
      <c r="C44" s="30"/>
      <c r="D44" s="66"/>
      <c r="E44" s="31"/>
      <c r="F44" s="72"/>
      <c r="G44" s="70"/>
      <c r="H44" s="70"/>
      <c r="L44" s="70"/>
      <c r="M44" s="70"/>
      <c r="N44" s="70"/>
      <c r="O44" s="31"/>
      <c r="P44" s="31"/>
    </row>
    <row r="45" spans="1:16" hidden="1">
      <c r="A45" s="30"/>
      <c r="B45" s="30"/>
      <c r="C45" s="30"/>
      <c r="D45" s="66"/>
      <c r="E45" s="31"/>
      <c r="F45" s="72"/>
      <c r="G45" s="70"/>
      <c r="H45" s="70"/>
      <c r="I45" s="315"/>
      <c r="J45" s="316"/>
      <c r="K45" s="316"/>
      <c r="L45" s="317"/>
      <c r="M45" s="318"/>
      <c r="N45" s="70"/>
      <c r="O45" s="31"/>
      <c r="P45" s="31"/>
    </row>
    <row r="46" spans="1:16" hidden="1">
      <c r="A46" s="30"/>
      <c r="B46" s="30"/>
      <c r="C46" s="30"/>
      <c r="D46" s="66"/>
      <c r="E46" s="31"/>
      <c r="F46" s="72"/>
      <c r="G46" s="70"/>
      <c r="H46" s="70"/>
      <c r="I46" s="319"/>
      <c r="J46" s="320"/>
      <c r="K46" s="320"/>
      <c r="L46" s="320"/>
      <c r="M46" s="321">
        <v>0</v>
      </c>
      <c r="N46" s="70"/>
      <c r="O46" s="31"/>
      <c r="P46" s="31"/>
    </row>
    <row r="47" spans="1:16" hidden="1">
      <c r="A47" s="30"/>
      <c r="B47" s="30"/>
      <c r="C47" s="30"/>
      <c r="D47" s="66"/>
      <c r="E47" s="31"/>
      <c r="F47" s="72"/>
      <c r="G47" s="70"/>
      <c r="H47" s="70"/>
      <c r="I47" s="319"/>
      <c r="J47" s="320"/>
      <c r="K47" s="320"/>
      <c r="L47" s="320"/>
      <c r="M47" s="321">
        <v>0</v>
      </c>
      <c r="N47" s="70"/>
      <c r="O47" s="31"/>
      <c r="P47" s="31"/>
    </row>
    <row r="48" spans="1:16" hidden="1">
      <c r="A48" s="30"/>
      <c r="B48" s="30"/>
      <c r="C48" s="30"/>
      <c r="D48" s="66"/>
      <c r="E48" s="31"/>
      <c r="F48" s="72"/>
      <c r="G48" s="70"/>
      <c r="H48" s="70"/>
      <c r="I48" s="319"/>
      <c r="J48" s="320"/>
      <c r="K48" s="320"/>
      <c r="L48" s="320"/>
      <c r="M48" s="321">
        <v>0</v>
      </c>
      <c r="N48" s="70"/>
      <c r="O48" s="31"/>
      <c r="P48" s="31"/>
    </row>
    <row r="49" spans="1:16" s="122" customFormat="1" ht="15" hidden="1" customHeight="1" thickBot="1">
      <c r="A49" s="287"/>
      <c r="B49" s="287"/>
      <c r="C49" s="287"/>
      <c r="D49" s="288"/>
      <c r="E49" s="288"/>
      <c r="F49" s="289"/>
      <c r="G49" s="290"/>
      <c r="H49" s="290"/>
      <c r="I49" s="322">
        <f>+'Changes to Update Template '!C20</f>
        <v>43738</v>
      </c>
      <c r="J49" s="323" t="str">
        <f>+'Changes to Update Template '!C24</f>
        <v>7/1/2018 through 9/30/2018</v>
      </c>
      <c r="K49" s="323"/>
      <c r="L49" s="324"/>
      <c r="M49" s="325">
        <v>1</v>
      </c>
      <c r="N49" s="134"/>
      <c r="O49" s="132"/>
      <c r="P49" s="132"/>
    </row>
    <row r="50" spans="1:16" s="122" customFormat="1" ht="15" hidden="1" customHeight="1">
      <c r="A50" s="292">
        <f>+'Changes to Update Template '!C8</f>
        <v>44012</v>
      </c>
      <c r="B50" s="293" t="str">
        <f>+'Changes to Update Template '!C16</f>
        <v>N/A</v>
      </c>
      <c r="C50" s="287"/>
      <c r="D50" s="288" t="s">
        <v>3533</v>
      </c>
      <c r="E50" s="288"/>
      <c r="F50" s="289"/>
      <c r="G50" s="290"/>
      <c r="H50" s="290"/>
      <c r="I50" s="291">
        <f>+'Changes to Update Template '!C21</f>
        <v>43830</v>
      </c>
      <c r="J50" s="288" t="str">
        <f>+'Changes to Update Template '!C25</f>
        <v>7/1/2018 through 12/31/2018</v>
      </c>
      <c r="K50" s="288"/>
      <c r="L50" s="290"/>
      <c r="M50" s="134"/>
      <c r="N50" s="134"/>
      <c r="O50" s="132"/>
      <c r="P50" s="132"/>
    </row>
    <row r="51" spans="1:16" s="122" customFormat="1" ht="15" hidden="1" customHeight="1">
      <c r="A51" s="292">
        <f>+'Changes to Update Template '!C13</f>
        <v>43738</v>
      </c>
      <c r="B51" s="293" t="str">
        <f>+'Changes to Update Template '!C17</f>
        <v>10/1/2018 through 6/30/2019</v>
      </c>
      <c r="C51" s="287"/>
      <c r="D51" s="288"/>
      <c r="E51" s="288"/>
      <c r="F51" s="289"/>
      <c r="G51" s="290"/>
      <c r="H51" s="290"/>
      <c r="I51" s="291">
        <f>+'Changes to Update Template '!C22</f>
        <v>43921</v>
      </c>
      <c r="J51" s="288" t="str">
        <f>+'Changes to Update Template '!C26</f>
        <v>7/1/2018 through 3/31/2019</v>
      </c>
      <c r="K51" s="288"/>
      <c r="L51" s="290"/>
      <c r="M51" s="134"/>
      <c r="N51" s="134"/>
      <c r="O51" s="132"/>
      <c r="P51" s="132"/>
    </row>
    <row r="52" spans="1:16" s="122" customFormat="1" ht="15" hidden="1" customHeight="1">
      <c r="A52" s="292">
        <f>+'Changes to Update Template '!C14</f>
        <v>43830</v>
      </c>
      <c r="B52" s="293" t="str">
        <f>+'Changes to Update Template '!C18</f>
        <v>1/1/2019 through 6/30/2019</v>
      </c>
      <c r="C52" s="292"/>
      <c r="D52" s="288"/>
      <c r="E52" s="288"/>
      <c r="F52" s="289"/>
      <c r="G52" s="289"/>
      <c r="H52" s="289"/>
      <c r="I52" s="291">
        <f>+'Changes to Update Template '!C23</f>
        <v>44012</v>
      </c>
      <c r="J52" s="288" t="str">
        <f>+'Changes to Update Template '!C27</f>
        <v>7/1/2018 through 6/30/2019</v>
      </c>
      <c r="K52" s="288"/>
      <c r="L52" s="290"/>
      <c r="M52" s="133"/>
      <c r="N52" s="134"/>
      <c r="O52" s="132"/>
      <c r="P52" s="132"/>
    </row>
    <row r="53" spans="1:16" s="122" customFormat="1" ht="15" hidden="1" customHeight="1">
      <c r="A53" s="292">
        <f>+'Changes to Update Template '!C15</f>
        <v>43921</v>
      </c>
      <c r="B53" s="293" t="str">
        <f>+'Changes to Update Template '!C19</f>
        <v>4/1/2019 through 6/30/2019</v>
      </c>
      <c r="C53" s="292"/>
      <c r="D53" s="288"/>
      <c r="E53" s="288"/>
      <c r="F53" s="289"/>
      <c r="G53" s="289"/>
      <c r="H53" s="289"/>
      <c r="I53" s="288"/>
      <c r="J53" s="288"/>
      <c r="K53" s="288"/>
      <c r="L53" s="289"/>
      <c r="M53" s="133"/>
      <c r="N53" s="132"/>
      <c r="O53" s="132"/>
      <c r="P53" s="132"/>
    </row>
    <row r="54" spans="1:16" s="122" customFormat="1" ht="15" hidden="1" customHeight="1">
      <c r="A54" s="389"/>
      <c r="B54" s="389"/>
      <c r="C54" s="389"/>
      <c r="D54" s="288"/>
      <c r="E54" s="288"/>
      <c r="F54" s="288"/>
      <c r="G54" s="288"/>
      <c r="H54" s="288"/>
      <c r="I54" s="288"/>
      <c r="J54" s="288"/>
      <c r="K54" s="288"/>
      <c r="L54" s="288"/>
      <c r="M54" s="132"/>
      <c r="N54" s="132"/>
      <c r="O54" s="132"/>
      <c r="P54" s="132"/>
    </row>
    <row r="55" spans="1:16" hidden="1">
      <c r="A55" s="294"/>
      <c r="B55" s="294"/>
      <c r="C55" s="287"/>
      <c r="D55" s="288"/>
      <c r="E55" s="288"/>
      <c r="F55" s="288"/>
      <c r="G55" s="288"/>
      <c r="H55" s="288"/>
      <c r="I55" s="288"/>
      <c r="J55" s="288"/>
      <c r="K55" s="288"/>
      <c r="L55" s="288"/>
      <c r="M55" s="31"/>
      <c r="N55" s="31"/>
      <c r="O55" s="31"/>
      <c r="P55" s="31"/>
    </row>
    <row r="56" spans="1:16" hidden="1">
      <c r="A56" s="287"/>
      <c r="B56" s="287"/>
      <c r="C56" s="287"/>
      <c r="D56" s="288"/>
      <c r="E56" s="288"/>
      <c r="F56" s="288"/>
      <c r="G56" s="288"/>
      <c r="H56" s="288"/>
      <c r="I56" s="288"/>
      <c r="J56" s="288"/>
      <c r="K56" s="288"/>
      <c r="L56" s="288"/>
      <c r="M56" s="31"/>
      <c r="N56" s="31"/>
      <c r="O56" s="31"/>
      <c r="P56" s="31"/>
    </row>
    <row r="57" spans="1:16" hidden="1">
      <c r="A57" s="314" t="s">
        <v>3641</v>
      </c>
      <c r="B57" s="287"/>
      <c r="C57" s="287"/>
      <c r="D57" s="288"/>
      <c r="E57" s="288"/>
      <c r="F57" s="288"/>
      <c r="G57" s="288"/>
      <c r="H57" s="288"/>
      <c r="I57" s="288"/>
      <c r="J57" s="288"/>
      <c r="K57" s="288"/>
      <c r="L57" s="288"/>
      <c r="M57" s="31"/>
      <c r="N57" s="31"/>
      <c r="O57" s="31"/>
      <c r="P57" s="31"/>
    </row>
    <row r="58" spans="1:16" hidden="1">
      <c r="A58" s="292">
        <f>+'Changes to Update Template '!C28</f>
        <v>43738</v>
      </c>
      <c r="B58" s="287"/>
      <c r="C58" s="287"/>
      <c r="D58" s="288"/>
      <c r="E58" s="288"/>
      <c r="F58" s="288"/>
      <c r="G58" s="288"/>
      <c r="H58" s="288"/>
      <c r="I58" s="288"/>
      <c r="J58" s="288"/>
      <c r="K58" s="288"/>
      <c r="L58" s="288"/>
      <c r="M58" s="31"/>
      <c r="N58" s="31"/>
      <c r="O58" s="31"/>
      <c r="P58" s="31"/>
    </row>
    <row r="59" spans="1:16" hidden="1">
      <c r="A59" s="292">
        <f>+'Changes to Update Template '!C29</f>
        <v>43830</v>
      </c>
      <c r="B59" s="287"/>
      <c r="C59" s="287"/>
      <c r="D59" s="288"/>
      <c r="E59" s="288"/>
      <c r="F59" s="288"/>
      <c r="G59" s="288"/>
      <c r="H59" s="288"/>
      <c r="I59" s="288"/>
      <c r="J59" s="288"/>
      <c r="K59" s="288"/>
      <c r="L59" s="288"/>
      <c r="M59" s="31"/>
      <c r="N59" s="31"/>
      <c r="O59" s="31"/>
      <c r="P59" s="31"/>
    </row>
    <row r="60" spans="1:16" hidden="1">
      <c r="A60" s="292">
        <f>+'Changes to Update Template '!C30</f>
        <v>43921</v>
      </c>
      <c r="B60" s="287"/>
      <c r="C60" s="287"/>
      <c r="D60" s="288"/>
      <c r="E60" s="288"/>
      <c r="F60" s="288"/>
      <c r="G60" s="288"/>
      <c r="H60" s="288"/>
      <c r="I60" s="288"/>
      <c r="J60" s="288"/>
      <c r="K60" s="288"/>
      <c r="L60" s="288"/>
      <c r="M60" s="31"/>
      <c r="N60" s="31"/>
      <c r="O60" s="31"/>
      <c r="P60" s="31"/>
    </row>
    <row r="61" spans="1:16" hidden="1">
      <c r="A61" s="292">
        <f>+'Changes to Update Template '!C31</f>
        <v>44012</v>
      </c>
      <c r="B61" s="287"/>
      <c r="C61" s="287"/>
      <c r="D61" s="288"/>
      <c r="E61" s="288"/>
      <c r="F61" s="288"/>
      <c r="G61" s="288"/>
      <c r="H61" s="288"/>
      <c r="I61" s="288"/>
      <c r="J61" s="288"/>
      <c r="K61" s="288"/>
      <c r="L61" s="288"/>
      <c r="M61" s="31"/>
      <c r="N61" s="31"/>
      <c r="O61" s="31"/>
      <c r="P61" s="31"/>
    </row>
    <row r="62" spans="1:16" hidden="1">
      <c r="A62" s="287" t="s">
        <v>3654</v>
      </c>
      <c r="B62" s="287"/>
      <c r="C62" s="287"/>
      <c r="D62" s="288"/>
      <c r="E62" s="288"/>
      <c r="F62" s="288"/>
      <c r="G62" s="288"/>
      <c r="H62" s="288"/>
      <c r="I62" s="288"/>
      <c r="J62" s="288"/>
      <c r="K62" s="288"/>
      <c r="L62" s="288"/>
      <c r="M62" s="31"/>
      <c r="N62" s="31"/>
      <c r="O62" s="31"/>
      <c r="P62" s="31"/>
    </row>
    <row r="63" spans="1:16" hidden="1">
      <c r="A63" s="295">
        <v>1</v>
      </c>
      <c r="B63" s="287"/>
      <c r="C63" s="287"/>
      <c r="D63" s="288"/>
      <c r="E63" s="288"/>
      <c r="F63" s="288"/>
      <c r="G63" s="288"/>
      <c r="H63" s="288"/>
      <c r="I63" s="288"/>
      <c r="J63" s="288"/>
      <c r="K63" s="288"/>
      <c r="L63" s="288"/>
      <c r="M63" s="31"/>
      <c r="N63" s="31"/>
      <c r="O63" s="31"/>
      <c r="P63" s="31"/>
    </row>
    <row r="64" spans="1:16" hidden="1">
      <c r="A64" s="295">
        <v>2</v>
      </c>
      <c r="B64" s="287"/>
      <c r="C64" s="287"/>
      <c r="D64" s="288"/>
      <c r="E64" s="288"/>
      <c r="F64" s="288"/>
      <c r="G64" s="288"/>
      <c r="H64" s="288"/>
      <c r="I64" s="288"/>
      <c r="J64" s="288"/>
      <c r="K64" s="288"/>
      <c r="L64" s="288"/>
      <c r="M64" s="31"/>
      <c r="N64" s="31"/>
      <c r="O64" s="31"/>
      <c r="P64" s="31"/>
    </row>
    <row r="65" spans="1:16" hidden="1">
      <c r="A65" s="287"/>
      <c r="B65" s="287"/>
      <c r="C65" s="287"/>
      <c r="D65" s="288"/>
      <c r="E65" s="288"/>
      <c r="F65" s="288"/>
      <c r="G65" s="288"/>
      <c r="H65" s="288"/>
      <c r="I65" s="288"/>
      <c r="J65" s="288"/>
      <c r="K65" s="288"/>
      <c r="L65" s="288"/>
      <c r="M65" s="31"/>
      <c r="N65" s="31"/>
      <c r="O65" s="31"/>
      <c r="P65" s="31"/>
    </row>
    <row r="66" spans="1:16">
      <c r="D66" s="31"/>
      <c r="E66" s="31"/>
      <c r="F66" s="31"/>
      <c r="G66" s="31"/>
      <c r="H66" s="31"/>
      <c r="L66" s="31"/>
      <c r="M66" s="31"/>
      <c r="N66" s="31"/>
      <c r="O66" s="31"/>
      <c r="P66" s="31"/>
    </row>
    <row r="67" spans="1:16">
      <c r="D67" s="70"/>
      <c r="E67" s="70"/>
      <c r="F67" s="70"/>
      <c r="G67" s="70"/>
      <c r="H67" s="70"/>
      <c r="L67" s="70"/>
      <c r="M67" s="70"/>
      <c r="N67" s="70"/>
      <c r="O67" s="70"/>
      <c r="P67" s="70"/>
    </row>
    <row r="68" spans="1:16">
      <c r="D68" s="70"/>
      <c r="E68" s="70"/>
      <c r="F68" s="70"/>
      <c r="G68" s="70"/>
      <c r="H68" s="70"/>
      <c r="L68" s="70"/>
      <c r="M68" s="70"/>
      <c r="N68" s="70"/>
      <c r="O68" s="70"/>
      <c r="P68" s="70"/>
    </row>
    <row r="69" spans="1:16">
      <c r="D69" s="70"/>
      <c r="E69" s="70"/>
      <c r="F69" s="70"/>
      <c r="G69" s="70"/>
      <c r="H69" s="70"/>
      <c r="L69" s="70"/>
      <c r="M69" s="70"/>
      <c r="N69" s="70"/>
      <c r="O69" s="70"/>
      <c r="P69" s="70"/>
    </row>
    <row r="70" spans="1:16">
      <c r="D70" s="70"/>
      <c r="E70" s="70"/>
      <c r="F70" s="70"/>
      <c r="G70" s="70"/>
      <c r="H70" s="70"/>
      <c r="L70" s="70"/>
      <c r="M70" s="70"/>
      <c r="N70" s="70"/>
      <c r="O70" s="70"/>
      <c r="P70" s="70"/>
    </row>
    <row r="71" spans="1:16">
      <c r="D71" s="70"/>
      <c r="E71" s="70"/>
      <c r="F71" s="70"/>
      <c r="G71" s="70"/>
      <c r="H71" s="70"/>
      <c r="L71" s="70"/>
      <c r="M71" s="70"/>
      <c r="N71" s="70"/>
      <c r="O71" s="70"/>
      <c r="P71" s="70"/>
    </row>
    <row r="72" spans="1:16">
      <c r="D72" s="70"/>
      <c r="E72" s="70"/>
      <c r="F72" s="70"/>
      <c r="G72" s="70"/>
      <c r="H72" s="70"/>
      <c r="L72" s="70"/>
      <c r="M72" s="70"/>
      <c r="N72" s="70"/>
      <c r="O72" s="70"/>
      <c r="P72" s="70"/>
    </row>
    <row r="73" spans="1:16">
      <c r="D73" s="70"/>
      <c r="E73" s="70"/>
      <c r="F73" s="70"/>
      <c r="G73" s="70"/>
      <c r="H73" s="70"/>
      <c r="L73" s="70"/>
      <c r="M73" s="70"/>
      <c r="N73" s="70"/>
      <c r="O73" s="70"/>
      <c r="P73" s="70"/>
    </row>
    <row r="74" spans="1:16">
      <c r="D74" s="70"/>
      <c r="E74" s="70"/>
      <c r="F74" s="70"/>
      <c r="G74" s="70"/>
      <c r="H74" s="70"/>
      <c r="L74" s="70"/>
      <c r="M74" s="70"/>
      <c r="N74" s="70"/>
      <c r="O74" s="70"/>
      <c r="P74" s="70"/>
    </row>
    <row r="75" spans="1:16">
      <c r="D75" s="70"/>
      <c r="E75" s="70"/>
      <c r="F75" s="70"/>
      <c r="G75" s="70"/>
      <c r="H75" s="70"/>
      <c r="L75" s="70"/>
      <c r="M75" s="70"/>
      <c r="N75" s="70"/>
      <c r="O75" s="70"/>
      <c r="P75" s="70"/>
    </row>
    <row r="76" spans="1:16">
      <c r="D76" s="70"/>
      <c r="E76" s="70"/>
      <c r="F76" s="70"/>
      <c r="G76" s="70"/>
      <c r="H76" s="70"/>
      <c r="L76" s="70"/>
      <c r="M76" s="70"/>
      <c r="N76" s="70"/>
      <c r="O76" s="70"/>
      <c r="P76" s="70"/>
    </row>
    <row r="77" spans="1:16">
      <c r="D77" s="70"/>
      <c r="E77" s="70"/>
      <c r="F77" s="70"/>
      <c r="G77" s="70"/>
      <c r="H77" s="70"/>
      <c r="L77" s="70"/>
      <c r="M77" s="70"/>
      <c r="N77" s="70"/>
      <c r="O77" s="70"/>
      <c r="P77" s="70"/>
    </row>
    <row r="78" spans="1:16">
      <c r="D78" s="70"/>
      <c r="E78" s="70"/>
      <c r="F78" s="70"/>
      <c r="G78" s="70"/>
      <c r="H78" s="70"/>
      <c r="L78" s="70"/>
      <c r="M78" s="70"/>
      <c r="N78" s="70"/>
      <c r="O78" s="70"/>
      <c r="P78" s="70"/>
    </row>
    <row r="79" spans="1:16">
      <c r="D79" s="70"/>
      <c r="E79" s="70"/>
      <c r="F79" s="70"/>
      <c r="G79" s="70"/>
      <c r="H79" s="70"/>
      <c r="L79" s="70"/>
      <c r="M79" s="70"/>
      <c r="N79" s="70"/>
      <c r="O79" s="70"/>
      <c r="P79" s="70"/>
    </row>
    <row r="80" spans="1:16">
      <c r="D80" s="70"/>
      <c r="E80" s="70"/>
      <c r="F80" s="70"/>
      <c r="G80" s="70"/>
      <c r="H80" s="70"/>
      <c r="L80" s="70"/>
      <c r="M80" s="70"/>
      <c r="N80" s="70"/>
      <c r="O80" s="70"/>
      <c r="P80" s="70"/>
    </row>
    <row r="81" spans="4:16">
      <c r="D81" s="70"/>
      <c r="E81" s="70"/>
      <c r="F81" s="70"/>
      <c r="G81" s="70"/>
      <c r="H81" s="70"/>
      <c r="L81" s="70"/>
      <c r="M81" s="70"/>
      <c r="N81" s="70"/>
      <c r="O81" s="70"/>
      <c r="P81" s="70"/>
    </row>
    <row r="82" spans="4:16">
      <c r="D82" s="70"/>
      <c r="E82" s="70"/>
      <c r="F82" s="70"/>
      <c r="G82" s="70"/>
      <c r="H82" s="70"/>
      <c r="L82" s="70"/>
      <c r="M82" s="70"/>
      <c r="N82" s="70"/>
      <c r="O82" s="70"/>
      <c r="P82" s="70"/>
    </row>
    <row r="83" spans="4:16">
      <c r="D83" s="70"/>
      <c r="E83" s="70"/>
      <c r="F83" s="70"/>
      <c r="G83" s="70"/>
      <c r="H83" s="70"/>
      <c r="L83" s="70"/>
      <c r="M83" s="70"/>
      <c r="N83" s="70"/>
      <c r="O83" s="70"/>
      <c r="P83" s="70"/>
    </row>
    <row r="84" spans="4:16">
      <c r="D84" s="70"/>
      <c r="E84" s="70"/>
      <c r="F84" s="70"/>
      <c r="G84" s="70"/>
      <c r="H84" s="70"/>
      <c r="L84" s="70"/>
      <c r="M84" s="70"/>
      <c r="N84" s="70"/>
      <c r="O84" s="70"/>
      <c r="P84" s="70"/>
    </row>
    <row r="85" spans="4:16">
      <c r="D85" s="70"/>
      <c r="E85" s="70"/>
      <c r="F85" s="70"/>
      <c r="G85" s="70"/>
      <c r="H85" s="70"/>
      <c r="L85" s="70"/>
      <c r="M85" s="70"/>
      <c r="N85" s="70"/>
      <c r="O85" s="70"/>
      <c r="P85" s="70"/>
    </row>
  </sheetData>
  <sheetProtection password="CEAA" sheet="1" selectLockedCells="1"/>
  <mergeCells count="4">
    <mergeCell ref="A54:C54"/>
    <mergeCell ref="A36:C36"/>
    <mergeCell ref="A37:C37"/>
    <mergeCell ref="A38:C38"/>
  </mergeCells>
  <dataValidations count="1">
    <dataValidation type="list" allowBlank="1" showInputMessage="1" showErrorMessage="1" sqref="C26" xr:uid="{00000000-0002-0000-0000-000000000000}">
      <formula1>$A$58:$A$61</formula1>
    </dataValidation>
  </dataValidations>
  <pageMargins left="0.7" right="0.7" top="0.75" bottom="0.75" header="0.3" footer="0.3"/>
  <pageSetup scale="4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A4A8962-5B5C-406C-BFD8-F7D1246C9BCF}">
          <x14:formula1>
            <xm:f>'2020 summary'!$B$935:$B$1843</xm:f>
          </x14:formula1>
          <xm:sqref>C20</xm:sqref>
        </x14:dataValidation>
        <x14:dataValidation type="list" allowBlank="1" showInputMessage="1" showErrorMessage="1" xr:uid="{00000000-0002-0000-0000-000001000000}">
          <x14:formula1>
            <xm:f>'2019 summary'!$B$931:$B$1843</xm:f>
          </x14:formula1>
          <xm:sqref>C21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445AC-DF22-4DA1-9327-84D086382A7A}">
  <dimension ref="A1:D2339"/>
  <sheetViews>
    <sheetView workbookViewId="0">
      <selection activeCell="B12" sqref="B12"/>
    </sheetView>
  </sheetViews>
  <sheetFormatPr defaultRowHeight="15"/>
  <cols>
    <col min="1" max="1" width="12.140625" style="229" bestFit="1" customWidth="1"/>
    <col min="2" max="2" width="55.5703125" style="229" bestFit="1" customWidth="1"/>
    <col min="3" max="3" width="27" style="105" bestFit="1" customWidth="1"/>
    <col min="4" max="4" width="9.140625" style="229"/>
  </cols>
  <sheetData>
    <row r="1" spans="1:4" ht="15.75" thickBot="1">
      <c r="A1" s="229" t="s">
        <v>3502</v>
      </c>
      <c r="C1" s="265">
        <f>SUM(C4:C897)</f>
        <v>459089443.14000028</v>
      </c>
    </row>
    <row r="2" spans="1:4" ht="15.75" thickTop="1">
      <c r="A2" s="102" t="s">
        <v>1637</v>
      </c>
      <c r="B2" s="102" t="s">
        <v>1638</v>
      </c>
      <c r="C2" s="103" t="s">
        <v>3501</v>
      </c>
      <c r="D2" s="229" t="s">
        <v>1639</v>
      </c>
    </row>
    <row r="3" spans="1:4">
      <c r="A3" s="109" t="s">
        <v>692</v>
      </c>
      <c r="B3" s="108" t="s">
        <v>691</v>
      </c>
      <c r="C3" s="107">
        <v>0</v>
      </c>
    </row>
    <row r="4" spans="1:4">
      <c r="A4" s="229">
        <v>70505</v>
      </c>
      <c r="B4" s="229" t="s">
        <v>727</v>
      </c>
      <c r="C4" s="105">
        <v>195765.21000000002</v>
      </c>
    </row>
    <row r="5" spans="1:4">
      <c r="A5" s="229">
        <v>71786</v>
      </c>
      <c r="B5" s="229" t="s">
        <v>1491</v>
      </c>
      <c r="C5" s="105">
        <v>7060.1</v>
      </c>
    </row>
    <row r="6" spans="1:4">
      <c r="A6" s="229">
        <v>72265</v>
      </c>
      <c r="B6" s="229" t="s">
        <v>728</v>
      </c>
      <c r="C6" s="105">
        <v>61817.369999999995</v>
      </c>
    </row>
    <row r="7" spans="1:4">
      <c r="A7" s="229">
        <v>72593</v>
      </c>
      <c r="B7" s="229" t="s">
        <v>729</v>
      </c>
      <c r="C7" s="105">
        <v>1530.78</v>
      </c>
    </row>
    <row r="8" spans="1:4">
      <c r="A8" s="229">
        <v>72657</v>
      </c>
      <c r="B8" s="229" t="s">
        <v>730</v>
      </c>
      <c r="C8" s="105">
        <v>16620.140000000003</v>
      </c>
    </row>
    <row r="9" spans="1:4">
      <c r="A9" s="229">
        <v>90001</v>
      </c>
      <c r="B9" s="229" t="s">
        <v>731</v>
      </c>
      <c r="C9" s="105">
        <v>386652.24000000005</v>
      </c>
    </row>
    <row r="10" spans="1:4">
      <c r="A10" s="229">
        <v>90002</v>
      </c>
      <c r="B10" s="229" t="s">
        <v>732</v>
      </c>
      <c r="C10" s="105">
        <v>6252.5200000000013</v>
      </c>
    </row>
    <row r="11" spans="1:4">
      <c r="A11" s="229">
        <v>90011</v>
      </c>
      <c r="B11" s="229" t="s">
        <v>733</v>
      </c>
      <c r="C11" s="105">
        <v>84204.77</v>
      </c>
    </row>
    <row r="12" spans="1:4">
      <c r="A12" s="229">
        <v>90092</v>
      </c>
      <c r="B12" s="229" t="s">
        <v>734</v>
      </c>
      <c r="C12" s="105">
        <v>186641.43</v>
      </c>
    </row>
    <row r="13" spans="1:4">
      <c r="A13" s="229">
        <v>90096</v>
      </c>
      <c r="B13" s="229" t="s">
        <v>735</v>
      </c>
      <c r="C13" s="105">
        <v>535126.60000000009</v>
      </c>
    </row>
    <row r="14" spans="1:4">
      <c r="A14" s="229">
        <v>90098</v>
      </c>
      <c r="B14" s="229" t="s">
        <v>736</v>
      </c>
      <c r="C14" s="105">
        <v>140183.54999999999</v>
      </c>
    </row>
    <row r="15" spans="1:4">
      <c r="A15" s="229">
        <v>90099</v>
      </c>
      <c r="B15" s="229" t="s">
        <v>737</v>
      </c>
      <c r="C15" s="105">
        <v>271208.03000000003</v>
      </c>
    </row>
    <row r="16" spans="1:4">
      <c r="A16" s="229">
        <v>90101</v>
      </c>
      <c r="B16" s="229" t="s">
        <v>738</v>
      </c>
      <c r="C16" s="105">
        <v>2960721.15</v>
      </c>
    </row>
    <row r="17" spans="1:3">
      <c r="A17" s="229">
        <v>90111</v>
      </c>
      <c r="B17" s="229" t="s">
        <v>739</v>
      </c>
      <c r="C17" s="105">
        <v>2229765.8200000003</v>
      </c>
    </row>
    <row r="18" spans="1:3">
      <c r="A18" s="229">
        <v>90114</v>
      </c>
      <c r="B18" s="229" t="s">
        <v>740</v>
      </c>
      <c r="C18" s="105">
        <v>1108463.6299999999</v>
      </c>
    </row>
    <row r="19" spans="1:3">
      <c r="A19" s="229">
        <v>90117</v>
      </c>
      <c r="B19" s="229" t="s">
        <v>741</v>
      </c>
      <c r="C19" s="105">
        <v>80146.720000000001</v>
      </c>
    </row>
    <row r="20" spans="1:3">
      <c r="A20" s="229">
        <v>90121</v>
      </c>
      <c r="B20" s="229" t="s">
        <v>742</v>
      </c>
      <c r="C20" s="105">
        <v>452142.02</v>
      </c>
    </row>
    <row r="21" spans="1:3">
      <c r="A21" s="229">
        <v>90131</v>
      </c>
      <c r="B21" s="229" t="s">
        <v>743</v>
      </c>
      <c r="C21" s="105">
        <v>207243.40000000002</v>
      </c>
    </row>
    <row r="22" spans="1:3">
      <c r="A22" s="229">
        <v>90141</v>
      </c>
      <c r="B22" s="229" t="s">
        <v>744</v>
      </c>
      <c r="C22" s="105">
        <v>62654.990000000005</v>
      </c>
    </row>
    <row r="23" spans="1:3">
      <c r="A23" s="229">
        <v>90151</v>
      </c>
      <c r="B23" s="229" t="s">
        <v>745</v>
      </c>
      <c r="C23" s="105">
        <v>3085.3200000000011</v>
      </c>
    </row>
    <row r="24" spans="1:3">
      <c r="A24" s="229">
        <v>90161</v>
      </c>
      <c r="B24" s="229" t="s">
        <v>746</v>
      </c>
      <c r="C24" s="105">
        <v>15626.57</v>
      </c>
    </row>
    <row r="25" spans="1:3">
      <c r="A25" s="229">
        <v>90201</v>
      </c>
      <c r="B25" s="229" t="s">
        <v>747</v>
      </c>
      <c r="C25" s="105">
        <v>536124.22</v>
      </c>
    </row>
    <row r="26" spans="1:3">
      <c r="A26" s="229">
        <v>90203</v>
      </c>
      <c r="B26" s="229" t="s">
        <v>748</v>
      </c>
      <c r="C26" s="105">
        <v>91056.15</v>
      </c>
    </row>
    <row r="27" spans="1:3">
      <c r="A27" s="229">
        <v>90205</v>
      </c>
      <c r="B27" s="229" t="s">
        <v>749</v>
      </c>
      <c r="C27" s="105">
        <v>14232.99</v>
      </c>
    </row>
    <row r="28" spans="1:3">
      <c r="A28" s="229">
        <v>90206</v>
      </c>
      <c r="B28" s="229" t="s">
        <v>750</v>
      </c>
      <c r="C28" s="105">
        <v>184249.21999999997</v>
      </c>
    </row>
    <row r="29" spans="1:3">
      <c r="A29" s="229">
        <v>90211</v>
      </c>
      <c r="B29" s="229" t="s">
        <v>751</v>
      </c>
      <c r="C29" s="105">
        <v>71260.37</v>
      </c>
    </row>
    <row r="30" spans="1:3">
      <c r="A30" s="229">
        <v>90301</v>
      </c>
      <c r="B30" s="229" t="s">
        <v>752</v>
      </c>
      <c r="C30" s="105">
        <v>280575.03000000003</v>
      </c>
    </row>
    <row r="31" spans="1:3">
      <c r="A31" s="229">
        <v>90305</v>
      </c>
      <c r="B31" s="229" t="s">
        <v>753</v>
      </c>
      <c r="C31" s="105">
        <v>85892.08</v>
      </c>
    </row>
    <row r="32" spans="1:3">
      <c r="A32" s="229">
        <v>90307</v>
      </c>
      <c r="B32" s="229" t="s">
        <v>754</v>
      </c>
      <c r="C32" s="105">
        <v>4130.3200000000006</v>
      </c>
    </row>
    <row r="33" spans="1:3">
      <c r="A33" s="229">
        <v>90401</v>
      </c>
      <c r="B33" s="229" t="s">
        <v>755</v>
      </c>
      <c r="C33" s="105">
        <v>624954.77000000014</v>
      </c>
    </row>
    <row r="34" spans="1:3">
      <c r="A34" s="229">
        <v>90411</v>
      </c>
      <c r="B34" s="229" t="s">
        <v>756</v>
      </c>
      <c r="C34" s="105">
        <v>152316.79999999999</v>
      </c>
    </row>
    <row r="35" spans="1:3">
      <c r="A35" s="229">
        <v>90413</v>
      </c>
      <c r="B35" s="229" t="s">
        <v>757</v>
      </c>
      <c r="C35" s="105">
        <v>17002.28</v>
      </c>
    </row>
    <row r="36" spans="1:3">
      <c r="A36" s="229">
        <v>90417</v>
      </c>
      <c r="B36" s="229" t="s">
        <v>758</v>
      </c>
      <c r="C36" s="105">
        <v>8372.39</v>
      </c>
    </row>
    <row r="37" spans="1:3">
      <c r="A37" s="229">
        <v>90421</v>
      </c>
      <c r="B37" s="229" t="s">
        <v>759</v>
      </c>
      <c r="C37" s="105">
        <v>8533.869999999999</v>
      </c>
    </row>
    <row r="38" spans="1:3">
      <c r="A38" s="229">
        <v>90431</v>
      </c>
      <c r="B38" s="229" t="s">
        <v>760</v>
      </c>
      <c r="C38" s="105">
        <v>21843.879999999997</v>
      </c>
    </row>
    <row r="39" spans="1:3">
      <c r="A39" s="229">
        <v>90441</v>
      </c>
      <c r="B39" s="229" t="s">
        <v>761</v>
      </c>
      <c r="C39" s="105">
        <v>4909.9899999999989</v>
      </c>
    </row>
    <row r="40" spans="1:3">
      <c r="A40" s="229">
        <v>90451</v>
      </c>
      <c r="B40" s="229" t="s">
        <v>762</v>
      </c>
      <c r="C40" s="105">
        <v>7776.4400000000014</v>
      </c>
    </row>
    <row r="41" spans="1:3">
      <c r="A41" s="229">
        <v>90461</v>
      </c>
      <c r="B41" s="229" t="s">
        <v>763</v>
      </c>
      <c r="C41" s="105">
        <v>3690.6500000000005</v>
      </c>
    </row>
    <row r="42" spans="1:3">
      <c r="A42" s="229">
        <v>90501</v>
      </c>
      <c r="B42" s="229" t="s">
        <v>764</v>
      </c>
      <c r="C42" s="105">
        <v>670210.41999999993</v>
      </c>
    </row>
    <row r="43" spans="1:3">
      <c r="A43" s="229">
        <v>90507</v>
      </c>
      <c r="B43" s="229" t="s">
        <v>34</v>
      </c>
      <c r="C43" s="105">
        <v>10407.639999999998</v>
      </c>
    </row>
    <row r="44" spans="1:3">
      <c r="A44" s="229">
        <v>90511</v>
      </c>
      <c r="B44" s="229" t="s">
        <v>765</v>
      </c>
      <c r="C44" s="105">
        <v>52403.39</v>
      </c>
    </row>
    <row r="45" spans="1:3">
      <c r="A45" s="229">
        <v>90521</v>
      </c>
      <c r="B45" s="229" t="s">
        <v>766</v>
      </c>
      <c r="C45" s="105">
        <v>56198.41</v>
      </c>
    </row>
    <row r="46" spans="1:3">
      <c r="A46" s="229">
        <v>90601</v>
      </c>
      <c r="B46" s="229" t="s">
        <v>767</v>
      </c>
      <c r="C46" s="105">
        <v>540984.88</v>
      </c>
    </row>
    <row r="47" spans="1:3">
      <c r="A47" s="229">
        <v>90602</v>
      </c>
      <c r="B47" s="229" t="s">
        <v>259</v>
      </c>
      <c r="C47" s="105">
        <v>34827.93</v>
      </c>
    </row>
    <row r="48" spans="1:3">
      <c r="A48" s="229">
        <v>90605</v>
      </c>
      <c r="B48" s="229" t="s">
        <v>768</v>
      </c>
      <c r="C48" s="105">
        <v>25460.899999999998</v>
      </c>
    </row>
    <row r="49" spans="1:3">
      <c r="A49" s="229">
        <v>90611</v>
      </c>
      <c r="B49" s="229" t="s">
        <v>769</v>
      </c>
      <c r="C49" s="105">
        <v>64370.780000000006</v>
      </c>
    </row>
    <row r="50" spans="1:3">
      <c r="A50" s="229">
        <v>90617</v>
      </c>
      <c r="B50" s="229" t="s">
        <v>770</v>
      </c>
      <c r="C50" s="105">
        <v>15820.72</v>
      </c>
    </row>
    <row r="51" spans="1:3">
      <c r="A51" s="229">
        <v>90621</v>
      </c>
      <c r="B51" s="229" t="s">
        <v>771</v>
      </c>
      <c r="C51" s="105">
        <v>27531.68</v>
      </c>
    </row>
    <row r="52" spans="1:3">
      <c r="A52" s="229">
        <v>90631</v>
      </c>
      <c r="B52" s="229" t="s">
        <v>772</v>
      </c>
      <c r="C52" s="105">
        <v>175401.58999999997</v>
      </c>
    </row>
    <row r="53" spans="1:3">
      <c r="A53" s="229">
        <v>90641</v>
      </c>
      <c r="B53" s="229" t="s">
        <v>773</v>
      </c>
      <c r="C53" s="105">
        <v>6943.8999999999987</v>
      </c>
    </row>
    <row r="54" spans="1:3">
      <c r="A54" s="229">
        <v>90651</v>
      </c>
      <c r="B54" s="229" t="s">
        <v>774</v>
      </c>
      <c r="C54" s="105">
        <v>98054.44</v>
      </c>
    </row>
    <row r="55" spans="1:3">
      <c r="A55" s="229">
        <v>90701</v>
      </c>
      <c r="B55" s="229" t="s">
        <v>775</v>
      </c>
      <c r="C55" s="105">
        <v>1110621.1499999994</v>
      </c>
    </row>
    <row r="56" spans="1:3">
      <c r="A56" s="229">
        <v>90704</v>
      </c>
      <c r="B56" s="229" t="s">
        <v>776</v>
      </c>
      <c r="C56" s="105">
        <v>23859.120000000003</v>
      </c>
    </row>
    <row r="57" spans="1:3">
      <c r="A57" s="229">
        <v>90705</v>
      </c>
      <c r="B57" s="229" t="s">
        <v>777</v>
      </c>
      <c r="C57" s="105">
        <v>23099.5</v>
      </c>
    </row>
    <row r="58" spans="1:3">
      <c r="A58" s="229">
        <v>90709</v>
      </c>
      <c r="B58" s="229" t="s">
        <v>778</v>
      </c>
      <c r="C58" s="105">
        <v>61709.799999999996</v>
      </c>
    </row>
    <row r="59" spans="1:3">
      <c r="A59" s="229">
        <v>90711</v>
      </c>
      <c r="B59" s="229" t="s">
        <v>779</v>
      </c>
      <c r="C59" s="105">
        <v>774256.15</v>
      </c>
    </row>
    <row r="60" spans="1:3">
      <c r="A60" s="229">
        <v>90721</v>
      </c>
      <c r="B60" s="229" t="s">
        <v>780</v>
      </c>
      <c r="C60" s="105">
        <v>15288.730000000001</v>
      </c>
    </row>
    <row r="61" spans="1:3">
      <c r="A61" s="229">
        <v>90731</v>
      </c>
      <c r="B61" s="229" t="s">
        <v>781</v>
      </c>
      <c r="C61" s="105">
        <v>79539.97</v>
      </c>
    </row>
    <row r="62" spans="1:3">
      <c r="A62" s="229">
        <v>90741</v>
      </c>
      <c r="B62" s="229" t="s">
        <v>782</v>
      </c>
      <c r="C62" s="105">
        <v>6432.99</v>
      </c>
    </row>
    <row r="63" spans="1:3">
      <c r="A63" s="229">
        <v>90751</v>
      </c>
      <c r="B63" s="229" t="s">
        <v>783</v>
      </c>
      <c r="C63" s="105">
        <v>27590.68</v>
      </c>
    </row>
    <row r="64" spans="1:3">
      <c r="A64" s="229">
        <v>90801</v>
      </c>
      <c r="B64" s="229" t="s">
        <v>784</v>
      </c>
      <c r="C64" s="105">
        <v>521155.69000000006</v>
      </c>
    </row>
    <row r="65" spans="1:3">
      <c r="A65" s="229">
        <v>90804</v>
      </c>
      <c r="B65" s="229" t="s">
        <v>785</v>
      </c>
      <c r="C65" s="105">
        <v>2751.1200000000008</v>
      </c>
    </row>
    <row r="66" spans="1:3">
      <c r="A66" s="229">
        <v>90805</v>
      </c>
      <c r="B66" s="229" t="s">
        <v>786</v>
      </c>
      <c r="C66" s="105">
        <v>35600.44</v>
      </c>
    </row>
    <row r="67" spans="1:3">
      <c r="A67" s="229">
        <v>90808</v>
      </c>
      <c r="B67" s="229" t="s">
        <v>787</v>
      </c>
      <c r="C67" s="105">
        <v>56029.3</v>
      </c>
    </row>
    <row r="68" spans="1:3">
      <c r="A68" s="229">
        <v>90811</v>
      </c>
      <c r="B68" s="229" t="s">
        <v>788</v>
      </c>
      <c r="C68" s="105">
        <v>11655.32</v>
      </c>
    </row>
    <row r="69" spans="1:3">
      <c r="A69" s="229">
        <v>90812</v>
      </c>
      <c r="B69" s="229" t="s">
        <v>789</v>
      </c>
      <c r="C69" s="105">
        <v>105039.99</v>
      </c>
    </row>
    <row r="70" spans="1:3">
      <c r="A70" s="229">
        <v>90813</v>
      </c>
      <c r="B70" s="229" t="s">
        <v>790</v>
      </c>
      <c r="C70" s="105">
        <v>2060.62</v>
      </c>
    </row>
    <row r="71" spans="1:3">
      <c r="A71" s="229">
        <v>90861</v>
      </c>
      <c r="B71" s="229" t="s">
        <v>791</v>
      </c>
      <c r="C71" s="105">
        <v>3702.7200000000007</v>
      </c>
    </row>
    <row r="72" spans="1:3">
      <c r="A72" s="229">
        <v>90901</v>
      </c>
      <c r="B72" s="229" t="s">
        <v>792</v>
      </c>
      <c r="C72" s="105">
        <v>980897.39</v>
      </c>
    </row>
    <row r="73" spans="1:3">
      <c r="A73" s="229">
        <v>90911</v>
      </c>
      <c r="B73" s="229" t="s">
        <v>793</v>
      </c>
      <c r="C73" s="105">
        <v>159535.13999999998</v>
      </c>
    </row>
    <row r="74" spans="1:3">
      <c r="A74" s="229">
        <v>90917</v>
      </c>
      <c r="B74" s="229" t="s">
        <v>794</v>
      </c>
      <c r="C74" s="105">
        <v>5783.6</v>
      </c>
    </row>
    <row r="75" spans="1:3">
      <c r="A75" s="229">
        <v>90918</v>
      </c>
      <c r="B75" s="229" t="s">
        <v>795</v>
      </c>
      <c r="C75" s="105">
        <v>4772.9300000000012</v>
      </c>
    </row>
    <row r="76" spans="1:3">
      <c r="A76" s="229">
        <v>90921</v>
      </c>
      <c r="B76" s="229" t="s">
        <v>796</v>
      </c>
      <c r="C76" s="105">
        <v>59485.69</v>
      </c>
    </row>
    <row r="77" spans="1:3">
      <c r="A77" s="229">
        <v>90931</v>
      </c>
      <c r="B77" s="229" t="s">
        <v>797</v>
      </c>
      <c r="C77" s="105">
        <v>16167.949999999997</v>
      </c>
    </row>
    <row r="78" spans="1:3">
      <c r="A78" s="229">
        <v>90941</v>
      </c>
      <c r="B78" s="229" t="s">
        <v>798</v>
      </c>
      <c r="C78" s="105">
        <v>35454.619999999995</v>
      </c>
    </row>
    <row r="79" spans="1:3">
      <c r="A79" s="229">
        <v>91001</v>
      </c>
      <c r="B79" s="229" t="s">
        <v>799</v>
      </c>
      <c r="C79" s="105">
        <v>2867177.59</v>
      </c>
    </row>
    <row r="80" spans="1:3">
      <c r="A80" s="229">
        <v>91002</v>
      </c>
      <c r="B80" s="229" t="s">
        <v>800</v>
      </c>
      <c r="C80" s="105">
        <v>257314.64999999997</v>
      </c>
    </row>
    <row r="81" spans="1:3">
      <c r="A81" s="229">
        <v>91003</v>
      </c>
      <c r="B81" s="229" t="s">
        <v>801</v>
      </c>
      <c r="C81" s="105">
        <v>268788.57</v>
      </c>
    </row>
    <row r="82" spans="1:3">
      <c r="A82" s="229">
        <v>91004</v>
      </c>
      <c r="B82" s="229" t="s">
        <v>802</v>
      </c>
      <c r="C82" s="105">
        <v>13567.85</v>
      </c>
    </row>
    <row r="83" spans="1:3">
      <c r="A83" s="229">
        <v>91006</v>
      </c>
      <c r="B83" s="229" t="s">
        <v>803</v>
      </c>
      <c r="C83" s="105">
        <v>446629.41</v>
      </c>
    </row>
    <row r="84" spans="1:3">
      <c r="A84" s="229">
        <v>91007</v>
      </c>
      <c r="B84" s="229" t="s">
        <v>804</v>
      </c>
      <c r="C84" s="105">
        <v>9502.15</v>
      </c>
    </row>
    <row r="85" spans="1:3">
      <c r="A85" s="229">
        <v>91008</v>
      </c>
      <c r="B85" s="229" t="s">
        <v>805</v>
      </c>
      <c r="C85" s="105">
        <v>68974.3</v>
      </c>
    </row>
    <row r="86" spans="1:3">
      <c r="A86" s="229">
        <v>91009</v>
      </c>
      <c r="B86" s="229" t="s">
        <v>806</v>
      </c>
      <c r="C86" s="105">
        <v>11391.89</v>
      </c>
    </row>
    <row r="87" spans="1:3">
      <c r="A87" s="229">
        <v>91010</v>
      </c>
      <c r="B87" s="229" t="s">
        <v>807</v>
      </c>
      <c r="C87" s="105">
        <v>32517.29</v>
      </c>
    </row>
    <row r="88" spans="1:3">
      <c r="A88" s="229">
        <v>91011</v>
      </c>
      <c r="B88" s="229" t="s">
        <v>808</v>
      </c>
      <c r="C88" s="105">
        <v>159847.21000000002</v>
      </c>
    </row>
    <row r="89" spans="1:3">
      <c r="A89" s="229">
        <v>91012</v>
      </c>
      <c r="B89" s="229" t="s">
        <v>809</v>
      </c>
      <c r="C89" s="105">
        <v>8622.4599999999991</v>
      </c>
    </row>
    <row r="90" spans="1:3">
      <c r="A90" s="229">
        <v>91013</v>
      </c>
      <c r="B90" s="229" t="s">
        <v>810</v>
      </c>
      <c r="C90" s="105">
        <v>29321.600000000002</v>
      </c>
    </row>
    <row r="91" spans="1:3">
      <c r="A91" s="229">
        <v>91014</v>
      </c>
      <c r="B91" s="229" t="s">
        <v>811</v>
      </c>
      <c r="C91" s="105">
        <v>97691.510000000009</v>
      </c>
    </row>
    <row r="92" spans="1:3">
      <c r="A92" s="229">
        <v>91015</v>
      </c>
      <c r="B92" s="229" t="s">
        <v>1640</v>
      </c>
      <c r="C92" s="105">
        <v>3402</v>
      </c>
    </row>
    <row r="93" spans="1:3">
      <c r="A93" s="229">
        <v>91017</v>
      </c>
      <c r="B93" s="229" t="s">
        <v>812</v>
      </c>
      <c r="C93" s="105">
        <v>12461.869999999999</v>
      </c>
    </row>
    <row r="94" spans="1:3">
      <c r="A94" s="229">
        <v>91020</v>
      </c>
      <c r="B94" s="229" t="s">
        <v>813</v>
      </c>
      <c r="C94" s="105">
        <v>10948.67</v>
      </c>
    </row>
    <row r="95" spans="1:3">
      <c r="A95" s="229">
        <v>91021</v>
      </c>
      <c r="B95" s="229" t="s">
        <v>814</v>
      </c>
      <c r="C95" s="105">
        <v>387781.66</v>
      </c>
    </row>
    <row r="96" spans="1:3">
      <c r="A96" s="229">
        <v>91024</v>
      </c>
      <c r="B96" s="229" t="s">
        <v>815</v>
      </c>
      <c r="C96" s="105">
        <v>34457.870000000003</v>
      </c>
    </row>
    <row r="97" spans="1:3">
      <c r="A97" s="229">
        <v>91026</v>
      </c>
      <c r="B97" s="229" t="s">
        <v>43</v>
      </c>
      <c r="C97" s="105">
        <v>40780.620000000003</v>
      </c>
    </row>
    <row r="98" spans="1:3">
      <c r="A98" s="229">
        <v>91027</v>
      </c>
      <c r="B98" s="229" t="s">
        <v>816</v>
      </c>
      <c r="C98" s="105">
        <v>15968.389999999998</v>
      </c>
    </row>
    <row r="99" spans="1:3">
      <c r="A99" s="229">
        <v>91032</v>
      </c>
      <c r="B99" s="229" t="s">
        <v>817</v>
      </c>
      <c r="C99" s="105">
        <v>16167.770000000002</v>
      </c>
    </row>
    <row r="100" spans="1:3">
      <c r="A100" s="229">
        <v>91041</v>
      </c>
      <c r="B100" s="229" t="s">
        <v>818</v>
      </c>
      <c r="C100" s="105">
        <v>157510.79</v>
      </c>
    </row>
    <row r="101" spans="1:3">
      <c r="A101" s="229">
        <v>91042</v>
      </c>
      <c r="B101" s="229" t="s">
        <v>819</v>
      </c>
      <c r="C101" s="105">
        <v>99550.59</v>
      </c>
    </row>
    <row r="102" spans="1:3">
      <c r="A102" s="229">
        <v>91047</v>
      </c>
      <c r="B102" s="229" t="s">
        <v>820</v>
      </c>
      <c r="C102" s="105">
        <v>16395.95</v>
      </c>
    </row>
    <row r="103" spans="1:3">
      <c r="A103" s="229">
        <v>91051</v>
      </c>
      <c r="B103" s="229" t="s">
        <v>821</v>
      </c>
      <c r="C103" s="105">
        <v>30963.920000000006</v>
      </c>
    </row>
    <row r="104" spans="1:3">
      <c r="A104" s="229">
        <v>91057</v>
      </c>
      <c r="B104" s="229" t="s">
        <v>822</v>
      </c>
      <c r="C104" s="105">
        <v>9616.17</v>
      </c>
    </row>
    <row r="105" spans="1:3">
      <c r="A105" s="229">
        <v>91061</v>
      </c>
      <c r="B105" s="229" t="s">
        <v>823</v>
      </c>
      <c r="C105" s="105">
        <v>172504.15000000002</v>
      </c>
    </row>
    <row r="106" spans="1:3">
      <c r="A106" s="229">
        <v>91067</v>
      </c>
      <c r="B106" s="229" t="s">
        <v>824</v>
      </c>
      <c r="C106" s="105">
        <v>9046.159999999998</v>
      </c>
    </row>
    <row r="107" spans="1:3">
      <c r="A107" s="229">
        <v>91071</v>
      </c>
      <c r="B107" s="229" t="s">
        <v>825</v>
      </c>
      <c r="C107" s="105">
        <v>93244.52</v>
      </c>
    </row>
    <row r="108" spans="1:3">
      <c r="A108" s="229">
        <v>91077</v>
      </c>
      <c r="B108" s="229" t="s">
        <v>826</v>
      </c>
      <c r="C108" s="105">
        <v>3277.2500000000005</v>
      </c>
    </row>
    <row r="109" spans="1:3">
      <c r="A109" s="229">
        <v>91081</v>
      </c>
      <c r="B109" s="229" t="s">
        <v>827</v>
      </c>
      <c r="C109" s="105">
        <v>169111.91999999998</v>
      </c>
    </row>
    <row r="110" spans="1:3">
      <c r="A110" s="229">
        <v>91091</v>
      </c>
      <c r="B110" s="229" t="s">
        <v>828</v>
      </c>
      <c r="C110" s="105">
        <v>225749.38999999998</v>
      </c>
    </row>
    <row r="111" spans="1:3">
      <c r="A111" s="229">
        <v>91101</v>
      </c>
      <c r="B111" s="229" t="s">
        <v>829</v>
      </c>
      <c r="C111" s="105">
        <v>5894550.5700000012</v>
      </c>
    </row>
    <row r="112" spans="1:3">
      <c r="A112" s="229">
        <v>91102</v>
      </c>
      <c r="B112" s="229" t="s">
        <v>830</v>
      </c>
      <c r="C112" s="105">
        <v>156560.34</v>
      </c>
    </row>
    <row r="113" spans="1:3">
      <c r="A113" s="229">
        <v>91104</v>
      </c>
      <c r="B113" s="229" t="s">
        <v>831</v>
      </c>
      <c r="C113" s="105">
        <v>5627.5300000000007</v>
      </c>
    </row>
    <row r="114" spans="1:3">
      <c r="A114" s="229">
        <v>91107</v>
      </c>
      <c r="B114" s="229" t="s">
        <v>832</v>
      </c>
      <c r="C114" s="105">
        <v>36616.22</v>
      </c>
    </row>
    <row r="115" spans="1:3">
      <c r="A115" s="229">
        <v>91108</v>
      </c>
      <c r="B115" s="229" t="s">
        <v>833</v>
      </c>
      <c r="C115" s="105">
        <v>613475.99</v>
      </c>
    </row>
    <row r="116" spans="1:3">
      <c r="A116" s="229">
        <v>91109</v>
      </c>
      <c r="B116" s="229" t="s">
        <v>834</v>
      </c>
      <c r="C116" s="105">
        <v>45066.209999999992</v>
      </c>
    </row>
    <row r="117" spans="1:3">
      <c r="A117" s="229">
        <v>91111</v>
      </c>
      <c r="B117" s="229" t="s">
        <v>835</v>
      </c>
      <c r="C117" s="105">
        <v>110902.83</v>
      </c>
    </row>
    <row r="118" spans="1:3">
      <c r="A118" s="229">
        <v>91120</v>
      </c>
      <c r="B118" s="229" t="s">
        <v>836</v>
      </c>
      <c r="C118" s="105">
        <v>45448.52</v>
      </c>
    </row>
    <row r="119" spans="1:3">
      <c r="A119" s="229">
        <v>91121</v>
      </c>
      <c r="B119" s="229" t="s">
        <v>837</v>
      </c>
      <c r="C119" s="105">
        <v>4272051.3500000006</v>
      </c>
    </row>
    <row r="120" spans="1:3">
      <c r="A120" s="229">
        <v>91127</v>
      </c>
      <c r="B120" s="229" t="s">
        <v>838</v>
      </c>
      <c r="C120" s="105">
        <v>146935.43</v>
      </c>
    </row>
    <row r="121" spans="1:3">
      <c r="A121" s="229">
        <v>91128</v>
      </c>
      <c r="B121" s="229" t="s">
        <v>839</v>
      </c>
      <c r="C121" s="105">
        <v>238305.36999999997</v>
      </c>
    </row>
    <row r="122" spans="1:3">
      <c r="A122" s="229">
        <v>91138</v>
      </c>
      <c r="B122" s="229" t="s">
        <v>840</v>
      </c>
      <c r="C122" s="105">
        <v>220646.32000000004</v>
      </c>
    </row>
    <row r="123" spans="1:3">
      <c r="A123" s="229">
        <v>91141</v>
      </c>
      <c r="B123" s="229" t="s">
        <v>841</v>
      </c>
      <c r="C123" s="105">
        <v>236315.18</v>
      </c>
    </row>
    <row r="124" spans="1:3">
      <c r="A124" s="229">
        <v>91147</v>
      </c>
      <c r="B124" s="229" t="s">
        <v>842</v>
      </c>
      <c r="C124" s="105">
        <v>12125.199999999999</v>
      </c>
    </row>
    <row r="125" spans="1:3">
      <c r="A125" s="229">
        <v>91151</v>
      </c>
      <c r="B125" s="229" t="s">
        <v>843</v>
      </c>
      <c r="C125" s="105">
        <v>254759.84000000003</v>
      </c>
    </row>
    <row r="126" spans="1:3">
      <c r="A126" s="229">
        <v>91154</v>
      </c>
      <c r="B126" s="229" t="s">
        <v>844</v>
      </c>
      <c r="C126" s="105">
        <v>10901.680000000002</v>
      </c>
    </row>
    <row r="127" spans="1:3">
      <c r="A127" s="229">
        <v>91161</v>
      </c>
      <c r="B127" s="229" t="s">
        <v>845</v>
      </c>
      <c r="C127" s="105">
        <v>44456.920000000006</v>
      </c>
    </row>
    <row r="128" spans="1:3">
      <c r="A128" s="229">
        <v>91171</v>
      </c>
      <c r="B128" s="229" t="s">
        <v>846</v>
      </c>
      <c r="C128" s="105">
        <v>93650.89</v>
      </c>
    </row>
    <row r="129" spans="1:3">
      <c r="A129" s="229">
        <v>91201</v>
      </c>
      <c r="B129" s="229" t="s">
        <v>847</v>
      </c>
      <c r="C129" s="105">
        <v>970290.71999999974</v>
      </c>
    </row>
    <row r="130" spans="1:3">
      <c r="A130" s="229">
        <v>91202</v>
      </c>
      <c r="B130" s="229" t="s">
        <v>848</v>
      </c>
      <c r="C130" s="105">
        <v>96478.459999999992</v>
      </c>
    </row>
    <row r="131" spans="1:3">
      <c r="A131" s="229">
        <v>91203</v>
      </c>
      <c r="B131" s="229" t="s">
        <v>849</v>
      </c>
      <c r="C131" s="105">
        <v>127249.16000000002</v>
      </c>
    </row>
    <row r="132" spans="1:3">
      <c r="A132" s="229">
        <v>91206</v>
      </c>
      <c r="B132" s="229" t="s">
        <v>850</v>
      </c>
      <c r="C132" s="105">
        <v>388200.35</v>
      </c>
    </row>
    <row r="133" spans="1:3">
      <c r="A133" s="229">
        <v>91208</v>
      </c>
      <c r="B133" s="229" t="s">
        <v>851</v>
      </c>
      <c r="C133" s="105">
        <v>6397.7599999999993</v>
      </c>
    </row>
    <row r="134" spans="1:3">
      <c r="A134" s="229">
        <v>91211</v>
      </c>
      <c r="B134" s="229" t="s">
        <v>852</v>
      </c>
      <c r="C134" s="105">
        <v>223513.02000000002</v>
      </c>
    </row>
    <row r="135" spans="1:3">
      <c r="A135" s="229">
        <v>91213</v>
      </c>
      <c r="B135" s="229" t="s">
        <v>853</v>
      </c>
      <c r="C135" s="105">
        <v>12090.400000000001</v>
      </c>
    </row>
    <row r="136" spans="1:3">
      <c r="A136" s="229">
        <v>91214</v>
      </c>
      <c r="B136" s="229" t="s">
        <v>854</v>
      </c>
      <c r="C136" s="105">
        <v>9668.68</v>
      </c>
    </row>
    <row r="137" spans="1:3">
      <c r="A137" s="229">
        <v>91217</v>
      </c>
      <c r="B137" s="229" t="s">
        <v>855</v>
      </c>
      <c r="C137" s="105">
        <v>14934.26</v>
      </c>
    </row>
    <row r="138" spans="1:3">
      <c r="A138" s="229">
        <v>91221</v>
      </c>
      <c r="B138" s="229" t="s">
        <v>856</v>
      </c>
      <c r="C138" s="105">
        <v>59449.12999999999</v>
      </c>
    </row>
    <row r="139" spans="1:3">
      <c r="A139" s="229">
        <v>91231</v>
      </c>
      <c r="B139" s="229" t="s">
        <v>857</v>
      </c>
      <c r="C139" s="105">
        <v>867955.41</v>
      </c>
    </row>
    <row r="140" spans="1:3">
      <c r="A140" s="229">
        <v>91233</v>
      </c>
      <c r="B140" s="229" t="s">
        <v>858</v>
      </c>
      <c r="C140" s="105">
        <v>21828.269999999997</v>
      </c>
    </row>
    <row r="141" spans="1:3">
      <c r="A141" s="229">
        <v>91241</v>
      </c>
      <c r="B141" s="229" t="s">
        <v>859</v>
      </c>
      <c r="C141" s="105">
        <v>17215.53</v>
      </c>
    </row>
    <row r="142" spans="1:3">
      <c r="A142" s="229">
        <v>91251</v>
      </c>
      <c r="B142" s="229" t="s">
        <v>860</v>
      </c>
      <c r="C142" s="105">
        <v>11338.78</v>
      </c>
    </row>
    <row r="143" spans="1:3">
      <c r="A143" s="229">
        <v>91261</v>
      </c>
      <c r="B143" s="229" t="s">
        <v>861</v>
      </c>
      <c r="C143" s="105">
        <v>4665.82</v>
      </c>
    </row>
    <row r="144" spans="1:3">
      <c r="A144" s="229">
        <v>91301</v>
      </c>
      <c r="B144" s="229" t="s">
        <v>862</v>
      </c>
      <c r="C144" s="105">
        <v>3428603.0299999993</v>
      </c>
    </row>
    <row r="145" spans="1:3">
      <c r="A145" s="229">
        <v>91302</v>
      </c>
      <c r="B145" s="229" t="s">
        <v>863</v>
      </c>
      <c r="C145" s="105">
        <v>259187.16</v>
      </c>
    </row>
    <row r="146" spans="1:3">
      <c r="A146" s="229">
        <v>91306</v>
      </c>
      <c r="B146" s="229" t="s">
        <v>864</v>
      </c>
      <c r="C146" s="105">
        <v>766697.58</v>
      </c>
    </row>
    <row r="147" spans="1:3">
      <c r="A147" s="229">
        <v>91308</v>
      </c>
      <c r="B147" s="229" t="s">
        <v>865</v>
      </c>
      <c r="C147" s="105">
        <v>80232.03</v>
      </c>
    </row>
    <row r="148" spans="1:3">
      <c r="A148" s="229">
        <v>91311</v>
      </c>
      <c r="B148" s="229" t="s">
        <v>866</v>
      </c>
      <c r="C148" s="105">
        <v>3305761.2899999996</v>
      </c>
    </row>
    <row r="149" spans="1:3">
      <c r="A149" s="229">
        <v>91317</v>
      </c>
      <c r="B149" s="229" t="s">
        <v>867</v>
      </c>
      <c r="C149" s="105">
        <v>50865.250000000007</v>
      </c>
    </row>
    <row r="150" spans="1:3">
      <c r="A150" s="229">
        <v>91321</v>
      </c>
      <c r="B150" s="229" t="s">
        <v>868</v>
      </c>
      <c r="C150" s="105">
        <v>37213.020000000004</v>
      </c>
    </row>
    <row r="151" spans="1:3">
      <c r="A151" s="229">
        <v>91327</v>
      </c>
      <c r="B151" s="229" t="s">
        <v>869</v>
      </c>
      <c r="C151" s="105">
        <v>4494.54</v>
      </c>
    </row>
    <row r="152" spans="1:3">
      <c r="A152" s="229">
        <v>91331</v>
      </c>
      <c r="B152" s="229" t="s">
        <v>870</v>
      </c>
      <c r="C152" s="105">
        <v>1190887.2599999998</v>
      </c>
    </row>
    <row r="153" spans="1:3">
      <c r="A153" s="229">
        <v>91341</v>
      </c>
      <c r="B153" s="229" t="s">
        <v>871</v>
      </c>
      <c r="C153" s="105">
        <v>9160.6</v>
      </c>
    </row>
    <row r="154" spans="1:3">
      <c r="A154" s="229">
        <v>91401</v>
      </c>
      <c r="B154" s="229" t="s">
        <v>872</v>
      </c>
      <c r="C154" s="105">
        <v>1559429.54</v>
      </c>
    </row>
    <row r="155" spans="1:3">
      <c r="A155" s="229">
        <v>91411</v>
      </c>
      <c r="B155" s="229" t="s">
        <v>873</v>
      </c>
      <c r="C155" s="105">
        <v>168365.22</v>
      </c>
    </row>
    <row r="156" spans="1:3">
      <c r="A156" s="229">
        <v>91417</v>
      </c>
      <c r="B156" s="229" t="s">
        <v>874</v>
      </c>
      <c r="C156" s="105">
        <v>5288.7199999999993</v>
      </c>
    </row>
    <row r="157" spans="1:3">
      <c r="A157" s="229">
        <v>91421</v>
      </c>
      <c r="B157" s="229" t="s">
        <v>875</v>
      </c>
      <c r="C157" s="105">
        <v>36488.130000000005</v>
      </c>
    </row>
    <row r="158" spans="1:3">
      <c r="A158" s="229">
        <v>91423</v>
      </c>
      <c r="B158" s="229" t="s">
        <v>876</v>
      </c>
      <c r="C158" s="105">
        <v>20619.55</v>
      </c>
    </row>
    <row r="159" spans="1:3">
      <c r="A159" s="229">
        <v>91431</v>
      </c>
      <c r="B159" s="229" t="s">
        <v>877</v>
      </c>
      <c r="C159" s="105">
        <v>80269.81</v>
      </c>
    </row>
    <row r="160" spans="1:3">
      <c r="A160" s="229">
        <v>91441</v>
      </c>
      <c r="B160" s="229" t="s">
        <v>878</v>
      </c>
      <c r="C160" s="105">
        <v>316617.68</v>
      </c>
    </row>
    <row r="161" spans="1:3">
      <c r="A161" s="229">
        <v>91451</v>
      </c>
      <c r="B161" s="229" t="s">
        <v>879</v>
      </c>
      <c r="C161" s="105">
        <v>670223.22</v>
      </c>
    </row>
    <row r="162" spans="1:3">
      <c r="A162" s="229">
        <v>91457</v>
      </c>
      <c r="B162" s="229" t="s">
        <v>880</v>
      </c>
      <c r="C162" s="105">
        <v>30669.55</v>
      </c>
    </row>
    <row r="163" spans="1:3">
      <c r="A163" s="229">
        <v>91461</v>
      </c>
      <c r="B163" s="229" t="s">
        <v>881</v>
      </c>
      <c r="C163" s="105">
        <v>2932.1999999999994</v>
      </c>
    </row>
    <row r="164" spans="1:3">
      <c r="A164" s="229">
        <v>91501</v>
      </c>
      <c r="B164" s="229" t="s">
        <v>882</v>
      </c>
      <c r="C164" s="105">
        <v>231245.95999999996</v>
      </c>
    </row>
    <row r="165" spans="1:3">
      <c r="A165" s="229">
        <v>91504</v>
      </c>
      <c r="B165" s="229" t="s">
        <v>883</v>
      </c>
      <c r="C165" s="105">
        <v>6531.2399999999989</v>
      </c>
    </row>
    <row r="166" spans="1:3">
      <c r="A166" s="229">
        <v>91601</v>
      </c>
      <c r="B166" s="229" t="s">
        <v>884</v>
      </c>
      <c r="C166" s="105">
        <v>1323805.4799999997</v>
      </c>
    </row>
    <row r="167" spans="1:3">
      <c r="A167" s="229">
        <v>91604</v>
      </c>
      <c r="B167" s="229" t="s">
        <v>885</v>
      </c>
      <c r="C167" s="105">
        <v>50507.07</v>
      </c>
    </row>
    <row r="168" spans="1:3">
      <c r="A168" s="229">
        <v>91608</v>
      </c>
      <c r="B168" s="229" t="s">
        <v>886</v>
      </c>
      <c r="C168" s="105">
        <v>45013.06</v>
      </c>
    </row>
    <row r="169" spans="1:3">
      <c r="A169" s="229">
        <v>91611</v>
      </c>
      <c r="B169" s="229" t="s">
        <v>887</v>
      </c>
      <c r="C169" s="105">
        <v>598448.54</v>
      </c>
    </row>
    <row r="170" spans="1:3">
      <c r="A170" s="229">
        <v>91621</v>
      </c>
      <c r="B170" s="229" t="s">
        <v>888</v>
      </c>
      <c r="C170" s="105">
        <v>108513.93999999999</v>
      </c>
    </row>
    <row r="171" spans="1:3">
      <c r="A171" s="229">
        <v>91631</v>
      </c>
      <c r="B171" s="229" t="s">
        <v>889</v>
      </c>
      <c r="C171" s="105">
        <v>219721.63</v>
      </c>
    </row>
    <row r="172" spans="1:3">
      <c r="A172" s="229">
        <v>91633</v>
      </c>
      <c r="B172" s="229" t="s">
        <v>890</v>
      </c>
      <c r="C172" s="105">
        <v>11021.91</v>
      </c>
    </row>
    <row r="173" spans="1:3">
      <c r="A173" s="229">
        <v>91641</v>
      </c>
      <c r="B173" s="229" t="s">
        <v>891</v>
      </c>
      <c r="C173" s="105">
        <v>104378.45</v>
      </c>
    </row>
    <row r="174" spans="1:3">
      <c r="A174" s="229">
        <v>91651</v>
      </c>
      <c r="B174" s="229" t="s">
        <v>892</v>
      </c>
      <c r="C174" s="105">
        <v>205102.34999999998</v>
      </c>
    </row>
    <row r="175" spans="1:3">
      <c r="A175" s="229">
        <v>91661</v>
      </c>
      <c r="B175" s="229" t="s">
        <v>893</v>
      </c>
      <c r="C175" s="105">
        <v>56240.800000000003</v>
      </c>
    </row>
    <row r="176" spans="1:3">
      <c r="A176" s="229">
        <v>91671</v>
      </c>
      <c r="B176" s="229" t="s">
        <v>894</v>
      </c>
      <c r="C176" s="105">
        <v>43651.26</v>
      </c>
    </row>
    <row r="177" spans="1:3">
      <c r="A177" s="229">
        <v>91681</v>
      </c>
      <c r="B177" s="229" t="s">
        <v>895</v>
      </c>
      <c r="C177" s="105">
        <v>387831.85</v>
      </c>
    </row>
    <row r="178" spans="1:3">
      <c r="A178" s="229">
        <v>91691</v>
      </c>
      <c r="B178" s="229" t="s">
        <v>896</v>
      </c>
      <c r="C178" s="105">
        <v>10219.230000000003</v>
      </c>
    </row>
    <row r="179" spans="1:3">
      <c r="A179" s="229">
        <v>91701</v>
      </c>
      <c r="B179" s="229" t="s">
        <v>897</v>
      </c>
      <c r="C179" s="105">
        <v>542905.62</v>
      </c>
    </row>
    <row r="180" spans="1:3">
      <c r="A180" s="229">
        <v>91704</v>
      </c>
      <c r="B180" s="229" t="s">
        <v>898</v>
      </c>
      <c r="C180" s="105">
        <v>7505.7499999999982</v>
      </c>
    </row>
    <row r="181" spans="1:3">
      <c r="A181" s="229">
        <v>91706</v>
      </c>
      <c r="B181" s="229" t="s">
        <v>899</v>
      </c>
      <c r="C181" s="105">
        <v>121962.5</v>
      </c>
    </row>
    <row r="182" spans="1:3">
      <c r="A182" s="229">
        <v>91719</v>
      </c>
      <c r="B182" s="229" t="s">
        <v>900</v>
      </c>
      <c r="C182" s="105">
        <v>19656.21</v>
      </c>
    </row>
    <row r="183" spans="1:3">
      <c r="A183" s="229">
        <v>91801</v>
      </c>
      <c r="B183" s="229" t="s">
        <v>901</v>
      </c>
      <c r="C183" s="105">
        <v>3752769.06</v>
      </c>
    </row>
    <row r="184" spans="1:3">
      <c r="A184" s="229">
        <v>91804</v>
      </c>
      <c r="B184" s="229" t="s">
        <v>902</v>
      </c>
      <c r="C184" s="105">
        <v>95886.299999999988</v>
      </c>
    </row>
    <row r="185" spans="1:3">
      <c r="A185" s="229">
        <v>91811</v>
      </c>
      <c r="B185" s="229" t="s">
        <v>903</v>
      </c>
      <c r="C185" s="105">
        <v>1964157.7199999997</v>
      </c>
    </row>
    <row r="186" spans="1:3">
      <c r="A186" s="229">
        <v>91812</v>
      </c>
      <c r="B186" s="229" t="s">
        <v>904</v>
      </c>
      <c r="C186" s="105">
        <v>26136.170000000006</v>
      </c>
    </row>
    <row r="187" spans="1:3">
      <c r="A187" s="229">
        <v>91813</v>
      </c>
      <c r="B187" s="229" t="s">
        <v>905</v>
      </c>
      <c r="C187" s="105">
        <v>44451.83</v>
      </c>
    </row>
    <row r="188" spans="1:3">
      <c r="A188" s="229">
        <v>91818</v>
      </c>
      <c r="B188" s="229" t="s">
        <v>906</v>
      </c>
      <c r="C188" s="105">
        <v>453408.54</v>
      </c>
    </row>
    <row r="189" spans="1:3">
      <c r="A189" s="229">
        <v>91819</v>
      </c>
      <c r="B189" s="229" t="s">
        <v>907</v>
      </c>
      <c r="C189" s="105">
        <v>138657.20000000001</v>
      </c>
    </row>
    <row r="190" spans="1:3">
      <c r="A190" s="229">
        <v>91821</v>
      </c>
      <c r="B190" s="229" t="s">
        <v>908</v>
      </c>
      <c r="C190" s="105">
        <v>71126.36</v>
      </c>
    </row>
    <row r="191" spans="1:3">
      <c r="A191" s="229">
        <v>91831</v>
      </c>
      <c r="B191" s="229" t="s">
        <v>909</v>
      </c>
      <c r="C191" s="105">
        <v>150177.89000000001</v>
      </c>
    </row>
    <row r="192" spans="1:3">
      <c r="A192" s="229">
        <v>91841</v>
      </c>
      <c r="B192" s="229" t="s">
        <v>910</v>
      </c>
      <c r="C192" s="105">
        <v>126479.15999999997</v>
      </c>
    </row>
    <row r="193" spans="1:3">
      <c r="A193" s="229">
        <v>91851</v>
      </c>
      <c r="B193" s="229" t="s">
        <v>911</v>
      </c>
      <c r="C193" s="105">
        <v>326836.36</v>
      </c>
    </row>
    <row r="194" spans="1:3">
      <c r="A194" s="229">
        <v>91861</v>
      </c>
      <c r="B194" s="229" t="s">
        <v>912</v>
      </c>
      <c r="C194" s="105">
        <v>8022.880000000001</v>
      </c>
    </row>
    <row r="195" spans="1:3">
      <c r="A195" s="229">
        <v>91871</v>
      </c>
      <c r="B195" s="229" t="s">
        <v>913</v>
      </c>
      <c r="C195" s="105">
        <v>588754.54</v>
      </c>
    </row>
    <row r="196" spans="1:3">
      <c r="A196" s="229">
        <v>91881</v>
      </c>
      <c r="B196" s="229" t="s">
        <v>914</v>
      </c>
      <c r="C196" s="105">
        <v>6384.2999999999993</v>
      </c>
    </row>
    <row r="197" spans="1:3">
      <c r="A197" s="229">
        <v>91901</v>
      </c>
      <c r="B197" s="229" t="s">
        <v>915</v>
      </c>
      <c r="C197" s="105">
        <v>1652492.4700000002</v>
      </c>
    </row>
    <row r="198" spans="1:3">
      <c r="A198" s="229">
        <v>91903</v>
      </c>
      <c r="B198" s="229" t="s">
        <v>916</v>
      </c>
      <c r="C198" s="105">
        <v>5738.8700000000008</v>
      </c>
    </row>
    <row r="199" spans="1:3">
      <c r="A199" s="229">
        <v>91904</v>
      </c>
      <c r="B199" s="229" t="s">
        <v>917</v>
      </c>
      <c r="C199" s="105">
        <v>13231.24</v>
      </c>
    </row>
    <row r="200" spans="1:3">
      <c r="A200" s="229">
        <v>91908</v>
      </c>
      <c r="B200" s="229" t="s">
        <v>918</v>
      </c>
      <c r="C200" s="105">
        <v>5210.9399999999996</v>
      </c>
    </row>
    <row r="201" spans="1:3">
      <c r="A201" s="229">
        <v>91911</v>
      </c>
      <c r="B201" s="229" t="s">
        <v>919</v>
      </c>
      <c r="C201" s="105">
        <v>224256.72000000003</v>
      </c>
    </row>
    <row r="202" spans="1:3">
      <c r="A202" s="229">
        <v>91917</v>
      </c>
      <c r="B202" s="229" t="s">
        <v>920</v>
      </c>
      <c r="C202" s="105">
        <v>6386.670000000001</v>
      </c>
    </row>
    <row r="203" spans="1:3">
      <c r="A203" s="229">
        <v>91921</v>
      </c>
      <c r="B203" s="229" t="s">
        <v>921</v>
      </c>
      <c r="C203" s="105">
        <v>160504.93</v>
      </c>
    </row>
    <row r="204" spans="1:3">
      <c r="A204" s="229">
        <v>92001</v>
      </c>
      <c r="B204" s="229" t="s">
        <v>922</v>
      </c>
      <c r="C204" s="105">
        <v>790603.02999999991</v>
      </c>
    </row>
    <row r="205" spans="1:3">
      <c r="A205" s="229">
        <v>92005</v>
      </c>
      <c r="B205" s="229" t="s">
        <v>923</v>
      </c>
      <c r="C205" s="105">
        <v>20947.199999999997</v>
      </c>
    </row>
    <row r="206" spans="1:3">
      <c r="A206" s="229">
        <v>92011</v>
      </c>
      <c r="B206" s="229" t="s">
        <v>924</v>
      </c>
      <c r="C206" s="105">
        <v>90382.9</v>
      </c>
    </row>
    <row r="207" spans="1:3">
      <c r="A207" s="229">
        <v>92017</v>
      </c>
      <c r="B207" s="229" t="s">
        <v>925</v>
      </c>
      <c r="C207" s="105">
        <v>16941.37</v>
      </c>
    </row>
    <row r="208" spans="1:3">
      <c r="A208" s="229">
        <v>92021</v>
      </c>
      <c r="B208" s="229" t="s">
        <v>926</v>
      </c>
      <c r="C208" s="105">
        <v>72634.77</v>
      </c>
    </row>
    <row r="209" spans="1:3">
      <c r="A209" s="229">
        <v>92101</v>
      </c>
      <c r="B209" s="229" t="s">
        <v>927</v>
      </c>
      <c r="C209" s="105">
        <v>368518.74</v>
      </c>
    </row>
    <row r="210" spans="1:3">
      <c r="A210" s="229">
        <v>92104</v>
      </c>
      <c r="B210" s="229" t="s">
        <v>928</v>
      </c>
      <c r="C210" s="105">
        <v>5180.28</v>
      </c>
    </row>
    <row r="211" spans="1:3">
      <c r="A211" s="229">
        <v>92109</v>
      </c>
      <c r="B211" s="229" t="s">
        <v>929</v>
      </c>
      <c r="C211" s="105">
        <v>79222.569999999992</v>
      </c>
    </row>
    <row r="212" spans="1:3">
      <c r="A212" s="229">
        <v>92111</v>
      </c>
      <c r="B212" s="229" t="s">
        <v>930</v>
      </c>
      <c r="C212" s="105">
        <v>231048.73</v>
      </c>
    </row>
    <row r="213" spans="1:3">
      <c r="A213" s="229">
        <v>92113</v>
      </c>
      <c r="B213" s="229" t="s">
        <v>931</v>
      </c>
      <c r="C213" s="105">
        <v>10340.590000000002</v>
      </c>
    </row>
    <row r="214" spans="1:3">
      <c r="A214" s="229">
        <v>92201</v>
      </c>
      <c r="B214" s="229" t="s">
        <v>932</v>
      </c>
      <c r="C214" s="105">
        <v>452317.97000000003</v>
      </c>
    </row>
    <row r="215" spans="1:3">
      <c r="A215" s="229">
        <v>92301</v>
      </c>
      <c r="B215" s="229" t="s">
        <v>933</v>
      </c>
      <c r="C215" s="105">
        <v>2376667.8199999994</v>
      </c>
    </row>
    <row r="216" spans="1:3">
      <c r="A216" s="229">
        <v>92302</v>
      </c>
      <c r="B216" s="229" t="s">
        <v>934</v>
      </c>
      <c r="C216" s="105">
        <v>124071.08</v>
      </c>
    </row>
    <row r="217" spans="1:3">
      <c r="A217" s="229">
        <v>92311</v>
      </c>
      <c r="B217" s="229" t="s">
        <v>935</v>
      </c>
      <c r="C217" s="105">
        <v>989308.2</v>
      </c>
    </row>
    <row r="218" spans="1:3">
      <c r="A218" s="229">
        <v>92317</v>
      </c>
      <c r="B218" s="229" t="s">
        <v>936</v>
      </c>
      <c r="C218" s="105">
        <v>22749.040000000001</v>
      </c>
    </row>
    <row r="219" spans="1:3">
      <c r="A219" s="229">
        <v>92321</v>
      </c>
      <c r="B219" s="229" t="s">
        <v>937</v>
      </c>
      <c r="C219" s="105">
        <v>553265.69999999995</v>
      </c>
    </row>
    <row r="220" spans="1:3">
      <c r="A220" s="229">
        <v>92327</v>
      </c>
      <c r="B220" s="229" t="s">
        <v>938</v>
      </c>
      <c r="C220" s="105">
        <v>5653.369999999999</v>
      </c>
    </row>
    <row r="221" spans="1:3">
      <c r="A221" s="229">
        <v>92331</v>
      </c>
      <c r="B221" s="229" t="s">
        <v>939</v>
      </c>
      <c r="C221" s="105">
        <v>60877.5</v>
      </c>
    </row>
    <row r="222" spans="1:3">
      <c r="A222" s="229">
        <v>92341</v>
      </c>
      <c r="B222" s="229" t="s">
        <v>940</v>
      </c>
      <c r="C222" s="105">
        <v>3179.09</v>
      </c>
    </row>
    <row r="223" spans="1:3">
      <c r="A223" s="229">
        <v>92351</v>
      </c>
      <c r="B223" s="229" t="s">
        <v>941</v>
      </c>
      <c r="C223" s="105">
        <v>9506.67</v>
      </c>
    </row>
    <row r="224" spans="1:3">
      <c r="A224" s="229">
        <v>92401</v>
      </c>
      <c r="B224" s="229" t="s">
        <v>942</v>
      </c>
      <c r="C224" s="105">
        <v>1303902.4800000002</v>
      </c>
    </row>
    <row r="225" spans="1:3">
      <c r="A225" s="229">
        <v>92403</v>
      </c>
      <c r="B225" s="229" t="s">
        <v>943</v>
      </c>
      <c r="C225" s="105">
        <v>5891.95</v>
      </c>
    </row>
    <row r="226" spans="1:3">
      <c r="A226" s="229">
        <v>92411</v>
      </c>
      <c r="B226" s="229" t="s">
        <v>944</v>
      </c>
      <c r="C226" s="105">
        <v>203731.75000000003</v>
      </c>
    </row>
    <row r="227" spans="1:3">
      <c r="A227" s="229">
        <v>92417</v>
      </c>
      <c r="B227" s="229" t="s">
        <v>945</v>
      </c>
      <c r="C227" s="105">
        <v>5972.1200000000008</v>
      </c>
    </row>
    <row r="228" spans="1:3">
      <c r="A228" s="229">
        <v>92421</v>
      </c>
      <c r="B228" s="229" t="s">
        <v>946</v>
      </c>
      <c r="C228" s="105">
        <v>7579.9000000000005</v>
      </c>
    </row>
    <row r="229" spans="1:3">
      <c r="A229" s="229">
        <v>92427</v>
      </c>
      <c r="B229" s="229" t="s">
        <v>947</v>
      </c>
      <c r="C229" s="105">
        <v>1462.7</v>
      </c>
    </row>
    <row r="230" spans="1:3">
      <c r="A230" s="229">
        <v>92431</v>
      </c>
      <c r="B230" s="229" t="s">
        <v>948</v>
      </c>
      <c r="C230" s="105">
        <v>22456.17</v>
      </c>
    </row>
    <row r="231" spans="1:3">
      <c r="A231" s="229">
        <v>92441</v>
      </c>
      <c r="B231" s="229" t="s">
        <v>949</v>
      </c>
      <c r="C231" s="105">
        <v>38184.479999999996</v>
      </c>
    </row>
    <row r="232" spans="1:3">
      <c r="A232" s="229">
        <v>92444</v>
      </c>
      <c r="B232" s="229" t="s">
        <v>950</v>
      </c>
      <c r="C232" s="105">
        <v>2108.3200000000002</v>
      </c>
    </row>
    <row r="233" spans="1:3">
      <c r="A233" s="229">
        <v>92451</v>
      </c>
      <c r="B233" s="229" t="s">
        <v>951</v>
      </c>
      <c r="C233" s="105">
        <v>77937.69</v>
      </c>
    </row>
    <row r="234" spans="1:3">
      <c r="A234" s="229">
        <v>92461</v>
      </c>
      <c r="B234" s="229" t="s">
        <v>952</v>
      </c>
      <c r="C234" s="105">
        <v>40871.760000000002</v>
      </c>
    </row>
    <row r="235" spans="1:3">
      <c r="A235" s="229">
        <v>92501</v>
      </c>
      <c r="B235" s="229" t="s">
        <v>953</v>
      </c>
      <c r="C235" s="105">
        <v>1869584.19</v>
      </c>
    </row>
    <row r="236" spans="1:3">
      <c r="A236" s="229">
        <v>92502</v>
      </c>
      <c r="B236" s="229" t="s">
        <v>954</v>
      </c>
      <c r="C236" s="105">
        <v>14163.860000000004</v>
      </c>
    </row>
    <row r="237" spans="1:3">
      <c r="A237" s="229">
        <v>92504</v>
      </c>
      <c r="B237" s="229" t="s">
        <v>955</v>
      </c>
      <c r="C237" s="105">
        <v>49663.95</v>
      </c>
    </row>
    <row r="238" spans="1:3">
      <c r="A238" s="229">
        <v>92505</v>
      </c>
      <c r="B238" s="229" t="s">
        <v>956</v>
      </c>
      <c r="C238" s="105">
        <v>119135.69999999998</v>
      </c>
    </row>
    <row r="239" spans="1:3">
      <c r="A239" s="229">
        <v>92506</v>
      </c>
      <c r="B239" s="229" t="s">
        <v>957</v>
      </c>
      <c r="C239" s="105">
        <v>26569.89</v>
      </c>
    </row>
    <row r="240" spans="1:3">
      <c r="A240" s="229">
        <v>92507</v>
      </c>
      <c r="B240" s="229" t="s">
        <v>958</v>
      </c>
      <c r="C240" s="105">
        <v>40749.97</v>
      </c>
    </row>
    <row r="241" spans="1:3">
      <c r="A241" s="229">
        <v>92508</v>
      </c>
      <c r="B241" s="229" t="s">
        <v>959</v>
      </c>
      <c r="C241" s="105">
        <v>152020.5</v>
      </c>
    </row>
    <row r="242" spans="1:3">
      <c r="A242" s="229">
        <v>92511</v>
      </c>
      <c r="B242" s="229" t="s">
        <v>960</v>
      </c>
      <c r="C242" s="105">
        <v>1524503.0899999999</v>
      </c>
    </row>
    <row r="243" spans="1:3">
      <c r="A243" s="229">
        <v>92513</v>
      </c>
      <c r="B243" s="229" t="s">
        <v>961</v>
      </c>
      <c r="C243" s="105">
        <v>1669953.62</v>
      </c>
    </row>
    <row r="244" spans="1:3">
      <c r="A244" s="229">
        <v>92521</v>
      </c>
      <c r="B244" s="229" t="s">
        <v>962</v>
      </c>
      <c r="C244" s="105">
        <v>37384.129999999997</v>
      </c>
    </row>
    <row r="245" spans="1:3">
      <c r="A245" s="229">
        <v>92531</v>
      </c>
      <c r="B245" s="229" t="s">
        <v>963</v>
      </c>
      <c r="C245" s="105">
        <v>358463.95999999996</v>
      </c>
    </row>
    <row r="246" spans="1:3">
      <c r="A246" s="229">
        <v>92541</v>
      </c>
      <c r="B246" s="229" t="s">
        <v>964</v>
      </c>
      <c r="C246" s="105">
        <v>58963.51999999999</v>
      </c>
    </row>
    <row r="247" spans="1:3">
      <c r="A247" s="229">
        <v>92551</v>
      </c>
      <c r="B247" s="229" t="s">
        <v>965</v>
      </c>
      <c r="C247" s="105">
        <v>19992.34</v>
      </c>
    </row>
    <row r="248" spans="1:3">
      <c r="A248" s="229">
        <v>92561</v>
      </c>
      <c r="B248" s="229" t="s">
        <v>966</v>
      </c>
      <c r="C248" s="105">
        <v>11715.66</v>
      </c>
    </row>
    <row r="249" spans="1:3">
      <c r="A249" s="229">
        <v>92571</v>
      </c>
      <c r="B249" s="229" t="s">
        <v>967</v>
      </c>
      <c r="C249" s="105">
        <v>6486.43</v>
      </c>
    </row>
    <row r="250" spans="1:3">
      <c r="A250" s="229">
        <v>92601</v>
      </c>
      <c r="B250" s="229" t="s">
        <v>968</v>
      </c>
      <c r="C250" s="105">
        <v>7108398.0499999998</v>
      </c>
    </row>
    <row r="251" spans="1:3">
      <c r="A251" s="229">
        <v>92602</v>
      </c>
      <c r="B251" s="229" t="s">
        <v>969</v>
      </c>
      <c r="C251" s="105">
        <v>3604.4900000000002</v>
      </c>
    </row>
    <row r="252" spans="1:3">
      <c r="A252" s="229">
        <v>92604</v>
      </c>
      <c r="B252" s="229" t="s">
        <v>970</v>
      </c>
      <c r="C252" s="105">
        <v>178690.81</v>
      </c>
    </row>
    <row r="253" spans="1:3">
      <c r="A253" s="229">
        <v>92607</v>
      </c>
      <c r="B253" s="229" t="s">
        <v>971</v>
      </c>
      <c r="C253" s="105">
        <v>38426.509999999995</v>
      </c>
    </row>
    <row r="254" spans="1:3">
      <c r="A254" s="229">
        <v>92611</v>
      </c>
      <c r="B254" s="229" t="s">
        <v>973</v>
      </c>
      <c r="C254" s="105">
        <v>5890415</v>
      </c>
    </row>
    <row r="255" spans="1:3">
      <c r="A255" s="229">
        <v>92613</v>
      </c>
      <c r="B255" s="229" t="s">
        <v>974</v>
      </c>
      <c r="C255" s="105">
        <v>143120.74</v>
      </c>
    </row>
    <row r="256" spans="1:3">
      <c r="A256" s="229">
        <v>92614</v>
      </c>
      <c r="B256" s="229" t="s">
        <v>975</v>
      </c>
      <c r="C256" s="105">
        <v>4788008.4000000004</v>
      </c>
    </row>
    <row r="257" spans="1:3">
      <c r="A257" s="229">
        <v>92621</v>
      </c>
      <c r="B257" s="229" t="s">
        <v>976</v>
      </c>
      <c r="C257" s="105">
        <v>11242.970000000001</v>
      </c>
    </row>
    <row r="258" spans="1:3">
      <c r="A258" s="229">
        <v>92631</v>
      </c>
      <c r="B258" s="229" t="s">
        <v>977</v>
      </c>
      <c r="C258" s="105">
        <v>397128.06999999995</v>
      </c>
    </row>
    <row r="259" spans="1:3">
      <c r="A259" s="229">
        <v>92641</v>
      </c>
      <c r="B259" s="229" t="s">
        <v>978</v>
      </c>
      <c r="C259" s="105">
        <v>5720.12</v>
      </c>
    </row>
    <row r="260" spans="1:3">
      <c r="A260" s="229">
        <v>92651</v>
      </c>
      <c r="B260" s="229" t="s">
        <v>979</v>
      </c>
      <c r="C260" s="105">
        <v>3150.9599999999996</v>
      </c>
    </row>
    <row r="261" spans="1:3">
      <c r="A261" s="229">
        <v>92661</v>
      </c>
      <c r="B261" s="229" t="s">
        <v>980</v>
      </c>
      <c r="C261" s="105">
        <v>591164.32000000007</v>
      </c>
    </row>
    <row r="262" spans="1:3">
      <c r="A262" s="229">
        <v>92671</v>
      </c>
      <c r="B262" s="229" t="s">
        <v>981</v>
      </c>
      <c r="C262" s="105">
        <v>5278.6399999999994</v>
      </c>
    </row>
    <row r="263" spans="1:3">
      <c r="A263" s="229">
        <v>92681</v>
      </c>
      <c r="B263" s="229" t="s">
        <v>982</v>
      </c>
      <c r="C263" s="105">
        <v>11572</v>
      </c>
    </row>
    <row r="264" spans="1:3">
      <c r="A264" s="229">
        <v>92701</v>
      </c>
      <c r="B264" s="229" t="s">
        <v>983</v>
      </c>
      <c r="C264" s="105">
        <v>1358590.69</v>
      </c>
    </row>
    <row r="265" spans="1:3">
      <c r="A265" s="229">
        <v>92704</v>
      </c>
      <c r="B265" s="229" t="s">
        <v>984</v>
      </c>
      <c r="C265" s="105">
        <v>18894.43</v>
      </c>
    </row>
    <row r="266" spans="1:3">
      <c r="A266" s="229">
        <v>92801</v>
      </c>
      <c r="B266" s="229" t="s">
        <v>985</v>
      </c>
      <c r="C266" s="105">
        <v>2417020.3099999996</v>
      </c>
    </row>
    <row r="267" spans="1:3">
      <c r="A267" s="229">
        <v>92802</v>
      </c>
      <c r="B267" s="229" t="s">
        <v>986</v>
      </c>
      <c r="C267" s="105">
        <v>55827.79</v>
      </c>
    </row>
    <row r="268" spans="1:3">
      <c r="A268" s="229">
        <v>92804</v>
      </c>
      <c r="B268" s="229" t="s">
        <v>987</v>
      </c>
      <c r="C268" s="105">
        <v>57776.62999999999</v>
      </c>
    </row>
    <row r="269" spans="1:3">
      <c r="A269" s="229">
        <v>92811</v>
      </c>
      <c r="B269" s="229" t="s">
        <v>988</v>
      </c>
      <c r="C269" s="105">
        <v>442634.87</v>
      </c>
    </row>
    <row r="270" spans="1:3">
      <c r="A270" s="229">
        <v>92821</v>
      </c>
      <c r="B270" s="229" t="s">
        <v>989</v>
      </c>
      <c r="C270" s="105">
        <v>481049.22</v>
      </c>
    </row>
    <row r="271" spans="1:3">
      <c r="A271" s="229">
        <v>92831</v>
      </c>
      <c r="B271" s="229" t="s">
        <v>990</v>
      </c>
      <c r="C271" s="105">
        <v>122075.53</v>
      </c>
    </row>
    <row r="272" spans="1:3">
      <c r="A272" s="229">
        <v>92841</v>
      </c>
      <c r="B272" s="229" t="s">
        <v>991</v>
      </c>
      <c r="C272" s="105">
        <v>116983.39</v>
      </c>
    </row>
    <row r="273" spans="1:3">
      <c r="A273" s="229">
        <v>92851</v>
      </c>
      <c r="B273" s="229" t="s">
        <v>992</v>
      </c>
      <c r="C273" s="105">
        <v>187164.34</v>
      </c>
    </row>
    <row r="274" spans="1:3">
      <c r="A274" s="229">
        <v>92861</v>
      </c>
      <c r="B274" s="229" t="s">
        <v>993</v>
      </c>
      <c r="C274" s="105">
        <v>121951.41999999998</v>
      </c>
    </row>
    <row r="275" spans="1:3">
      <c r="A275" s="229">
        <v>92901</v>
      </c>
      <c r="B275" s="229" t="s">
        <v>994</v>
      </c>
      <c r="C275" s="105">
        <v>2645958.38</v>
      </c>
    </row>
    <row r="276" spans="1:3">
      <c r="A276" s="229">
        <v>92911</v>
      </c>
      <c r="B276" s="229" t="s">
        <v>995</v>
      </c>
      <c r="C276" s="105">
        <v>924132.14000000013</v>
      </c>
    </row>
    <row r="277" spans="1:3">
      <c r="A277" s="229">
        <v>92913</v>
      </c>
      <c r="B277" s="229" t="s">
        <v>996</v>
      </c>
      <c r="C277" s="105">
        <v>57759.520000000004</v>
      </c>
    </row>
    <row r="278" spans="1:3">
      <c r="A278" s="229">
        <v>92914</v>
      </c>
      <c r="B278" s="229" t="s">
        <v>997</v>
      </c>
      <c r="C278" s="105">
        <v>10513.27</v>
      </c>
    </row>
    <row r="279" spans="1:3">
      <c r="A279" s="229">
        <v>92917</v>
      </c>
      <c r="B279" s="229" t="s">
        <v>998</v>
      </c>
      <c r="C279" s="105">
        <v>16081.77</v>
      </c>
    </row>
    <row r="280" spans="1:3">
      <c r="A280" s="229">
        <v>92921</v>
      </c>
      <c r="B280" s="229" t="s">
        <v>999</v>
      </c>
      <c r="C280" s="105">
        <v>41072.51</v>
      </c>
    </row>
    <row r="281" spans="1:3">
      <c r="A281" s="229">
        <v>92931</v>
      </c>
      <c r="B281" s="229" t="s">
        <v>1000</v>
      </c>
      <c r="C281" s="105">
        <v>1109331.3299999998</v>
      </c>
    </row>
    <row r="282" spans="1:3">
      <c r="A282" s="229">
        <v>92941</v>
      </c>
      <c r="B282" s="229" t="s">
        <v>81</v>
      </c>
      <c r="C282" s="105">
        <v>8546.51</v>
      </c>
    </row>
    <row r="283" spans="1:3">
      <c r="A283" s="229">
        <v>93001</v>
      </c>
      <c r="B283" s="229" t="s">
        <v>1001</v>
      </c>
      <c r="C283" s="105">
        <v>981066.02</v>
      </c>
    </row>
    <row r="284" spans="1:3">
      <c r="A284" s="229">
        <v>93009</v>
      </c>
      <c r="B284" s="229" t="s">
        <v>1002</v>
      </c>
      <c r="C284" s="105">
        <v>5347.5400000000009</v>
      </c>
    </row>
    <row r="285" spans="1:3">
      <c r="A285" s="229">
        <v>93011</v>
      </c>
      <c r="B285" s="229" t="s">
        <v>1003</v>
      </c>
      <c r="C285" s="105">
        <v>118523.35</v>
      </c>
    </row>
    <row r="286" spans="1:3">
      <c r="A286" s="229">
        <v>93021</v>
      </c>
      <c r="B286" s="229" t="s">
        <v>1004</v>
      </c>
      <c r="C286" s="105">
        <v>12993.630000000001</v>
      </c>
    </row>
    <row r="287" spans="1:3">
      <c r="A287" s="229">
        <v>93027</v>
      </c>
      <c r="B287" s="229" t="s">
        <v>1005</v>
      </c>
      <c r="C287" s="105">
        <v>8270.2200000000012</v>
      </c>
    </row>
    <row r="288" spans="1:3">
      <c r="A288" s="229">
        <v>93031</v>
      </c>
      <c r="B288" s="229" t="s">
        <v>1006</v>
      </c>
      <c r="C288" s="105">
        <v>20396.899999999998</v>
      </c>
    </row>
    <row r="289" spans="1:3">
      <c r="A289" s="229">
        <v>93101</v>
      </c>
      <c r="B289" s="229" t="s">
        <v>1007</v>
      </c>
      <c r="C289" s="105">
        <v>1521216.6700000002</v>
      </c>
    </row>
    <row r="290" spans="1:3">
      <c r="A290" s="229">
        <v>93103</v>
      </c>
      <c r="B290" s="229" t="s">
        <v>260</v>
      </c>
      <c r="C290" s="105">
        <v>5686.3199999999988</v>
      </c>
    </row>
    <row r="291" spans="1:3">
      <c r="A291" s="229">
        <v>93108</v>
      </c>
      <c r="B291" s="229" t="s">
        <v>1008</v>
      </c>
      <c r="C291" s="105">
        <v>1189196.73</v>
      </c>
    </row>
    <row r="292" spans="1:3">
      <c r="A292" s="229">
        <v>93111</v>
      </c>
      <c r="B292" s="229" t="s">
        <v>1009</v>
      </c>
      <c r="C292" s="105">
        <v>27143.07</v>
      </c>
    </row>
    <row r="293" spans="1:3">
      <c r="A293" s="229">
        <v>93121</v>
      </c>
      <c r="B293" s="229" t="s">
        <v>1010</v>
      </c>
      <c r="C293" s="105">
        <v>28305.74</v>
      </c>
    </row>
    <row r="294" spans="1:3">
      <c r="A294" s="229">
        <v>93127</v>
      </c>
      <c r="B294" s="229" t="s">
        <v>1011</v>
      </c>
      <c r="C294" s="105">
        <v>3239.02</v>
      </c>
    </row>
    <row r="295" spans="1:3">
      <c r="A295" s="229">
        <v>93131</v>
      </c>
      <c r="B295" s="229" t="s">
        <v>1012</v>
      </c>
      <c r="C295" s="105">
        <v>95091.23</v>
      </c>
    </row>
    <row r="296" spans="1:3">
      <c r="A296" s="229">
        <v>93137</v>
      </c>
      <c r="B296" s="229" t="s">
        <v>1013</v>
      </c>
      <c r="C296" s="105">
        <v>2530.41</v>
      </c>
    </row>
    <row r="297" spans="1:3">
      <c r="A297" s="229">
        <v>93141</v>
      </c>
      <c r="B297" s="229" t="s">
        <v>1014</v>
      </c>
      <c r="C297" s="105">
        <v>16198.560000000001</v>
      </c>
    </row>
    <row r="298" spans="1:3">
      <c r="A298" s="229">
        <v>93151</v>
      </c>
      <c r="B298" s="229" t="s">
        <v>1015</v>
      </c>
      <c r="C298" s="105">
        <v>156182.22000000003</v>
      </c>
    </row>
    <row r="299" spans="1:3">
      <c r="A299" s="229">
        <v>93157</v>
      </c>
      <c r="B299" s="229" t="s">
        <v>1016</v>
      </c>
      <c r="C299" s="105">
        <v>6044.9999999999991</v>
      </c>
    </row>
    <row r="300" spans="1:3">
      <c r="A300" s="229">
        <v>93161</v>
      </c>
      <c r="B300" s="229" t="s">
        <v>1017</v>
      </c>
      <c r="C300" s="105">
        <v>47956.099999999991</v>
      </c>
    </row>
    <row r="301" spans="1:3">
      <c r="A301" s="229">
        <v>93171</v>
      </c>
      <c r="B301" s="229" t="s">
        <v>1018</v>
      </c>
      <c r="C301" s="105">
        <v>3888.96</v>
      </c>
    </row>
    <row r="302" spans="1:3">
      <c r="A302" s="229">
        <v>93181</v>
      </c>
      <c r="B302" s="229" t="s">
        <v>1019</v>
      </c>
      <c r="C302" s="105">
        <v>5393.2499999999991</v>
      </c>
    </row>
    <row r="303" spans="1:3">
      <c r="A303" s="229">
        <v>93191</v>
      </c>
      <c r="B303" s="229" t="s">
        <v>1020</v>
      </c>
      <c r="C303" s="105">
        <v>16088.93</v>
      </c>
    </row>
    <row r="304" spans="1:3">
      <c r="A304" s="229">
        <v>93201</v>
      </c>
      <c r="B304" s="229" t="s">
        <v>1021</v>
      </c>
      <c r="C304" s="105">
        <v>7119269.8700000001</v>
      </c>
    </row>
    <row r="305" spans="1:3">
      <c r="A305" s="229">
        <v>93204</v>
      </c>
      <c r="B305" s="229" t="s">
        <v>1023</v>
      </c>
      <c r="C305" s="105">
        <v>157546.01999999999</v>
      </c>
    </row>
    <row r="306" spans="1:3">
      <c r="A306" s="229">
        <v>93209</v>
      </c>
      <c r="B306" s="229" t="s">
        <v>1024</v>
      </c>
      <c r="C306" s="105">
        <v>2094524.8200000003</v>
      </c>
    </row>
    <row r="307" spans="1:3">
      <c r="A307" s="229">
        <v>93211</v>
      </c>
      <c r="B307" s="229" t="s">
        <v>1025</v>
      </c>
      <c r="C307" s="105">
        <v>9330077.1099999994</v>
      </c>
    </row>
    <row r="308" spans="1:3">
      <c r="A308" s="229">
        <v>93212</v>
      </c>
      <c r="B308" s="229" t="s">
        <v>1026</v>
      </c>
      <c r="C308" s="105">
        <v>193583.83000000002</v>
      </c>
    </row>
    <row r="309" spans="1:3">
      <c r="A309" s="229">
        <v>93219</v>
      </c>
      <c r="B309" s="229" t="s">
        <v>1027</v>
      </c>
      <c r="C309" s="105">
        <v>120178.79000000001</v>
      </c>
    </row>
    <row r="310" spans="1:3">
      <c r="A310" s="229">
        <v>93301</v>
      </c>
      <c r="B310" s="229" t="s">
        <v>1028</v>
      </c>
      <c r="C310" s="105">
        <v>1153745.6500000001</v>
      </c>
    </row>
    <row r="311" spans="1:3">
      <c r="A311" s="229">
        <v>93304</v>
      </c>
      <c r="B311" s="229" t="s">
        <v>1029</v>
      </c>
      <c r="C311" s="105">
        <v>18289.23</v>
      </c>
    </row>
    <row r="312" spans="1:3">
      <c r="A312" s="229">
        <v>93305</v>
      </c>
      <c r="B312" s="229" t="s">
        <v>1030</v>
      </c>
      <c r="C312" s="105">
        <v>19564.66</v>
      </c>
    </row>
    <row r="313" spans="1:3">
      <c r="A313" s="229">
        <v>93309</v>
      </c>
      <c r="B313" s="229" t="s">
        <v>1031</v>
      </c>
      <c r="C313" s="105">
        <v>89050.64</v>
      </c>
    </row>
    <row r="314" spans="1:3">
      <c r="A314" s="229">
        <v>93311</v>
      </c>
      <c r="B314" s="229" t="s">
        <v>1032</v>
      </c>
      <c r="C314" s="105">
        <v>529431.75</v>
      </c>
    </row>
    <row r="315" spans="1:3">
      <c r="A315" s="229">
        <v>93317</v>
      </c>
      <c r="B315" s="229" t="s">
        <v>1033</v>
      </c>
      <c r="C315" s="105">
        <v>21779.42</v>
      </c>
    </row>
    <row r="316" spans="1:3">
      <c r="A316" s="229">
        <v>93321</v>
      </c>
      <c r="B316" s="229" t="s">
        <v>1034</v>
      </c>
      <c r="C316" s="105">
        <v>3205901.8899999997</v>
      </c>
    </row>
    <row r="317" spans="1:3">
      <c r="A317" s="229">
        <v>93323</v>
      </c>
      <c r="B317" s="229" t="s">
        <v>1035</v>
      </c>
      <c r="C317" s="105">
        <v>8923.11</v>
      </c>
    </row>
    <row r="318" spans="1:3">
      <c r="A318" s="229">
        <v>93331</v>
      </c>
      <c r="B318" s="229" t="s">
        <v>1036</v>
      </c>
      <c r="C318" s="105">
        <v>56936.17</v>
      </c>
    </row>
    <row r="319" spans="1:3">
      <c r="A319" s="229">
        <v>93333</v>
      </c>
      <c r="B319" s="229" t="s">
        <v>1037</v>
      </c>
      <c r="C319" s="105">
        <v>190543.43</v>
      </c>
    </row>
    <row r="320" spans="1:3">
      <c r="A320" s="229">
        <v>93341</v>
      </c>
      <c r="B320" s="229" t="s">
        <v>1038</v>
      </c>
      <c r="C320" s="105">
        <v>12932.78</v>
      </c>
    </row>
    <row r="321" spans="1:3">
      <c r="A321" s="229">
        <v>93351</v>
      </c>
      <c r="B321" s="229" t="s">
        <v>1039</v>
      </c>
      <c r="C321" s="105">
        <v>16318.86</v>
      </c>
    </row>
    <row r="322" spans="1:3">
      <c r="A322" s="229">
        <v>93401</v>
      </c>
      <c r="B322" s="229" t="s">
        <v>1040</v>
      </c>
      <c r="C322" s="105">
        <v>6356857.0799999982</v>
      </c>
    </row>
    <row r="323" spans="1:3">
      <c r="A323" s="229">
        <v>93402</v>
      </c>
      <c r="B323" s="229" t="s">
        <v>1041</v>
      </c>
      <c r="C323" s="105">
        <v>38603.799999999996</v>
      </c>
    </row>
    <row r="324" spans="1:3">
      <c r="A324" s="229">
        <v>93406</v>
      </c>
      <c r="B324" s="229" t="s">
        <v>1042</v>
      </c>
      <c r="C324" s="105">
        <v>289720.40000000002</v>
      </c>
    </row>
    <row r="325" spans="1:3">
      <c r="A325" s="229">
        <v>93408</v>
      </c>
      <c r="B325" s="229" t="s">
        <v>1043</v>
      </c>
      <c r="C325" s="105">
        <v>73961.63</v>
      </c>
    </row>
    <row r="326" spans="1:3">
      <c r="A326" s="229">
        <v>93411</v>
      </c>
      <c r="B326" s="229" t="s">
        <v>1044</v>
      </c>
      <c r="C326" s="105">
        <v>8222693.9100000001</v>
      </c>
    </row>
    <row r="327" spans="1:3">
      <c r="A327" s="229">
        <v>93413</v>
      </c>
      <c r="B327" s="229" t="s">
        <v>1045</v>
      </c>
      <c r="C327" s="105">
        <v>378795.94</v>
      </c>
    </row>
    <row r="328" spans="1:3">
      <c r="A328" s="229">
        <v>93417</v>
      </c>
      <c r="B328" s="229" t="s">
        <v>1046</v>
      </c>
      <c r="C328" s="105">
        <v>172878.16</v>
      </c>
    </row>
    <row r="329" spans="1:3">
      <c r="A329" s="229">
        <v>93421</v>
      </c>
      <c r="B329" s="229" t="s">
        <v>1047</v>
      </c>
      <c r="C329" s="105">
        <v>893357</v>
      </c>
    </row>
    <row r="330" spans="1:3">
      <c r="A330" s="229">
        <v>93431</v>
      </c>
      <c r="B330" s="229" t="s">
        <v>1048</v>
      </c>
      <c r="C330" s="105">
        <v>61080.389999999992</v>
      </c>
    </row>
    <row r="331" spans="1:3">
      <c r="A331" s="229">
        <v>93441</v>
      </c>
      <c r="B331" s="229" t="s">
        <v>1049</v>
      </c>
      <c r="C331" s="105">
        <v>77932.77</v>
      </c>
    </row>
    <row r="332" spans="1:3">
      <c r="A332" s="229">
        <v>93442</v>
      </c>
      <c r="B332" s="229" t="s">
        <v>1050</v>
      </c>
      <c r="C332" s="105">
        <v>57506.510000000009</v>
      </c>
    </row>
    <row r="333" spans="1:3">
      <c r="A333" s="229">
        <v>93451</v>
      </c>
      <c r="B333" s="229" t="s">
        <v>1051</v>
      </c>
      <c r="C333" s="105">
        <v>41774.850000000006</v>
      </c>
    </row>
    <row r="334" spans="1:3">
      <c r="A334" s="229">
        <v>93461</v>
      </c>
      <c r="B334" s="229" t="s">
        <v>1052</v>
      </c>
      <c r="C334" s="105">
        <v>8263.56</v>
      </c>
    </row>
    <row r="335" spans="1:3">
      <c r="A335" s="229">
        <v>93471</v>
      </c>
      <c r="B335" s="229" t="s">
        <v>1053</v>
      </c>
      <c r="C335" s="105">
        <v>8324.42</v>
      </c>
    </row>
    <row r="336" spans="1:3">
      <c r="A336" s="229">
        <v>93501</v>
      </c>
      <c r="B336" s="229" t="s">
        <v>1054</v>
      </c>
      <c r="C336" s="105">
        <v>1661032.8799999997</v>
      </c>
    </row>
    <row r="337" spans="1:3">
      <c r="A337" s="229">
        <v>93511</v>
      </c>
      <c r="B337" s="229" t="s">
        <v>1055</v>
      </c>
      <c r="C337" s="105">
        <v>45050.15</v>
      </c>
    </row>
    <row r="338" spans="1:3">
      <c r="A338" s="229">
        <v>93517</v>
      </c>
      <c r="B338" s="229" t="s">
        <v>1056</v>
      </c>
      <c r="C338" s="105">
        <v>4387.0800000000008</v>
      </c>
    </row>
    <row r="339" spans="1:3">
      <c r="A339" s="229">
        <v>93521</v>
      </c>
      <c r="B339" s="229" t="s">
        <v>1057</v>
      </c>
      <c r="C339" s="105">
        <v>213304.85</v>
      </c>
    </row>
    <row r="340" spans="1:3">
      <c r="A340" s="229">
        <v>93527</v>
      </c>
      <c r="B340" s="229" t="s">
        <v>1058</v>
      </c>
      <c r="C340" s="105">
        <v>9590.98</v>
      </c>
    </row>
    <row r="341" spans="1:3">
      <c r="A341" s="229">
        <v>93531</v>
      </c>
      <c r="B341" s="229" t="s">
        <v>1059</v>
      </c>
      <c r="C341" s="105">
        <v>11623.46</v>
      </c>
    </row>
    <row r="342" spans="1:3">
      <c r="A342" s="229">
        <v>93537</v>
      </c>
      <c r="B342" s="229" t="s">
        <v>1060</v>
      </c>
      <c r="C342" s="105">
        <v>4063.54</v>
      </c>
    </row>
    <row r="343" spans="1:3">
      <c r="A343" s="229">
        <v>93541</v>
      </c>
      <c r="B343" s="229" t="s">
        <v>1061</v>
      </c>
      <c r="C343" s="105">
        <v>49275.9</v>
      </c>
    </row>
    <row r="344" spans="1:3">
      <c r="A344" s="229">
        <v>93601</v>
      </c>
      <c r="B344" s="229" t="s">
        <v>1062</v>
      </c>
      <c r="C344" s="105">
        <v>5038239.96</v>
      </c>
    </row>
    <row r="345" spans="1:3">
      <c r="A345" s="229">
        <v>93602</v>
      </c>
      <c r="B345" s="229" t="s">
        <v>1063</v>
      </c>
      <c r="C345" s="105">
        <v>82188.28</v>
      </c>
    </row>
    <row r="346" spans="1:3">
      <c r="A346" s="229">
        <v>93609</v>
      </c>
      <c r="B346" s="229" t="s">
        <v>1064</v>
      </c>
      <c r="C346" s="105">
        <v>1743934.2899999998</v>
      </c>
    </row>
    <row r="347" spans="1:3">
      <c r="A347" s="229">
        <v>93610</v>
      </c>
      <c r="B347" s="229" t="s">
        <v>1065</v>
      </c>
      <c r="C347" s="105">
        <v>5845.829999999999</v>
      </c>
    </row>
    <row r="348" spans="1:3">
      <c r="A348" s="229">
        <v>93611</v>
      </c>
      <c r="B348" s="229" t="s">
        <v>1066</v>
      </c>
      <c r="C348" s="105">
        <v>3250732.8200000003</v>
      </c>
    </row>
    <row r="349" spans="1:3">
      <c r="A349" s="229">
        <v>93617</v>
      </c>
      <c r="B349" s="229" t="s">
        <v>1067</v>
      </c>
      <c r="C349" s="105">
        <v>49099.679999999993</v>
      </c>
    </row>
    <row r="350" spans="1:3">
      <c r="A350" s="229">
        <v>93618</v>
      </c>
      <c r="B350" s="229" t="s">
        <v>1068</v>
      </c>
      <c r="C350" s="105">
        <v>23981.690000000002</v>
      </c>
    </row>
    <row r="351" spans="1:3">
      <c r="A351" s="229">
        <v>93621</v>
      </c>
      <c r="B351" s="229" t="s">
        <v>1069</v>
      </c>
      <c r="C351" s="105">
        <v>412639.11999999994</v>
      </c>
    </row>
    <row r="352" spans="1:3">
      <c r="A352" s="229">
        <v>93623</v>
      </c>
      <c r="B352" s="229" t="s">
        <v>1070</v>
      </c>
      <c r="C352" s="105">
        <v>8719.73</v>
      </c>
    </row>
    <row r="353" spans="1:3">
      <c r="A353" s="229">
        <v>93631</v>
      </c>
      <c r="B353" s="229" t="s">
        <v>1071</v>
      </c>
      <c r="C353" s="105">
        <v>100500.61</v>
      </c>
    </row>
    <row r="354" spans="1:3">
      <c r="A354" s="229">
        <v>93641</v>
      </c>
      <c r="B354" s="229" t="s">
        <v>1072</v>
      </c>
      <c r="C354" s="105">
        <v>197852.16</v>
      </c>
    </row>
    <row r="355" spans="1:3">
      <c r="A355" s="229">
        <v>93647</v>
      </c>
      <c r="B355" s="229" t="s">
        <v>1073</v>
      </c>
      <c r="C355" s="105">
        <v>9062</v>
      </c>
    </row>
    <row r="356" spans="1:3">
      <c r="A356" s="229">
        <v>93651</v>
      </c>
      <c r="B356" s="229" t="s">
        <v>1074</v>
      </c>
      <c r="C356" s="105">
        <v>185953.30000000002</v>
      </c>
    </row>
    <row r="357" spans="1:3">
      <c r="A357" s="229">
        <v>93661</v>
      </c>
      <c r="B357" s="229" t="s">
        <v>1075</v>
      </c>
      <c r="C357" s="105">
        <v>66083.95</v>
      </c>
    </row>
    <row r="358" spans="1:3">
      <c r="A358" s="229">
        <v>93671</v>
      </c>
      <c r="B358" s="229" t="s">
        <v>1076</v>
      </c>
      <c r="C358" s="105">
        <v>172671.45</v>
      </c>
    </row>
    <row r="359" spans="1:3">
      <c r="A359" s="229">
        <v>93681</v>
      </c>
      <c r="B359" s="229" t="s">
        <v>1077</v>
      </c>
      <c r="C359" s="105">
        <v>48114.98</v>
      </c>
    </row>
    <row r="360" spans="1:3">
      <c r="A360" s="229">
        <v>93691</v>
      </c>
      <c r="B360" s="229" t="s">
        <v>1078</v>
      </c>
      <c r="C360" s="105">
        <v>464181.78</v>
      </c>
    </row>
    <row r="361" spans="1:3">
      <c r="A361" s="229">
        <v>93701</v>
      </c>
      <c r="B361" s="229" t="s">
        <v>1079</v>
      </c>
      <c r="C361" s="105">
        <v>201820.37</v>
      </c>
    </row>
    <row r="362" spans="1:3">
      <c r="A362" s="229">
        <v>93704</v>
      </c>
      <c r="B362" s="229" t="s">
        <v>1080</v>
      </c>
      <c r="C362" s="105">
        <v>1962.36</v>
      </c>
    </row>
    <row r="363" spans="1:3">
      <c r="A363" s="229">
        <v>93801</v>
      </c>
      <c r="B363" s="229" t="s">
        <v>1081</v>
      </c>
      <c r="C363" s="105">
        <v>205983.46000000002</v>
      </c>
    </row>
    <row r="364" spans="1:3">
      <c r="A364" s="229">
        <v>93803</v>
      </c>
      <c r="B364" s="229" t="s">
        <v>1082</v>
      </c>
      <c r="C364" s="105">
        <v>50572.67</v>
      </c>
    </row>
    <row r="365" spans="1:3">
      <c r="A365" s="229">
        <v>93806</v>
      </c>
      <c r="B365" s="229" t="s">
        <v>1083</v>
      </c>
      <c r="C365" s="105">
        <v>41336.410000000003</v>
      </c>
    </row>
    <row r="366" spans="1:3">
      <c r="A366" s="229">
        <v>93821</v>
      </c>
      <c r="B366" s="229" t="s">
        <v>1084</v>
      </c>
      <c r="C366" s="105">
        <v>36176.929999999993</v>
      </c>
    </row>
    <row r="367" spans="1:3">
      <c r="A367" s="229">
        <v>93901</v>
      </c>
      <c r="B367" s="229" t="s">
        <v>1085</v>
      </c>
      <c r="C367" s="105">
        <v>887169.47</v>
      </c>
    </row>
    <row r="368" spans="1:3">
      <c r="A368" s="229">
        <v>93904</v>
      </c>
      <c r="B368" s="229" t="s">
        <v>1086</v>
      </c>
      <c r="C368" s="105">
        <v>17302.099999999999</v>
      </c>
    </row>
    <row r="369" spans="1:3">
      <c r="A369" s="229">
        <v>93906</v>
      </c>
      <c r="B369" s="229" t="s">
        <v>1087</v>
      </c>
      <c r="C369" s="105">
        <v>1486050.9699999997</v>
      </c>
    </row>
    <row r="370" spans="1:3">
      <c r="A370" s="229">
        <v>93908</v>
      </c>
      <c r="B370" s="229" t="s">
        <v>1088</v>
      </c>
      <c r="C370" s="105">
        <v>237113.54</v>
      </c>
    </row>
    <row r="371" spans="1:3">
      <c r="A371" s="229">
        <v>93910</v>
      </c>
      <c r="B371" s="229" t="s">
        <v>1089</v>
      </c>
      <c r="C371" s="105">
        <v>117577.95</v>
      </c>
    </row>
    <row r="372" spans="1:3">
      <c r="A372" s="229">
        <v>93911</v>
      </c>
      <c r="B372" s="229" t="s">
        <v>1090</v>
      </c>
      <c r="C372" s="105">
        <v>301989.03999999998</v>
      </c>
    </row>
    <row r="373" spans="1:3">
      <c r="A373" s="229">
        <v>93913</v>
      </c>
      <c r="B373" s="229" t="s">
        <v>1091</v>
      </c>
      <c r="C373" s="105">
        <v>29910.369999999995</v>
      </c>
    </row>
    <row r="374" spans="1:3">
      <c r="A374" s="229">
        <v>93914</v>
      </c>
      <c r="B374" s="229" t="s">
        <v>1092</v>
      </c>
      <c r="C374" s="105">
        <v>6536.2399999999989</v>
      </c>
    </row>
    <row r="375" spans="1:3">
      <c r="A375" s="229">
        <v>93921</v>
      </c>
      <c r="B375" s="229" t="s">
        <v>1093</v>
      </c>
      <c r="C375" s="105">
        <v>126883.54999999999</v>
      </c>
    </row>
    <row r="376" spans="1:3">
      <c r="A376" s="229">
        <v>93931</v>
      </c>
      <c r="B376" s="229" t="s">
        <v>1094</v>
      </c>
      <c r="C376" s="105">
        <v>212622.69</v>
      </c>
    </row>
    <row r="377" spans="1:3">
      <c r="A377" s="229">
        <v>94001</v>
      </c>
      <c r="B377" s="229" t="s">
        <v>1095</v>
      </c>
      <c r="C377" s="105">
        <v>430502.87</v>
      </c>
    </row>
    <row r="378" spans="1:3">
      <c r="A378" s="229">
        <v>94002</v>
      </c>
      <c r="B378" s="229" t="s">
        <v>1096</v>
      </c>
      <c r="C378" s="105">
        <v>4692.72</v>
      </c>
    </row>
    <row r="379" spans="1:3">
      <c r="A379" s="229">
        <v>94004</v>
      </c>
      <c r="B379" s="229" t="s">
        <v>1097</v>
      </c>
      <c r="C379" s="105">
        <v>4145.3</v>
      </c>
    </row>
    <row r="380" spans="1:3">
      <c r="A380" s="229">
        <v>94005</v>
      </c>
      <c r="B380" s="229" t="s">
        <v>1098</v>
      </c>
      <c r="C380" s="105">
        <v>560.08000000000004</v>
      </c>
    </row>
    <row r="381" spans="1:3">
      <c r="A381" s="229">
        <v>94011</v>
      </c>
      <c r="B381" s="229" t="s">
        <v>1099</v>
      </c>
      <c r="C381" s="105">
        <v>9232.909999999998</v>
      </c>
    </row>
    <row r="382" spans="1:3">
      <c r="A382" s="229">
        <v>94021</v>
      </c>
      <c r="B382" s="229" t="s">
        <v>1100</v>
      </c>
      <c r="C382" s="105">
        <v>47346.080000000002</v>
      </c>
    </row>
    <row r="383" spans="1:3">
      <c r="A383" s="229">
        <v>94031</v>
      </c>
      <c r="B383" s="229" t="s">
        <v>1101</v>
      </c>
      <c r="C383" s="105">
        <v>6799.77</v>
      </c>
    </row>
    <row r="384" spans="1:3">
      <c r="A384" s="229">
        <v>94101</v>
      </c>
      <c r="B384" s="229" t="s">
        <v>1102</v>
      </c>
      <c r="C384" s="105">
        <v>8515875.1699999981</v>
      </c>
    </row>
    <row r="385" spans="1:3">
      <c r="A385" s="229">
        <v>94102</v>
      </c>
      <c r="B385" s="229" t="s">
        <v>1103</v>
      </c>
      <c r="C385" s="105">
        <v>104557.32</v>
      </c>
    </row>
    <row r="386" spans="1:3">
      <c r="A386" s="229">
        <v>94108</v>
      </c>
      <c r="B386" s="229" t="s">
        <v>1104</v>
      </c>
      <c r="C386" s="105">
        <v>112936.31999999999</v>
      </c>
    </row>
    <row r="387" spans="1:3">
      <c r="A387" s="229">
        <v>94109</v>
      </c>
      <c r="B387" s="229" t="s">
        <v>1105</v>
      </c>
      <c r="C387" s="105">
        <v>31710.15</v>
      </c>
    </row>
    <row r="388" spans="1:3">
      <c r="A388" s="229">
        <v>94111</v>
      </c>
      <c r="B388" s="229" t="s">
        <v>1106</v>
      </c>
      <c r="C388" s="105">
        <v>11270051.1</v>
      </c>
    </row>
    <row r="389" spans="1:3">
      <c r="A389" s="229">
        <v>94112</v>
      </c>
      <c r="B389" s="229" t="s">
        <v>1107</v>
      </c>
      <c r="C389" s="105">
        <v>68639.710000000006</v>
      </c>
    </row>
    <row r="390" spans="1:3">
      <c r="A390" s="229">
        <v>94117</v>
      </c>
      <c r="B390" s="229" t="s">
        <v>1108</v>
      </c>
      <c r="C390" s="105">
        <v>179744.38999999998</v>
      </c>
    </row>
    <row r="391" spans="1:3">
      <c r="A391" s="229">
        <v>94118</v>
      </c>
      <c r="B391" s="229" t="s">
        <v>1109</v>
      </c>
      <c r="C391" s="105">
        <v>57233.17</v>
      </c>
    </row>
    <row r="392" spans="1:3">
      <c r="A392" s="229">
        <v>94121</v>
      </c>
      <c r="B392" s="229" t="s">
        <v>1110</v>
      </c>
      <c r="C392" s="105">
        <v>5240634.4200000009</v>
      </c>
    </row>
    <row r="393" spans="1:3">
      <c r="A393" s="229">
        <v>94127</v>
      </c>
      <c r="B393" s="229" t="s">
        <v>1111</v>
      </c>
      <c r="C393" s="105">
        <v>70092.83</v>
      </c>
    </row>
    <row r="394" spans="1:3">
      <c r="A394" s="229">
        <v>94131</v>
      </c>
      <c r="B394" s="229" t="s">
        <v>1112</v>
      </c>
      <c r="C394" s="105">
        <v>91155.82</v>
      </c>
    </row>
    <row r="395" spans="1:3">
      <c r="A395" s="229">
        <v>94151</v>
      </c>
      <c r="B395" s="229" t="s">
        <v>1113</v>
      </c>
      <c r="C395" s="105">
        <v>171244.06</v>
      </c>
    </row>
    <row r="396" spans="1:3">
      <c r="A396" s="229">
        <v>94157</v>
      </c>
      <c r="B396" s="229" t="s">
        <v>1114</v>
      </c>
      <c r="C396" s="105">
        <v>5185.84</v>
      </c>
    </row>
    <row r="397" spans="1:3">
      <c r="A397" s="229">
        <v>94161</v>
      </c>
      <c r="B397" s="229" t="s">
        <v>1115</v>
      </c>
      <c r="C397" s="105">
        <v>24924.69</v>
      </c>
    </row>
    <row r="398" spans="1:3">
      <c r="A398" s="229">
        <v>94168</v>
      </c>
      <c r="B398" s="229" t="s">
        <v>1116</v>
      </c>
      <c r="C398" s="105">
        <v>14686.17</v>
      </c>
    </row>
    <row r="399" spans="1:3">
      <c r="A399" s="229">
        <v>94171</v>
      </c>
      <c r="B399" s="229" t="s">
        <v>1117</v>
      </c>
      <c r="C399" s="105">
        <v>26827.68</v>
      </c>
    </row>
    <row r="400" spans="1:3">
      <c r="A400" s="229">
        <v>94172</v>
      </c>
      <c r="B400" s="229" t="s">
        <v>1118</v>
      </c>
      <c r="C400" s="105">
        <v>91552.690000000017</v>
      </c>
    </row>
    <row r="401" spans="1:3">
      <c r="A401" s="229">
        <v>94201</v>
      </c>
      <c r="B401" s="229" t="s">
        <v>1119</v>
      </c>
      <c r="C401" s="105">
        <v>1556105.08</v>
      </c>
    </row>
    <row r="402" spans="1:3">
      <c r="A402" s="229">
        <v>94204</v>
      </c>
      <c r="B402" s="229" t="s">
        <v>1120</v>
      </c>
      <c r="C402" s="105">
        <v>17428.339999999997</v>
      </c>
    </row>
    <row r="403" spans="1:3">
      <c r="A403" s="229">
        <v>94205</v>
      </c>
      <c r="B403" s="229" t="s">
        <v>1121</v>
      </c>
      <c r="C403" s="105">
        <v>11901.920000000002</v>
      </c>
    </row>
    <row r="404" spans="1:3">
      <c r="A404" s="229">
        <v>94209</v>
      </c>
      <c r="B404" s="229" t="s">
        <v>1122</v>
      </c>
      <c r="C404" s="105">
        <v>157002.72</v>
      </c>
    </row>
    <row r="405" spans="1:3">
      <c r="A405" s="229">
        <v>94211</v>
      </c>
      <c r="B405" s="229" t="s">
        <v>1123</v>
      </c>
      <c r="C405" s="105">
        <v>61663.42</v>
      </c>
    </row>
    <row r="406" spans="1:3">
      <c r="A406" s="229">
        <v>94221</v>
      </c>
      <c r="B406" s="229" t="s">
        <v>1124</v>
      </c>
      <c r="C406" s="105">
        <v>459327.54000000004</v>
      </c>
    </row>
    <row r="407" spans="1:3">
      <c r="A407" s="229">
        <v>94231</v>
      </c>
      <c r="B407" s="229" t="s">
        <v>1125</v>
      </c>
      <c r="C407" s="105">
        <v>101171.11</v>
      </c>
    </row>
    <row r="408" spans="1:3">
      <c r="A408" s="229">
        <v>94241</v>
      </c>
      <c r="B408" s="229" t="s">
        <v>1126</v>
      </c>
      <c r="C408" s="105">
        <v>53316.480000000003</v>
      </c>
    </row>
    <row r="409" spans="1:3">
      <c r="A409" s="229">
        <v>94251</v>
      </c>
      <c r="B409" s="229" t="s">
        <v>1127</v>
      </c>
      <c r="C409" s="105">
        <v>8455.2699999999986</v>
      </c>
    </row>
    <row r="410" spans="1:3">
      <c r="A410" s="229">
        <v>94261</v>
      </c>
      <c r="B410" s="229" t="s">
        <v>1128</v>
      </c>
      <c r="C410" s="105">
        <v>18725.829999999998</v>
      </c>
    </row>
    <row r="411" spans="1:3">
      <c r="A411" s="229">
        <v>94301</v>
      </c>
      <c r="B411" s="229" t="s">
        <v>1129</v>
      </c>
      <c r="C411" s="105">
        <v>2799559.67</v>
      </c>
    </row>
    <row r="412" spans="1:3">
      <c r="A412" s="229">
        <v>94311</v>
      </c>
      <c r="B412" s="229" t="s">
        <v>1130</v>
      </c>
      <c r="C412" s="105">
        <v>355079.11</v>
      </c>
    </row>
    <row r="413" spans="1:3">
      <c r="A413" s="229">
        <v>94313</v>
      </c>
      <c r="B413" s="229" t="s">
        <v>1131</v>
      </c>
      <c r="C413" s="105">
        <v>12662.720000000001</v>
      </c>
    </row>
    <row r="414" spans="1:3">
      <c r="A414" s="229">
        <v>94317</v>
      </c>
      <c r="B414" s="229" t="s">
        <v>1132</v>
      </c>
      <c r="C414" s="105">
        <v>9618.07</v>
      </c>
    </row>
    <row r="415" spans="1:3">
      <c r="A415" s="229">
        <v>94321</v>
      </c>
      <c r="B415" s="229" t="s">
        <v>1133</v>
      </c>
      <c r="C415" s="105">
        <v>115394.56999999999</v>
      </c>
    </row>
    <row r="416" spans="1:3">
      <c r="A416" s="229">
        <v>94331</v>
      </c>
      <c r="B416" s="229" t="s">
        <v>1134</v>
      </c>
      <c r="C416" s="105">
        <v>68283.989999999991</v>
      </c>
    </row>
    <row r="417" spans="1:3">
      <c r="A417" s="229">
        <v>94341</v>
      </c>
      <c r="B417" s="229" t="s">
        <v>1135</v>
      </c>
      <c r="C417" s="105">
        <v>38534.320000000007</v>
      </c>
    </row>
    <row r="418" spans="1:3">
      <c r="A418" s="229">
        <v>94347</v>
      </c>
      <c r="B418" s="229" t="s">
        <v>1136</v>
      </c>
      <c r="C418" s="105">
        <v>8690.85</v>
      </c>
    </row>
    <row r="419" spans="1:3">
      <c r="A419" s="229">
        <v>94351</v>
      </c>
      <c r="B419" s="229" t="s">
        <v>1137</v>
      </c>
      <c r="C419" s="105">
        <v>104638.5</v>
      </c>
    </row>
    <row r="420" spans="1:3">
      <c r="A420" s="229">
        <v>94401</v>
      </c>
      <c r="B420" s="229" t="s">
        <v>1138</v>
      </c>
      <c r="C420" s="105">
        <v>1551159.3999999997</v>
      </c>
    </row>
    <row r="421" spans="1:3">
      <c r="A421" s="229">
        <v>94403</v>
      </c>
      <c r="B421" s="229" t="s">
        <v>1140</v>
      </c>
      <c r="C421" s="105">
        <v>9903.66</v>
      </c>
    </row>
    <row r="422" spans="1:3">
      <c r="A422" s="229">
        <v>94408</v>
      </c>
      <c r="B422" s="229" t="s">
        <v>1141</v>
      </c>
      <c r="C422" s="105">
        <v>14750.309999999998</v>
      </c>
    </row>
    <row r="423" spans="1:3">
      <c r="A423" s="229">
        <v>94411</v>
      </c>
      <c r="B423" s="229" t="s">
        <v>1142</v>
      </c>
      <c r="C423" s="105">
        <v>555106.06000000006</v>
      </c>
    </row>
    <row r="424" spans="1:3">
      <c r="A424" s="229">
        <v>94412</v>
      </c>
      <c r="B424" s="229" t="s">
        <v>1143</v>
      </c>
      <c r="C424" s="105">
        <v>13059</v>
      </c>
    </row>
    <row r="425" spans="1:3">
      <c r="A425" s="229">
        <v>94421</v>
      </c>
      <c r="B425" s="229" t="s">
        <v>1144</v>
      </c>
      <c r="C425" s="105">
        <v>80768.41</v>
      </c>
    </row>
    <row r="426" spans="1:3">
      <c r="A426" s="229">
        <v>94427</v>
      </c>
      <c r="B426" s="229" t="s">
        <v>1145</v>
      </c>
      <c r="C426" s="105">
        <v>9339.9599999999991</v>
      </c>
    </row>
    <row r="427" spans="1:3">
      <c r="A427" s="229">
        <v>94428</v>
      </c>
      <c r="B427" s="229" t="s">
        <v>1146</v>
      </c>
      <c r="C427" s="105">
        <v>33460.42</v>
      </c>
    </row>
    <row r="428" spans="1:3">
      <c r="A428" s="229">
        <v>94431</v>
      </c>
      <c r="B428" s="229" t="s">
        <v>1147</v>
      </c>
      <c r="C428" s="105">
        <v>293285.85000000003</v>
      </c>
    </row>
    <row r="429" spans="1:3">
      <c r="A429" s="229">
        <v>94437</v>
      </c>
      <c r="B429" s="229" t="s">
        <v>1148</v>
      </c>
      <c r="C429" s="105">
        <v>12848.36</v>
      </c>
    </row>
    <row r="430" spans="1:3">
      <c r="A430" s="229">
        <v>94501</v>
      </c>
      <c r="B430" s="229" t="s">
        <v>1149</v>
      </c>
      <c r="C430" s="105">
        <v>2726192.4300000006</v>
      </c>
    </row>
    <row r="431" spans="1:3">
      <c r="A431" s="229">
        <v>94511</v>
      </c>
      <c r="B431" s="229" t="s">
        <v>1150</v>
      </c>
      <c r="C431" s="105">
        <v>773013.39999999991</v>
      </c>
    </row>
    <row r="432" spans="1:3">
      <c r="A432" s="229">
        <v>94517</v>
      </c>
      <c r="B432" s="229" t="s">
        <v>1152</v>
      </c>
      <c r="C432" s="105">
        <v>31749.57</v>
      </c>
    </row>
    <row r="433" spans="1:3">
      <c r="A433" s="229">
        <v>94521</v>
      </c>
      <c r="B433" s="229" t="s">
        <v>1153</v>
      </c>
      <c r="C433" s="105">
        <v>61288.84</v>
      </c>
    </row>
    <row r="434" spans="1:3">
      <c r="A434" s="229">
        <v>94527</v>
      </c>
      <c r="B434" s="229" t="s">
        <v>1154</v>
      </c>
      <c r="C434" s="105">
        <v>2381.9599999999996</v>
      </c>
    </row>
    <row r="435" spans="1:3">
      <c r="A435" s="229">
        <v>94531</v>
      </c>
      <c r="B435" s="229" t="s">
        <v>1155</v>
      </c>
      <c r="C435" s="105">
        <v>11395.84</v>
      </c>
    </row>
    <row r="436" spans="1:3">
      <c r="A436" s="229">
        <v>94532</v>
      </c>
      <c r="B436" s="229" t="s">
        <v>1156</v>
      </c>
      <c r="C436" s="105">
        <v>45014.320000000007</v>
      </c>
    </row>
    <row r="437" spans="1:3">
      <c r="A437" s="229">
        <v>94541</v>
      </c>
      <c r="B437" s="229" t="s">
        <v>1157</v>
      </c>
      <c r="C437" s="105">
        <v>124372.05</v>
      </c>
    </row>
    <row r="438" spans="1:3">
      <c r="A438" s="229">
        <v>94547</v>
      </c>
      <c r="B438" s="229" t="s">
        <v>1158</v>
      </c>
      <c r="C438" s="105">
        <v>8019.29</v>
      </c>
    </row>
    <row r="439" spans="1:3">
      <c r="A439" s="229">
        <v>94551</v>
      </c>
      <c r="B439" s="229" t="s">
        <v>1159</v>
      </c>
      <c r="C439" s="105">
        <v>24928.989999999998</v>
      </c>
    </row>
    <row r="440" spans="1:3">
      <c r="A440" s="229">
        <v>94601</v>
      </c>
      <c r="B440" s="229" t="s">
        <v>1160</v>
      </c>
      <c r="C440" s="105">
        <v>501425.24999999994</v>
      </c>
    </row>
    <row r="441" spans="1:3">
      <c r="A441" s="229">
        <v>94604</v>
      </c>
      <c r="B441" s="229" t="s">
        <v>1161</v>
      </c>
      <c r="C441" s="105">
        <v>14408.029999999997</v>
      </c>
    </row>
    <row r="442" spans="1:3">
      <c r="A442" s="229">
        <v>94606</v>
      </c>
      <c r="B442" s="229" t="s">
        <v>1162</v>
      </c>
      <c r="C442" s="105">
        <v>106916.28000000001</v>
      </c>
    </row>
    <row r="443" spans="1:3">
      <c r="A443" s="229">
        <v>94611</v>
      </c>
      <c r="B443" s="229" t="s">
        <v>1163</v>
      </c>
      <c r="C443" s="105">
        <v>191640.99</v>
      </c>
    </row>
    <row r="444" spans="1:3">
      <c r="A444" s="229">
        <v>94621</v>
      </c>
      <c r="B444" s="229" t="s">
        <v>1164</v>
      </c>
      <c r="C444" s="105">
        <v>66540.759999999995</v>
      </c>
    </row>
    <row r="445" spans="1:3">
      <c r="A445" s="229">
        <v>94631</v>
      </c>
      <c r="B445" s="229" t="s">
        <v>1165</v>
      </c>
      <c r="C445" s="105">
        <v>22452.62</v>
      </c>
    </row>
    <row r="446" spans="1:3">
      <c r="A446" s="229">
        <v>94641</v>
      </c>
      <c r="B446" s="229" t="s">
        <v>1166</v>
      </c>
      <c r="C446" s="105">
        <v>5004.1500000000005</v>
      </c>
    </row>
    <row r="447" spans="1:3">
      <c r="A447" s="229">
        <v>94701</v>
      </c>
      <c r="B447" s="229" t="s">
        <v>1167</v>
      </c>
      <c r="C447" s="105">
        <v>1148600.2299999997</v>
      </c>
    </row>
    <row r="448" spans="1:3">
      <c r="A448" s="229">
        <v>94704</v>
      </c>
      <c r="B448" s="229" t="s">
        <v>1168</v>
      </c>
      <c r="C448" s="105">
        <v>5070.34</v>
      </c>
    </row>
    <row r="449" spans="1:3">
      <c r="A449" s="229">
        <v>94711</v>
      </c>
      <c r="B449" s="229" t="s">
        <v>1169</v>
      </c>
      <c r="C449" s="105">
        <v>165327.16</v>
      </c>
    </row>
    <row r="450" spans="1:3">
      <c r="A450" s="229">
        <v>94801</v>
      </c>
      <c r="B450" s="229" t="s">
        <v>1170</v>
      </c>
      <c r="C450" s="105">
        <v>342416</v>
      </c>
    </row>
    <row r="451" spans="1:3">
      <c r="A451" s="229">
        <v>94804</v>
      </c>
      <c r="B451" s="229" t="s">
        <v>1171</v>
      </c>
      <c r="C451" s="105">
        <v>2740.2299999999996</v>
      </c>
    </row>
    <row r="452" spans="1:3">
      <c r="A452" s="229">
        <v>94812</v>
      </c>
      <c r="B452" s="229" t="s">
        <v>1172</v>
      </c>
      <c r="C452" s="105">
        <v>19657.82</v>
      </c>
    </row>
    <row r="453" spans="1:3">
      <c r="A453" s="229">
        <v>94901</v>
      </c>
      <c r="B453" s="229" t="s">
        <v>1173</v>
      </c>
      <c r="C453" s="105">
        <v>3201092.7600000002</v>
      </c>
    </row>
    <row r="454" spans="1:3">
      <c r="A454" s="229">
        <v>94908</v>
      </c>
      <c r="B454" s="229" t="s">
        <v>1174</v>
      </c>
      <c r="C454" s="105">
        <v>7868.0999999999976</v>
      </c>
    </row>
    <row r="455" spans="1:3">
      <c r="A455" s="229">
        <v>94911</v>
      </c>
      <c r="B455" s="229" t="s">
        <v>1175</v>
      </c>
      <c r="C455" s="105">
        <v>1295988.0899999996</v>
      </c>
    </row>
    <row r="456" spans="1:3">
      <c r="A456" s="229">
        <v>94917</v>
      </c>
      <c r="B456" s="229" t="s">
        <v>1176</v>
      </c>
      <c r="C456" s="105">
        <v>27131.370000000006</v>
      </c>
    </row>
    <row r="457" spans="1:3">
      <c r="A457" s="229">
        <v>94921</v>
      </c>
      <c r="B457" s="229" t="s">
        <v>1177</v>
      </c>
      <c r="C457" s="105">
        <v>1632572.15</v>
      </c>
    </row>
    <row r="458" spans="1:3">
      <c r="A458" s="229">
        <v>94923</v>
      </c>
      <c r="B458" s="229" t="s">
        <v>1178</v>
      </c>
      <c r="C458" s="105">
        <v>14810.389999999998</v>
      </c>
    </row>
    <row r="459" spans="1:3">
      <c r="A459" s="229">
        <v>94927</v>
      </c>
      <c r="B459" s="229" t="s">
        <v>1179</v>
      </c>
      <c r="C459" s="105">
        <v>17352.640000000003</v>
      </c>
    </row>
    <row r="460" spans="1:3">
      <c r="A460" s="229">
        <v>94931</v>
      </c>
      <c r="B460" s="229" t="s">
        <v>1180</v>
      </c>
      <c r="C460" s="105">
        <v>96301.56</v>
      </c>
    </row>
    <row r="461" spans="1:3">
      <c r="A461" s="229">
        <v>94941</v>
      </c>
      <c r="B461" s="229" t="s">
        <v>1181</v>
      </c>
      <c r="C461" s="105">
        <v>242953.81</v>
      </c>
    </row>
    <row r="462" spans="1:3">
      <c r="A462" s="229">
        <v>95001</v>
      </c>
      <c r="B462" s="229" t="s">
        <v>1182</v>
      </c>
      <c r="C462" s="105">
        <v>1196131.2100000002</v>
      </c>
    </row>
    <row r="463" spans="1:3">
      <c r="A463" s="229">
        <v>95002</v>
      </c>
      <c r="B463" s="229" t="s">
        <v>1183</v>
      </c>
      <c r="C463" s="105">
        <v>100854.15</v>
      </c>
    </row>
    <row r="464" spans="1:3">
      <c r="A464" s="229">
        <v>95005</v>
      </c>
      <c r="B464" s="229" t="s">
        <v>1184</v>
      </c>
      <c r="C464" s="105">
        <v>111066.47</v>
      </c>
    </row>
    <row r="465" spans="1:3">
      <c r="A465" s="229">
        <v>95008</v>
      </c>
      <c r="B465" s="229" t="s">
        <v>1185</v>
      </c>
      <c r="C465" s="105">
        <v>62834.27</v>
      </c>
    </row>
    <row r="466" spans="1:3">
      <c r="A466" s="229">
        <v>95009</v>
      </c>
      <c r="B466" s="229" t="s">
        <v>1186</v>
      </c>
      <c r="C466" s="105">
        <v>1917855.8800000001</v>
      </c>
    </row>
    <row r="467" spans="1:3">
      <c r="A467" s="229">
        <v>95011</v>
      </c>
      <c r="B467" s="229" t="s">
        <v>1187</v>
      </c>
      <c r="C467" s="105">
        <v>78934.12999999999</v>
      </c>
    </row>
    <row r="468" spans="1:3">
      <c r="A468" s="229">
        <v>95017</v>
      </c>
      <c r="B468" s="229" t="s">
        <v>1188</v>
      </c>
      <c r="C468" s="105">
        <v>15329.869999999999</v>
      </c>
    </row>
    <row r="469" spans="1:3">
      <c r="A469" s="229">
        <v>95101</v>
      </c>
      <c r="B469" s="229" t="s">
        <v>1189</v>
      </c>
      <c r="C469" s="105">
        <v>3555097.08</v>
      </c>
    </row>
    <row r="470" spans="1:3">
      <c r="A470" s="229">
        <v>95103</v>
      </c>
      <c r="B470" s="229" t="s">
        <v>1190</v>
      </c>
      <c r="C470" s="105">
        <v>33036.130000000005</v>
      </c>
    </row>
    <row r="471" spans="1:3">
      <c r="A471" s="229">
        <v>95104</v>
      </c>
      <c r="B471" s="229" t="s">
        <v>1191</v>
      </c>
      <c r="C471" s="105">
        <v>55855.62</v>
      </c>
    </row>
    <row r="472" spans="1:3">
      <c r="A472" s="229">
        <v>95105</v>
      </c>
      <c r="B472" s="229" t="s">
        <v>1192</v>
      </c>
      <c r="C472" s="105">
        <v>33363.379999999997</v>
      </c>
    </row>
    <row r="473" spans="1:3">
      <c r="A473" s="229">
        <v>95106</v>
      </c>
      <c r="B473" s="229" t="s">
        <v>1193</v>
      </c>
      <c r="C473" s="105">
        <v>5271.8500000000013</v>
      </c>
    </row>
    <row r="474" spans="1:3">
      <c r="A474" s="229">
        <v>95110</v>
      </c>
      <c r="B474" s="229" t="s">
        <v>1194</v>
      </c>
      <c r="C474" s="105">
        <v>1965505.0899999999</v>
      </c>
    </row>
    <row r="475" spans="1:3">
      <c r="A475" s="229">
        <v>95111</v>
      </c>
      <c r="B475" s="229" t="s">
        <v>1195</v>
      </c>
      <c r="C475" s="105">
        <v>470002.71</v>
      </c>
    </row>
    <row r="476" spans="1:3">
      <c r="A476" s="229">
        <v>95113</v>
      </c>
      <c r="B476" s="229" t="s">
        <v>1196</v>
      </c>
      <c r="C476" s="105">
        <v>66186.569999999992</v>
      </c>
    </row>
    <row r="477" spans="1:3">
      <c r="A477" s="229">
        <v>95121</v>
      </c>
      <c r="B477" s="229" t="s">
        <v>1197</v>
      </c>
      <c r="C477" s="105">
        <v>224753.49</v>
      </c>
    </row>
    <row r="478" spans="1:3">
      <c r="A478" s="229">
        <v>95122</v>
      </c>
      <c r="B478" s="229" t="s">
        <v>1198</v>
      </c>
      <c r="C478" s="105">
        <v>3102.9799999999996</v>
      </c>
    </row>
    <row r="479" spans="1:3">
      <c r="A479" s="229">
        <v>95123</v>
      </c>
      <c r="B479" s="229" t="s">
        <v>1199</v>
      </c>
      <c r="C479" s="105">
        <v>29190.510000000002</v>
      </c>
    </row>
    <row r="480" spans="1:3">
      <c r="A480" s="229">
        <v>95131</v>
      </c>
      <c r="B480" s="229" t="s">
        <v>1200</v>
      </c>
      <c r="C480" s="105">
        <v>749707.41</v>
      </c>
    </row>
    <row r="481" spans="1:3">
      <c r="A481" s="229">
        <v>95141</v>
      </c>
      <c r="B481" s="229" t="s">
        <v>1201</v>
      </c>
      <c r="C481" s="105">
        <v>131053.08999999998</v>
      </c>
    </row>
    <row r="482" spans="1:3">
      <c r="A482" s="229">
        <v>95151</v>
      </c>
      <c r="B482" s="229" t="s">
        <v>1202</v>
      </c>
      <c r="C482" s="105">
        <v>46662.899999999994</v>
      </c>
    </row>
    <row r="483" spans="1:3">
      <c r="A483" s="229">
        <v>95161</v>
      </c>
      <c r="B483" s="229" t="s">
        <v>1203</v>
      </c>
      <c r="C483" s="105">
        <v>38087.31</v>
      </c>
    </row>
    <row r="484" spans="1:3">
      <c r="A484" s="229">
        <v>95171</v>
      </c>
      <c r="B484" s="229" t="s">
        <v>1204</v>
      </c>
      <c r="C484" s="105">
        <v>53916.920000000006</v>
      </c>
    </row>
    <row r="485" spans="1:3">
      <c r="A485" s="229">
        <v>95181</v>
      </c>
      <c r="B485" s="229" t="s">
        <v>1205</v>
      </c>
      <c r="C485" s="105">
        <v>30098.97</v>
      </c>
    </row>
    <row r="486" spans="1:3">
      <c r="A486" s="229">
        <v>95191</v>
      </c>
      <c r="B486" s="229" t="s">
        <v>1206</v>
      </c>
      <c r="C486" s="105">
        <v>31310.749999999996</v>
      </c>
    </row>
    <row r="487" spans="1:3">
      <c r="A487" s="229">
        <v>95201</v>
      </c>
      <c r="B487" s="229" t="s">
        <v>1207</v>
      </c>
      <c r="C487" s="105">
        <v>303948.90000000002</v>
      </c>
    </row>
    <row r="488" spans="1:3">
      <c r="A488" s="229">
        <v>95204</v>
      </c>
      <c r="B488" s="229" t="s">
        <v>1208</v>
      </c>
      <c r="C488" s="105">
        <v>7225.91</v>
      </c>
    </row>
    <row r="489" spans="1:3">
      <c r="A489" s="229">
        <v>95205</v>
      </c>
      <c r="B489" s="229" t="s">
        <v>1209</v>
      </c>
      <c r="C489" s="105">
        <v>2455.0900000000006</v>
      </c>
    </row>
    <row r="490" spans="1:3">
      <c r="A490" s="229">
        <v>95211</v>
      </c>
      <c r="B490" s="229" t="s">
        <v>1210</v>
      </c>
      <c r="C490" s="105">
        <v>4221.8500000000013</v>
      </c>
    </row>
    <row r="491" spans="1:3">
      <c r="A491" s="229">
        <v>95221</v>
      </c>
      <c r="B491" s="229" t="s">
        <v>1211</v>
      </c>
      <c r="C491" s="105">
        <v>20360.849999999999</v>
      </c>
    </row>
    <row r="492" spans="1:3">
      <c r="A492" s="229">
        <v>95301</v>
      </c>
      <c r="B492" s="229" t="s">
        <v>1212</v>
      </c>
      <c r="C492" s="105">
        <v>1141657.08</v>
      </c>
    </row>
    <row r="493" spans="1:3">
      <c r="A493" s="229">
        <v>95311</v>
      </c>
      <c r="B493" s="229" t="s">
        <v>1213</v>
      </c>
      <c r="C493" s="105">
        <v>1275633.6600000001</v>
      </c>
    </row>
    <row r="494" spans="1:3">
      <c r="A494" s="229">
        <v>95317</v>
      </c>
      <c r="B494" s="229" t="s">
        <v>1214</v>
      </c>
      <c r="C494" s="105">
        <v>27510.729999999996</v>
      </c>
    </row>
    <row r="495" spans="1:3">
      <c r="A495" s="229">
        <v>95321</v>
      </c>
      <c r="B495" s="229" t="s">
        <v>1215</v>
      </c>
      <c r="C495" s="105">
        <v>27222.019999999997</v>
      </c>
    </row>
    <row r="496" spans="1:3">
      <c r="A496" s="229">
        <v>95401</v>
      </c>
      <c r="B496" s="229" t="s">
        <v>1216</v>
      </c>
      <c r="C496" s="105">
        <v>1351002.1300000001</v>
      </c>
    </row>
    <row r="497" spans="1:3">
      <c r="A497" s="229">
        <v>95404</v>
      </c>
      <c r="B497" s="229" t="s">
        <v>1217</v>
      </c>
      <c r="C497" s="105">
        <v>22122.720000000001</v>
      </c>
    </row>
    <row r="498" spans="1:3">
      <c r="A498" s="229">
        <v>95405</v>
      </c>
      <c r="B498" s="229" t="s">
        <v>1218</v>
      </c>
      <c r="C498" s="105">
        <v>17052.539999999997</v>
      </c>
    </row>
    <row r="499" spans="1:3">
      <c r="A499" s="229">
        <v>95411</v>
      </c>
      <c r="B499" s="229" t="s">
        <v>1219</v>
      </c>
      <c r="C499" s="105">
        <v>1058017.01</v>
      </c>
    </row>
    <row r="500" spans="1:3">
      <c r="A500" s="229">
        <v>95413</v>
      </c>
      <c r="B500" s="229" t="s">
        <v>1221</v>
      </c>
      <c r="C500" s="105">
        <v>285392.24</v>
      </c>
    </row>
    <row r="501" spans="1:3">
      <c r="A501" s="229">
        <v>95415</v>
      </c>
      <c r="B501" s="229" t="s">
        <v>1222</v>
      </c>
      <c r="C501" s="105">
        <v>28157.95</v>
      </c>
    </row>
    <row r="502" spans="1:3">
      <c r="A502" s="229">
        <v>95421</v>
      </c>
      <c r="B502" s="229" t="s">
        <v>1223</v>
      </c>
      <c r="C502" s="105">
        <v>18384.72</v>
      </c>
    </row>
    <row r="503" spans="1:3">
      <c r="A503" s="229">
        <v>95431</v>
      </c>
      <c r="B503" s="229" t="s">
        <v>1224</v>
      </c>
      <c r="C503" s="105">
        <v>61885.41</v>
      </c>
    </row>
    <row r="504" spans="1:3">
      <c r="A504" s="229">
        <v>95501</v>
      </c>
      <c r="B504" s="229" t="s">
        <v>1225</v>
      </c>
      <c r="C504" s="105">
        <v>2104813.36</v>
      </c>
    </row>
    <row r="505" spans="1:3">
      <c r="A505" s="229">
        <v>95504</v>
      </c>
      <c r="B505" s="229" t="s">
        <v>1226</v>
      </c>
      <c r="C505" s="105">
        <v>9296.76</v>
      </c>
    </row>
    <row r="506" spans="1:3">
      <c r="A506" s="229">
        <v>95511</v>
      </c>
      <c r="B506" s="229" t="s">
        <v>1227</v>
      </c>
      <c r="C506" s="105">
        <v>484187.91000000003</v>
      </c>
    </row>
    <row r="507" spans="1:3">
      <c r="A507" s="229">
        <v>95513</v>
      </c>
      <c r="B507" s="229" t="s">
        <v>1228</v>
      </c>
      <c r="C507" s="105">
        <v>31793.059999999998</v>
      </c>
    </row>
    <row r="508" spans="1:3">
      <c r="A508" s="229">
        <v>95517</v>
      </c>
      <c r="B508" s="229" t="s">
        <v>1229</v>
      </c>
      <c r="C508" s="105">
        <v>15695.159999999998</v>
      </c>
    </row>
    <row r="509" spans="1:3">
      <c r="A509" s="229">
        <v>95601</v>
      </c>
      <c r="B509" s="229" t="s">
        <v>1230</v>
      </c>
      <c r="C509" s="105">
        <v>1208852.72</v>
      </c>
    </row>
    <row r="510" spans="1:3">
      <c r="A510" s="229">
        <v>95611</v>
      </c>
      <c r="B510" s="229" t="s">
        <v>1231</v>
      </c>
      <c r="C510" s="105">
        <v>186383.46999999997</v>
      </c>
    </row>
    <row r="511" spans="1:3">
      <c r="A511" s="229">
        <v>95617</v>
      </c>
      <c r="B511" s="229" t="s">
        <v>1232</v>
      </c>
      <c r="C511" s="105">
        <v>8201.3799999999992</v>
      </c>
    </row>
    <row r="512" spans="1:3">
      <c r="A512" s="229">
        <v>95621</v>
      </c>
      <c r="B512" s="229" t="s">
        <v>1233</v>
      </c>
      <c r="C512" s="105">
        <v>227836.40000000002</v>
      </c>
    </row>
    <row r="513" spans="1:3">
      <c r="A513" s="229">
        <v>95701</v>
      </c>
      <c r="B513" s="229" t="s">
        <v>1234</v>
      </c>
      <c r="C513" s="105">
        <v>600622.13</v>
      </c>
    </row>
    <row r="514" spans="1:3">
      <c r="A514" s="229">
        <v>95711</v>
      </c>
      <c r="B514" s="229" t="s">
        <v>1235</v>
      </c>
      <c r="C514" s="105">
        <v>55784.89</v>
      </c>
    </row>
    <row r="515" spans="1:3">
      <c r="A515" s="229">
        <v>95721</v>
      </c>
      <c r="B515" s="229" t="s">
        <v>1236</v>
      </c>
      <c r="C515" s="105">
        <v>25093.100000000002</v>
      </c>
    </row>
    <row r="516" spans="1:3">
      <c r="A516" s="229">
        <v>95733</v>
      </c>
      <c r="B516" s="229" t="s">
        <v>1237</v>
      </c>
      <c r="C516" s="105">
        <v>6897.59</v>
      </c>
    </row>
    <row r="517" spans="1:3">
      <c r="A517" s="229">
        <v>95801</v>
      </c>
      <c r="B517" s="229" t="s">
        <v>1238</v>
      </c>
      <c r="C517" s="105">
        <v>449778.57</v>
      </c>
    </row>
    <row r="518" spans="1:3">
      <c r="A518" s="229">
        <v>95802</v>
      </c>
      <c r="B518" s="229" t="s">
        <v>1239</v>
      </c>
      <c r="C518" s="105">
        <v>5123.8600000000006</v>
      </c>
    </row>
    <row r="519" spans="1:3">
      <c r="A519" s="229">
        <v>95804</v>
      </c>
      <c r="B519" s="229" t="s">
        <v>1240</v>
      </c>
      <c r="C519" s="105">
        <v>7566.2199999999993</v>
      </c>
    </row>
    <row r="520" spans="1:3">
      <c r="A520" s="229">
        <v>95811</v>
      </c>
      <c r="B520" s="229" t="s">
        <v>1241</v>
      </c>
      <c r="C520" s="105">
        <v>243909.30000000002</v>
      </c>
    </row>
    <row r="521" spans="1:3">
      <c r="A521" s="229">
        <v>95813</v>
      </c>
      <c r="B521" s="229" t="s">
        <v>1242</v>
      </c>
      <c r="C521" s="105">
        <v>63298.64</v>
      </c>
    </row>
    <row r="522" spans="1:3">
      <c r="A522" s="229">
        <v>95821</v>
      </c>
      <c r="B522" s="229" t="s">
        <v>1243</v>
      </c>
      <c r="C522" s="105">
        <v>609.75</v>
      </c>
    </row>
    <row r="523" spans="1:3">
      <c r="A523" s="229">
        <v>95831</v>
      </c>
      <c r="B523" s="229" t="s">
        <v>1244</v>
      </c>
      <c r="C523" s="105">
        <v>22033.83</v>
      </c>
    </row>
    <row r="524" spans="1:3">
      <c r="A524" s="229">
        <v>95841</v>
      </c>
      <c r="B524" s="229" t="s">
        <v>1245</v>
      </c>
      <c r="C524" s="105">
        <v>10804.930000000002</v>
      </c>
    </row>
    <row r="525" spans="1:3">
      <c r="A525" s="229">
        <v>95851</v>
      </c>
      <c r="B525" s="229" t="s">
        <v>1246</v>
      </c>
      <c r="C525" s="105">
        <v>142459.17000000001</v>
      </c>
    </row>
    <row r="526" spans="1:3">
      <c r="A526" s="229">
        <v>95853</v>
      </c>
      <c r="B526" s="229" t="s">
        <v>1247</v>
      </c>
      <c r="C526" s="105">
        <v>14343.84</v>
      </c>
    </row>
    <row r="527" spans="1:3">
      <c r="A527" s="229">
        <v>95901</v>
      </c>
      <c r="B527" s="229" t="s">
        <v>1248</v>
      </c>
      <c r="C527" s="105">
        <v>815701.69</v>
      </c>
    </row>
    <row r="528" spans="1:3">
      <c r="A528" s="229">
        <v>95908</v>
      </c>
      <c r="B528" s="229" t="s">
        <v>1249</v>
      </c>
      <c r="C528" s="105">
        <v>24597.75</v>
      </c>
    </row>
    <row r="529" spans="1:3">
      <c r="A529" s="229">
        <v>95911</v>
      </c>
      <c r="B529" s="229" t="s">
        <v>1250</v>
      </c>
      <c r="C529" s="105">
        <v>244844.94000000006</v>
      </c>
    </row>
    <row r="530" spans="1:3">
      <c r="A530" s="229">
        <v>95917</v>
      </c>
      <c r="B530" s="229" t="s">
        <v>1251</v>
      </c>
      <c r="C530" s="105">
        <v>11000.839999999998</v>
      </c>
    </row>
    <row r="531" spans="1:3">
      <c r="A531" s="229">
        <v>95921</v>
      </c>
      <c r="B531" s="229" t="s">
        <v>1252</v>
      </c>
      <c r="C531" s="105">
        <v>19771.79</v>
      </c>
    </row>
    <row r="532" spans="1:3">
      <c r="A532" s="229">
        <v>96001</v>
      </c>
      <c r="B532" s="229" t="s">
        <v>1253</v>
      </c>
      <c r="C532" s="105">
        <v>20012604.810000002</v>
      </c>
    </row>
    <row r="533" spans="1:3">
      <c r="A533" s="229">
        <v>96003</v>
      </c>
      <c r="B533" s="229" t="s">
        <v>1254</v>
      </c>
      <c r="C533" s="105">
        <v>743373.24000000011</v>
      </c>
    </row>
    <row r="534" spans="1:3">
      <c r="A534" s="229">
        <v>96004</v>
      </c>
      <c r="B534" s="229" t="s">
        <v>1255</v>
      </c>
      <c r="C534" s="105">
        <v>462351.75999999995</v>
      </c>
    </row>
    <row r="535" spans="1:3">
      <c r="A535" s="229">
        <v>96005</v>
      </c>
      <c r="B535" s="229" t="s">
        <v>1256</v>
      </c>
      <c r="C535" s="105">
        <v>1240289.72</v>
      </c>
    </row>
    <row r="536" spans="1:3">
      <c r="A536" s="229">
        <v>96008</v>
      </c>
      <c r="B536" s="229" t="s">
        <v>1257</v>
      </c>
      <c r="C536" s="105">
        <v>2075075.95</v>
      </c>
    </row>
    <row r="537" spans="1:3">
      <c r="A537" s="229">
        <v>96009</v>
      </c>
      <c r="B537" s="229" t="s">
        <v>1258</v>
      </c>
      <c r="C537" s="105">
        <v>192063.00000000003</v>
      </c>
    </row>
    <row r="538" spans="1:3">
      <c r="A538" s="229">
        <v>96011</v>
      </c>
      <c r="B538" s="229" t="s">
        <v>1259</v>
      </c>
      <c r="C538" s="105">
        <v>28379211.379999995</v>
      </c>
    </row>
    <row r="539" spans="1:3">
      <c r="A539" s="229">
        <v>96012</v>
      </c>
      <c r="B539" s="229" t="s">
        <v>1260</v>
      </c>
      <c r="C539" s="105">
        <v>1092788.4099999999</v>
      </c>
    </row>
    <row r="540" spans="1:3">
      <c r="A540" s="229">
        <v>96018</v>
      </c>
      <c r="B540" s="229" t="s">
        <v>1261</v>
      </c>
      <c r="C540" s="105">
        <v>18034.45</v>
      </c>
    </row>
    <row r="541" spans="1:3">
      <c r="A541" s="229">
        <v>96021</v>
      </c>
      <c r="B541" s="229" t="s">
        <v>1262</v>
      </c>
      <c r="C541" s="105">
        <v>327690.39</v>
      </c>
    </row>
    <row r="542" spans="1:3">
      <c r="A542" s="229">
        <v>96031</v>
      </c>
      <c r="B542" s="229" t="s">
        <v>1263</v>
      </c>
      <c r="C542" s="105">
        <v>325475.47000000003</v>
      </c>
    </row>
    <row r="543" spans="1:3">
      <c r="A543" s="229">
        <v>96041</v>
      </c>
      <c r="B543" s="229" t="s">
        <v>1264</v>
      </c>
      <c r="C543" s="105">
        <v>721544.05</v>
      </c>
    </row>
    <row r="544" spans="1:3">
      <c r="A544" s="229">
        <v>96051</v>
      </c>
      <c r="B544" s="229" t="s">
        <v>1265</v>
      </c>
      <c r="C544" s="105">
        <v>418345.63999999996</v>
      </c>
    </row>
    <row r="545" spans="1:3">
      <c r="A545" s="229">
        <v>96061</v>
      </c>
      <c r="B545" s="229" t="s">
        <v>1266</v>
      </c>
      <c r="C545" s="105">
        <v>154987.99</v>
      </c>
    </row>
    <row r="546" spans="1:3">
      <c r="A546" s="229">
        <v>96071</v>
      </c>
      <c r="B546" s="229" t="s">
        <v>1267</v>
      </c>
      <c r="C546" s="105">
        <v>554008.97</v>
      </c>
    </row>
    <row r="547" spans="1:3">
      <c r="A547" s="229">
        <v>96081</v>
      </c>
      <c r="B547" s="229" t="s">
        <v>1268</v>
      </c>
      <c r="C547" s="105">
        <v>211520.19</v>
      </c>
    </row>
    <row r="548" spans="1:3">
      <c r="A548" s="229">
        <v>96101</v>
      </c>
      <c r="B548" s="229" t="s">
        <v>1269</v>
      </c>
      <c r="C548" s="105">
        <v>371540.89999999997</v>
      </c>
    </row>
    <row r="549" spans="1:3">
      <c r="A549" s="229">
        <v>96102</v>
      </c>
      <c r="B549" s="229" t="s">
        <v>1270</v>
      </c>
      <c r="C549" s="105">
        <v>5077.9400000000005</v>
      </c>
    </row>
    <row r="550" spans="1:3">
      <c r="A550" s="229">
        <v>96111</v>
      </c>
      <c r="B550" s="229" t="s">
        <v>1271</v>
      </c>
      <c r="C550" s="105">
        <v>74819.210000000006</v>
      </c>
    </row>
    <row r="551" spans="1:3">
      <c r="A551" s="229">
        <v>96121</v>
      </c>
      <c r="B551" s="229" t="s">
        <v>1272</v>
      </c>
      <c r="C551" s="105">
        <v>9052.41</v>
      </c>
    </row>
    <row r="552" spans="1:3">
      <c r="A552" s="229">
        <v>96201</v>
      </c>
      <c r="B552" s="229" t="s">
        <v>1273</v>
      </c>
      <c r="C552" s="105">
        <v>527645.28999999992</v>
      </c>
    </row>
    <row r="553" spans="1:3">
      <c r="A553" s="229">
        <v>96204</v>
      </c>
      <c r="B553" s="229" t="s">
        <v>1274</v>
      </c>
      <c r="C553" s="105">
        <v>8503.01</v>
      </c>
    </row>
    <row r="554" spans="1:3">
      <c r="A554" s="229">
        <v>96211</v>
      </c>
      <c r="B554" s="229" t="s">
        <v>1275</v>
      </c>
      <c r="C554" s="105">
        <v>16678.379999999997</v>
      </c>
    </row>
    <row r="555" spans="1:3">
      <c r="A555" s="229">
        <v>96221</v>
      </c>
      <c r="B555" s="229" t="s">
        <v>1276</v>
      </c>
      <c r="C555" s="105">
        <v>98415.24</v>
      </c>
    </row>
    <row r="556" spans="1:3">
      <c r="A556" s="229">
        <v>96231</v>
      </c>
      <c r="B556" s="229" t="s">
        <v>1277</v>
      </c>
      <c r="C556" s="105">
        <v>48595.12</v>
      </c>
    </row>
    <row r="557" spans="1:3">
      <c r="A557" s="229">
        <v>96241</v>
      </c>
      <c r="B557" s="229" t="s">
        <v>1278</v>
      </c>
      <c r="C557" s="105">
        <v>22791.16</v>
      </c>
    </row>
    <row r="558" spans="1:3">
      <c r="A558" s="229">
        <v>96251</v>
      </c>
      <c r="B558" s="229" t="s">
        <v>1279</v>
      </c>
      <c r="C558" s="105">
        <v>36737.410000000003</v>
      </c>
    </row>
    <row r="559" spans="1:3">
      <c r="A559" s="229">
        <v>96301</v>
      </c>
      <c r="B559" s="229" t="s">
        <v>1280</v>
      </c>
      <c r="C559" s="105">
        <v>1938349.7399999998</v>
      </c>
    </row>
    <row r="560" spans="1:3">
      <c r="A560" s="229">
        <v>96302</v>
      </c>
      <c r="B560" s="229" t="s">
        <v>1281</v>
      </c>
      <c r="C560" s="105">
        <v>12120.929999999998</v>
      </c>
    </row>
    <row r="561" spans="1:3">
      <c r="A561" s="229">
        <v>96304</v>
      </c>
      <c r="B561" s="229" t="s">
        <v>1282</v>
      </c>
      <c r="C561" s="105">
        <v>27293.760000000002</v>
      </c>
    </row>
    <row r="562" spans="1:3">
      <c r="A562" s="229">
        <v>96305</v>
      </c>
      <c r="B562" s="229" t="s">
        <v>1283</v>
      </c>
      <c r="C562" s="105">
        <v>30519.599999999999</v>
      </c>
    </row>
    <row r="563" spans="1:3">
      <c r="A563" s="229">
        <v>96310</v>
      </c>
      <c r="B563" s="229" t="s">
        <v>1284</v>
      </c>
      <c r="C563" s="105">
        <v>26766.78</v>
      </c>
    </row>
    <row r="564" spans="1:3">
      <c r="A564" s="229">
        <v>96311</v>
      </c>
      <c r="B564" s="229" t="s">
        <v>1285</v>
      </c>
      <c r="C564" s="105">
        <v>595123.57999999996</v>
      </c>
    </row>
    <row r="565" spans="1:3">
      <c r="A565" s="229">
        <v>96312</v>
      </c>
      <c r="B565" s="229" t="s">
        <v>1286</v>
      </c>
      <c r="C565" s="105">
        <v>4819.92</v>
      </c>
    </row>
    <row r="566" spans="1:3">
      <c r="A566" s="229">
        <v>96318</v>
      </c>
      <c r="B566" s="229" t="s">
        <v>1287</v>
      </c>
      <c r="C566" s="105">
        <v>1061237.49</v>
      </c>
    </row>
    <row r="567" spans="1:3">
      <c r="A567" s="229">
        <v>96321</v>
      </c>
      <c r="B567" s="229" t="s">
        <v>1288</v>
      </c>
      <c r="C567" s="105">
        <v>18736.629999999997</v>
      </c>
    </row>
    <row r="568" spans="1:3">
      <c r="A568" s="229">
        <v>96331</v>
      </c>
      <c r="B568" s="229" t="s">
        <v>1289</v>
      </c>
      <c r="C568" s="105">
        <v>321182.36000000004</v>
      </c>
    </row>
    <row r="569" spans="1:3">
      <c r="A569" s="229">
        <v>96341</v>
      </c>
      <c r="B569" s="229" t="s">
        <v>1290</v>
      </c>
      <c r="C569" s="105">
        <v>35035.769999999997</v>
      </c>
    </row>
    <row r="570" spans="1:3">
      <c r="A570" s="229">
        <v>96351</v>
      </c>
      <c r="B570" s="229" t="s">
        <v>1291</v>
      </c>
      <c r="C570" s="105">
        <v>488440.63</v>
      </c>
    </row>
    <row r="571" spans="1:3">
      <c r="A571" s="229">
        <v>96361</v>
      </c>
      <c r="B571" s="229" t="s">
        <v>1292</v>
      </c>
      <c r="C571" s="105">
        <v>24289.03</v>
      </c>
    </row>
    <row r="572" spans="1:3">
      <c r="A572" s="229">
        <v>96371</v>
      </c>
      <c r="B572" s="229" t="s">
        <v>1293</v>
      </c>
      <c r="C572" s="105">
        <v>67275.76999999999</v>
      </c>
    </row>
    <row r="573" spans="1:3">
      <c r="A573" s="229">
        <v>96381</v>
      </c>
      <c r="B573" s="229" t="s">
        <v>1294</v>
      </c>
      <c r="C573" s="105">
        <v>15357.089999999997</v>
      </c>
    </row>
    <row r="574" spans="1:3">
      <c r="A574" s="229">
        <v>96391</v>
      </c>
      <c r="B574" s="229" t="s">
        <v>1295</v>
      </c>
      <c r="C574" s="105">
        <v>74519.070000000007</v>
      </c>
    </row>
    <row r="575" spans="1:3">
      <c r="A575" s="229">
        <v>96401</v>
      </c>
      <c r="B575" s="229" t="s">
        <v>1296</v>
      </c>
      <c r="C575" s="105">
        <v>2040109.23</v>
      </c>
    </row>
    <row r="576" spans="1:3">
      <c r="A576" s="229">
        <v>96404</v>
      </c>
      <c r="B576" s="229" t="s">
        <v>1297</v>
      </c>
      <c r="C576" s="105">
        <v>57854.709999999992</v>
      </c>
    </row>
    <row r="577" spans="1:3">
      <c r="A577" s="229">
        <v>96405</v>
      </c>
      <c r="B577" s="229" t="s">
        <v>1298</v>
      </c>
      <c r="C577" s="105">
        <v>86618.239999999991</v>
      </c>
    </row>
    <row r="578" spans="1:3">
      <c r="A578" s="229">
        <v>96411</v>
      </c>
      <c r="B578" s="229" t="s">
        <v>1299</v>
      </c>
      <c r="C578" s="105">
        <v>28784.39</v>
      </c>
    </row>
    <row r="579" spans="1:3">
      <c r="A579" s="229">
        <v>96421</v>
      </c>
      <c r="B579" s="229" t="s">
        <v>1300</v>
      </c>
      <c r="C579" s="105">
        <v>170403.58000000002</v>
      </c>
    </row>
    <row r="580" spans="1:3">
      <c r="A580" s="229">
        <v>96431</v>
      </c>
      <c r="B580" s="229" t="s">
        <v>1301</v>
      </c>
      <c r="C580" s="105">
        <v>21289.47</v>
      </c>
    </row>
    <row r="581" spans="1:3">
      <c r="A581" s="229">
        <v>96441</v>
      </c>
      <c r="B581" s="229" t="s">
        <v>1302</v>
      </c>
      <c r="C581" s="105">
        <v>18706.769999999997</v>
      </c>
    </row>
    <row r="582" spans="1:3">
      <c r="A582" s="229">
        <v>96451</v>
      </c>
      <c r="B582" s="229" t="s">
        <v>1303</v>
      </c>
      <c r="C582" s="105">
        <v>8566.18</v>
      </c>
    </row>
    <row r="583" spans="1:3">
      <c r="A583" s="229">
        <v>96461</v>
      </c>
      <c r="B583" s="229" t="s">
        <v>1304</v>
      </c>
      <c r="C583" s="105">
        <v>63932.05999999999</v>
      </c>
    </row>
    <row r="584" spans="1:3">
      <c r="A584" s="229">
        <v>96501</v>
      </c>
      <c r="B584" s="229" t="s">
        <v>1305</v>
      </c>
      <c r="C584" s="105">
        <v>6399555.9400000004</v>
      </c>
    </row>
    <row r="585" spans="1:3">
      <c r="A585" s="229">
        <v>96502</v>
      </c>
      <c r="B585" s="229" t="s">
        <v>1306</v>
      </c>
      <c r="C585" s="105">
        <v>198105.11</v>
      </c>
    </row>
    <row r="586" spans="1:3">
      <c r="A586" s="229">
        <v>96503</v>
      </c>
      <c r="B586" s="229" t="s">
        <v>1307</v>
      </c>
      <c r="C586" s="105">
        <v>293862.68000000005</v>
      </c>
    </row>
    <row r="587" spans="1:3">
      <c r="A587" s="229">
        <v>96504</v>
      </c>
      <c r="B587" s="229" t="s">
        <v>1308</v>
      </c>
      <c r="C587" s="105">
        <v>189891.95</v>
      </c>
    </row>
    <row r="588" spans="1:3">
      <c r="A588" s="229">
        <v>96507</v>
      </c>
      <c r="B588" s="229" t="s">
        <v>1309</v>
      </c>
      <c r="C588" s="105">
        <v>1026624.38</v>
      </c>
    </row>
    <row r="589" spans="1:3">
      <c r="A589" s="229">
        <v>96508</v>
      </c>
      <c r="B589" s="229" t="s">
        <v>1310</v>
      </c>
      <c r="C589" s="105">
        <v>11086.08</v>
      </c>
    </row>
    <row r="590" spans="1:3">
      <c r="A590" s="229">
        <v>96511</v>
      </c>
      <c r="B590" s="229" t="s">
        <v>1311</v>
      </c>
      <c r="C590" s="105">
        <v>276057.34999999998</v>
      </c>
    </row>
    <row r="591" spans="1:3">
      <c r="A591" s="229">
        <v>96512</v>
      </c>
      <c r="B591" s="229" t="s">
        <v>1312</v>
      </c>
      <c r="C591" s="105">
        <v>72714.91</v>
      </c>
    </row>
    <row r="592" spans="1:3">
      <c r="A592" s="229">
        <v>96521</v>
      </c>
      <c r="B592" s="229" t="s">
        <v>1313</v>
      </c>
      <c r="C592" s="105">
        <v>408177.79</v>
      </c>
    </row>
    <row r="593" spans="1:3">
      <c r="A593" s="229">
        <v>96531</v>
      </c>
      <c r="B593" s="229" t="s">
        <v>1314</v>
      </c>
      <c r="C593" s="105">
        <v>3779880.6199999996</v>
      </c>
    </row>
    <row r="594" spans="1:3">
      <c r="A594" s="229">
        <v>96541</v>
      </c>
      <c r="B594" s="229" t="s">
        <v>1315</v>
      </c>
      <c r="C594" s="105">
        <v>156792.44</v>
      </c>
    </row>
    <row r="595" spans="1:3">
      <c r="A595" s="229">
        <v>96601</v>
      </c>
      <c r="B595" s="229" t="s">
        <v>1316</v>
      </c>
      <c r="C595" s="105">
        <v>878871.7100000002</v>
      </c>
    </row>
    <row r="596" spans="1:3">
      <c r="A596" s="229">
        <v>96604</v>
      </c>
      <c r="B596" s="229" t="s">
        <v>1317</v>
      </c>
      <c r="C596" s="105">
        <v>5010.91</v>
      </c>
    </row>
    <row r="597" spans="1:3">
      <c r="A597" s="229">
        <v>96611</v>
      </c>
      <c r="B597" s="229" t="s">
        <v>1318</v>
      </c>
      <c r="C597" s="105">
        <v>12016.16</v>
      </c>
    </row>
    <row r="598" spans="1:3">
      <c r="A598" s="229">
        <v>96612</v>
      </c>
      <c r="B598" s="229" t="s">
        <v>1319</v>
      </c>
      <c r="C598" s="105">
        <v>32834.22</v>
      </c>
    </row>
    <row r="599" spans="1:3">
      <c r="A599" s="229">
        <v>96621</v>
      </c>
      <c r="B599" s="229" t="s">
        <v>1320</v>
      </c>
      <c r="C599" s="105">
        <v>13235.42</v>
      </c>
    </row>
    <row r="600" spans="1:3">
      <c r="A600" s="229">
        <v>96631</v>
      </c>
      <c r="B600" s="229" t="s">
        <v>1321</v>
      </c>
      <c r="C600" s="105">
        <v>11904.52</v>
      </c>
    </row>
    <row r="601" spans="1:3">
      <c r="A601" s="229">
        <v>96641</v>
      </c>
      <c r="B601" s="229" t="s">
        <v>1322</v>
      </c>
      <c r="C601" s="105">
        <v>20865.260000000002</v>
      </c>
    </row>
    <row r="602" spans="1:3">
      <c r="A602" s="229">
        <v>96651</v>
      </c>
      <c r="B602" s="229" t="s">
        <v>1323</v>
      </c>
      <c r="C602" s="105">
        <v>11419.39</v>
      </c>
    </row>
    <row r="603" spans="1:3">
      <c r="A603" s="229">
        <v>96661</v>
      </c>
      <c r="B603" s="229" t="s">
        <v>1324</v>
      </c>
      <c r="C603" s="105">
        <v>10399.49</v>
      </c>
    </row>
    <row r="604" spans="1:3">
      <c r="A604" s="229">
        <v>96671</v>
      </c>
      <c r="B604" s="229" t="s">
        <v>1325</v>
      </c>
      <c r="C604" s="105">
        <v>8399.93</v>
      </c>
    </row>
    <row r="605" spans="1:3">
      <c r="A605" s="229">
        <v>96681</v>
      </c>
      <c r="B605" s="229" t="s">
        <v>1326</v>
      </c>
      <c r="C605" s="105">
        <v>12178.619999999999</v>
      </c>
    </row>
    <row r="606" spans="1:3">
      <c r="A606" s="229">
        <v>96701</v>
      </c>
      <c r="B606" s="229" t="s">
        <v>1327</v>
      </c>
      <c r="C606" s="105">
        <v>3657207.7199999997</v>
      </c>
    </row>
    <row r="607" spans="1:3">
      <c r="A607" s="229">
        <v>96704</v>
      </c>
      <c r="B607" s="229" t="s">
        <v>1328</v>
      </c>
      <c r="C607" s="105">
        <v>92320.030000000013</v>
      </c>
    </row>
    <row r="608" spans="1:3">
      <c r="A608" s="229">
        <v>96708</v>
      </c>
      <c r="B608" s="229" t="s">
        <v>1329</v>
      </c>
      <c r="C608" s="105">
        <v>441727.00000000006</v>
      </c>
    </row>
    <row r="609" spans="1:3">
      <c r="A609" s="229">
        <v>96711</v>
      </c>
      <c r="B609" s="229" t="s">
        <v>1330</v>
      </c>
      <c r="C609" s="105">
        <v>1869918</v>
      </c>
    </row>
    <row r="610" spans="1:3">
      <c r="A610" s="229">
        <v>96721</v>
      </c>
      <c r="B610" s="229" t="s">
        <v>1331</v>
      </c>
      <c r="C610" s="105">
        <v>96163.239999999991</v>
      </c>
    </row>
    <row r="611" spans="1:3">
      <c r="A611" s="229">
        <v>96731</v>
      </c>
      <c r="B611" s="229" t="s">
        <v>1332</v>
      </c>
      <c r="C611" s="105">
        <v>72355.61</v>
      </c>
    </row>
    <row r="612" spans="1:3">
      <c r="A612" s="229">
        <v>96733</v>
      </c>
      <c r="B612" s="229" t="s">
        <v>1333</v>
      </c>
      <c r="C612" s="105">
        <v>4278.46</v>
      </c>
    </row>
    <row r="613" spans="1:3">
      <c r="A613" s="229">
        <v>96741</v>
      </c>
      <c r="B613" s="229" t="s">
        <v>1334</v>
      </c>
      <c r="C613" s="105">
        <v>41447.850000000006</v>
      </c>
    </row>
    <row r="614" spans="1:3">
      <c r="A614" s="229">
        <v>96751</v>
      </c>
      <c r="B614" s="229" t="s">
        <v>1335</v>
      </c>
      <c r="C614" s="105">
        <v>115659.57999999999</v>
      </c>
    </row>
    <row r="615" spans="1:3">
      <c r="A615" s="229">
        <v>96801</v>
      </c>
      <c r="B615" s="229" t="s">
        <v>1336</v>
      </c>
      <c r="C615" s="105">
        <v>3611119.7</v>
      </c>
    </row>
    <row r="616" spans="1:3">
      <c r="A616" s="229">
        <v>96804</v>
      </c>
      <c r="B616" s="229" t="s">
        <v>1337</v>
      </c>
      <c r="C616" s="105">
        <v>109175.44</v>
      </c>
    </row>
    <row r="617" spans="1:3">
      <c r="A617" s="229">
        <v>96808</v>
      </c>
      <c r="B617" s="229" t="s">
        <v>1338</v>
      </c>
      <c r="C617" s="105">
        <v>593249.02</v>
      </c>
    </row>
    <row r="618" spans="1:3">
      <c r="A618" s="229">
        <v>96811</v>
      </c>
      <c r="B618" s="229" t="s">
        <v>1339</v>
      </c>
      <c r="C618" s="105">
        <v>2786024.5599999996</v>
      </c>
    </row>
    <row r="619" spans="1:3">
      <c r="A619" s="229">
        <v>96821</v>
      </c>
      <c r="B619" s="229" t="s">
        <v>1340</v>
      </c>
      <c r="C619" s="105">
        <v>603955.94999999995</v>
      </c>
    </row>
    <row r="620" spans="1:3">
      <c r="A620" s="229">
        <v>96831</v>
      </c>
      <c r="B620" s="229" t="s">
        <v>1341</v>
      </c>
      <c r="C620" s="105">
        <v>426593.44000000012</v>
      </c>
    </row>
    <row r="621" spans="1:3">
      <c r="A621" s="229">
        <v>96901</v>
      </c>
      <c r="B621" s="229" t="s">
        <v>1342</v>
      </c>
      <c r="C621" s="105">
        <v>411770.29</v>
      </c>
    </row>
    <row r="622" spans="1:3">
      <c r="A622" s="229">
        <v>96911</v>
      </c>
      <c r="B622" s="229" t="s">
        <v>1343</v>
      </c>
      <c r="C622" s="105">
        <v>1941.5699999999997</v>
      </c>
    </row>
    <row r="623" spans="1:3">
      <c r="A623" s="229">
        <v>96912</v>
      </c>
      <c r="B623" s="229" t="s">
        <v>1344</v>
      </c>
      <c r="C623" s="105">
        <v>24609.720000000005</v>
      </c>
    </row>
    <row r="624" spans="1:3">
      <c r="A624" s="229">
        <v>96918</v>
      </c>
      <c r="B624" s="229" t="s">
        <v>1345</v>
      </c>
      <c r="C624" s="105">
        <v>20288.789999999994</v>
      </c>
    </row>
    <row r="625" spans="1:3">
      <c r="A625" s="229">
        <v>97001</v>
      </c>
      <c r="B625" s="229" t="s">
        <v>1346</v>
      </c>
      <c r="C625" s="105">
        <v>710694.22</v>
      </c>
    </row>
    <row r="626" spans="1:3">
      <c r="A626" s="229">
        <v>97002</v>
      </c>
      <c r="B626" s="229" t="s">
        <v>1347</v>
      </c>
      <c r="C626" s="105">
        <v>182319.24</v>
      </c>
    </row>
    <row r="627" spans="1:3">
      <c r="A627" s="229">
        <v>97004</v>
      </c>
      <c r="B627" s="229" t="s">
        <v>1348</v>
      </c>
      <c r="C627" s="105">
        <v>8257.23</v>
      </c>
    </row>
    <row r="628" spans="1:3">
      <c r="A628" s="229">
        <v>97005</v>
      </c>
      <c r="B628" s="229" t="s">
        <v>1349</v>
      </c>
      <c r="C628" s="105">
        <v>15091.840000000004</v>
      </c>
    </row>
    <row r="629" spans="1:3">
      <c r="A629" s="229">
        <v>97008</v>
      </c>
      <c r="B629" s="229" t="s">
        <v>1350</v>
      </c>
      <c r="C629" s="105">
        <v>128453.32</v>
      </c>
    </row>
    <row r="630" spans="1:3">
      <c r="A630" s="229">
        <v>97011</v>
      </c>
      <c r="B630" s="229" t="s">
        <v>1352</v>
      </c>
      <c r="C630" s="105">
        <v>907457.56999999983</v>
      </c>
    </row>
    <row r="631" spans="1:3">
      <c r="A631" s="229">
        <v>97012</v>
      </c>
      <c r="B631" s="229" t="s">
        <v>1353</v>
      </c>
      <c r="C631" s="105">
        <v>12374.49</v>
      </c>
    </row>
    <row r="632" spans="1:3">
      <c r="A632" s="229">
        <v>97013</v>
      </c>
      <c r="B632" s="229" t="s">
        <v>1354</v>
      </c>
      <c r="C632" s="105">
        <v>11432.48</v>
      </c>
    </row>
    <row r="633" spans="1:3">
      <c r="A633" s="229">
        <v>97015</v>
      </c>
      <c r="B633" s="229" t="s">
        <v>1355</v>
      </c>
      <c r="C633" s="105">
        <v>23035.67</v>
      </c>
    </row>
    <row r="634" spans="1:3">
      <c r="A634" s="229">
        <v>97018</v>
      </c>
      <c r="B634" s="229" t="s">
        <v>1356</v>
      </c>
      <c r="C634" s="105">
        <v>8134.56</v>
      </c>
    </row>
    <row r="635" spans="1:3">
      <c r="A635" s="229">
        <v>97101</v>
      </c>
      <c r="B635" s="229" t="s">
        <v>1357</v>
      </c>
      <c r="C635" s="105">
        <v>1208499.9099999999</v>
      </c>
    </row>
    <row r="636" spans="1:3">
      <c r="A636" s="229">
        <v>97104</v>
      </c>
      <c r="B636" s="229" t="s">
        <v>1358</v>
      </c>
      <c r="C636" s="105">
        <v>29146.929999999997</v>
      </c>
    </row>
    <row r="637" spans="1:3">
      <c r="A637" s="229">
        <v>97111</v>
      </c>
      <c r="B637" s="229" t="s">
        <v>1359</v>
      </c>
      <c r="C637" s="105">
        <v>108870.45999999999</v>
      </c>
    </row>
    <row r="638" spans="1:3">
      <c r="A638" s="229">
        <v>97121</v>
      </c>
      <c r="B638" s="229" t="s">
        <v>1360</v>
      </c>
      <c r="C638" s="105">
        <v>66521.84</v>
      </c>
    </row>
    <row r="639" spans="1:3">
      <c r="A639" s="229">
        <v>97131</v>
      </c>
      <c r="B639" s="229" t="s">
        <v>1361</v>
      </c>
      <c r="C639" s="105">
        <v>280483.40000000002</v>
      </c>
    </row>
    <row r="640" spans="1:3">
      <c r="A640" s="229">
        <v>97201</v>
      </c>
      <c r="B640" s="229" t="s">
        <v>1362</v>
      </c>
      <c r="C640" s="105">
        <v>248231.81000000003</v>
      </c>
    </row>
    <row r="641" spans="1:3">
      <c r="A641" s="229">
        <v>97211</v>
      </c>
      <c r="B641" s="229" t="s">
        <v>1363</v>
      </c>
      <c r="C641" s="105">
        <v>74901.72</v>
      </c>
    </row>
    <row r="642" spans="1:3">
      <c r="A642" s="229">
        <v>97213</v>
      </c>
      <c r="B642" s="229" t="s">
        <v>1364</v>
      </c>
      <c r="C642" s="105">
        <v>24679.989999999998</v>
      </c>
    </row>
    <row r="643" spans="1:3">
      <c r="A643" s="229">
        <v>97217</v>
      </c>
      <c r="B643" s="229" t="s">
        <v>1365</v>
      </c>
      <c r="C643" s="105">
        <v>6889.51</v>
      </c>
    </row>
    <row r="644" spans="1:3">
      <c r="A644" s="229">
        <v>97221</v>
      </c>
      <c r="B644" s="229" t="s">
        <v>1366</v>
      </c>
      <c r="C644" s="105">
        <v>7777.7399999999989</v>
      </c>
    </row>
    <row r="645" spans="1:3">
      <c r="A645" s="229">
        <v>97301</v>
      </c>
      <c r="B645" s="229" t="s">
        <v>1367</v>
      </c>
      <c r="C645" s="105">
        <v>1186932.25</v>
      </c>
    </row>
    <row r="646" spans="1:3">
      <c r="A646" s="229">
        <v>97304</v>
      </c>
      <c r="B646" s="229" t="s">
        <v>1368</v>
      </c>
      <c r="C646" s="105">
        <v>13381.54</v>
      </c>
    </row>
    <row r="647" spans="1:3">
      <c r="A647" s="229">
        <v>97311</v>
      </c>
      <c r="B647" s="229" t="s">
        <v>1369</v>
      </c>
      <c r="C647" s="105">
        <v>407124.39999999997</v>
      </c>
    </row>
    <row r="648" spans="1:3">
      <c r="A648" s="229">
        <v>97401</v>
      </c>
      <c r="B648" s="229" t="s">
        <v>1370</v>
      </c>
      <c r="C648" s="105">
        <v>3322668.7800000003</v>
      </c>
    </row>
    <row r="649" spans="1:3">
      <c r="A649" s="229">
        <v>97402</v>
      </c>
      <c r="B649" s="229" t="s">
        <v>1371</v>
      </c>
      <c r="C649" s="105">
        <v>25207.209999999995</v>
      </c>
    </row>
    <row r="650" spans="1:3">
      <c r="A650" s="229">
        <v>97404</v>
      </c>
      <c r="B650" s="229" t="s">
        <v>1372</v>
      </c>
      <c r="C650" s="105">
        <v>84648.55</v>
      </c>
    </row>
    <row r="651" spans="1:3">
      <c r="A651" s="229">
        <v>97405</v>
      </c>
      <c r="B651" s="229" t="s">
        <v>1373</v>
      </c>
      <c r="C651" s="105">
        <v>65705.47</v>
      </c>
    </row>
    <row r="652" spans="1:3">
      <c r="A652" s="229">
        <v>97408</v>
      </c>
      <c r="B652" s="229" t="s">
        <v>1374</v>
      </c>
      <c r="C652" s="105">
        <v>27498.809999999994</v>
      </c>
    </row>
    <row r="653" spans="1:3">
      <c r="A653" s="229">
        <v>97411</v>
      </c>
      <c r="B653" s="229" t="s">
        <v>1375</v>
      </c>
      <c r="C653" s="105">
        <v>2979172.5</v>
      </c>
    </row>
    <row r="654" spans="1:3">
      <c r="A654" s="229">
        <v>97412</v>
      </c>
      <c r="B654" s="229" t="s">
        <v>1376</v>
      </c>
      <c r="C654" s="105">
        <v>2155643.56</v>
      </c>
    </row>
    <row r="655" spans="1:3">
      <c r="A655" s="229">
        <v>97413</v>
      </c>
      <c r="B655" s="229" t="s">
        <v>1377</v>
      </c>
      <c r="C655" s="105">
        <v>140808.79999999999</v>
      </c>
    </row>
    <row r="656" spans="1:3">
      <c r="A656" s="229">
        <v>97421</v>
      </c>
      <c r="B656" s="229" t="s">
        <v>1378</v>
      </c>
      <c r="C656" s="105">
        <v>192260.81000000003</v>
      </c>
    </row>
    <row r="657" spans="1:3">
      <c r="A657" s="229">
        <v>97423</v>
      </c>
      <c r="B657" s="229" t="s">
        <v>1379</v>
      </c>
      <c r="C657" s="105">
        <v>42975.929999999993</v>
      </c>
    </row>
    <row r="658" spans="1:3">
      <c r="A658" s="229">
        <v>97431</v>
      </c>
      <c r="B658" s="229" t="s">
        <v>1380</v>
      </c>
      <c r="C658" s="105">
        <v>44546.02</v>
      </c>
    </row>
    <row r="659" spans="1:3">
      <c r="A659" s="229">
        <v>97441</v>
      </c>
      <c r="B659" s="229" t="s">
        <v>1381</v>
      </c>
      <c r="C659" s="105">
        <v>25243.599999999999</v>
      </c>
    </row>
    <row r="660" spans="1:3">
      <c r="A660" s="229">
        <v>97451</v>
      </c>
      <c r="B660" s="229" t="s">
        <v>1382</v>
      </c>
      <c r="C660" s="105">
        <v>245214.42</v>
      </c>
    </row>
    <row r="661" spans="1:3">
      <c r="A661" s="229">
        <v>97461</v>
      </c>
      <c r="B661" s="229" t="s">
        <v>1383</v>
      </c>
      <c r="C661" s="105">
        <v>228349.53999999998</v>
      </c>
    </row>
    <row r="662" spans="1:3">
      <c r="A662" s="229">
        <v>97463</v>
      </c>
      <c r="B662" s="229" t="s">
        <v>1384</v>
      </c>
      <c r="C662" s="105">
        <v>16311.75</v>
      </c>
    </row>
    <row r="663" spans="1:3">
      <c r="A663" s="229">
        <v>97471</v>
      </c>
      <c r="B663" s="229" t="s">
        <v>1385</v>
      </c>
      <c r="C663" s="105">
        <v>10246.98</v>
      </c>
    </row>
    <row r="664" spans="1:3">
      <c r="A664" s="229">
        <v>97481</v>
      </c>
      <c r="B664" s="229" t="s">
        <v>1386</v>
      </c>
      <c r="C664" s="105">
        <v>6015.34</v>
      </c>
    </row>
    <row r="665" spans="1:3">
      <c r="A665" s="229">
        <v>97501</v>
      </c>
      <c r="B665" s="229" t="s">
        <v>1388</v>
      </c>
      <c r="C665" s="105">
        <v>517522.17</v>
      </c>
    </row>
    <row r="666" spans="1:3">
      <c r="A666" s="229">
        <v>97511</v>
      </c>
      <c r="B666" s="229" t="s">
        <v>1389</v>
      </c>
      <c r="C666" s="105">
        <v>112043.93</v>
      </c>
    </row>
    <row r="667" spans="1:3">
      <c r="A667" s="229">
        <v>97521</v>
      </c>
      <c r="B667" s="229" t="s">
        <v>1390</v>
      </c>
      <c r="C667" s="105">
        <v>56687.740000000005</v>
      </c>
    </row>
    <row r="668" spans="1:3">
      <c r="A668" s="229">
        <v>97527</v>
      </c>
      <c r="B668" s="229" t="s">
        <v>1641</v>
      </c>
      <c r="C668" s="105">
        <v>532.1099999999999</v>
      </c>
    </row>
    <row r="669" spans="1:3">
      <c r="A669" s="229">
        <v>97531</v>
      </c>
      <c r="B669" s="229" t="s">
        <v>1391</v>
      </c>
      <c r="C669" s="105">
        <v>25035.190000000002</v>
      </c>
    </row>
    <row r="670" spans="1:3">
      <c r="A670" s="229">
        <v>97601</v>
      </c>
      <c r="B670" s="229" t="s">
        <v>1392</v>
      </c>
      <c r="C670" s="105">
        <v>2286999.6</v>
      </c>
    </row>
    <row r="671" spans="1:3">
      <c r="A671" s="229">
        <v>97607</v>
      </c>
      <c r="B671" s="229" t="s">
        <v>1393</v>
      </c>
      <c r="C671" s="105">
        <v>17254.64</v>
      </c>
    </row>
    <row r="672" spans="1:3">
      <c r="A672" s="229">
        <v>97611</v>
      </c>
      <c r="B672" s="229" t="s">
        <v>1394</v>
      </c>
      <c r="C672" s="105">
        <v>1108487.7400000002</v>
      </c>
    </row>
    <row r="673" spans="1:3">
      <c r="A673" s="229">
        <v>97613</v>
      </c>
      <c r="B673" s="229" t="s">
        <v>1395</v>
      </c>
      <c r="C673" s="105">
        <v>60156.710000000006</v>
      </c>
    </row>
    <row r="674" spans="1:3">
      <c r="A674" s="229">
        <v>97621</v>
      </c>
      <c r="B674" s="229" t="s">
        <v>1396</v>
      </c>
      <c r="C674" s="105">
        <v>179046.86000000002</v>
      </c>
    </row>
    <row r="675" spans="1:3">
      <c r="A675" s="229">
        <v>97623</v>
      </c>
      <c r="B675" s="229" t="s">
        <v>1397</v>
      </c>
      <c r="C675" s="105">
        <v>11113.43</v>
      </c>
    </row>
    <row r="676" spans="1:3">
      <c r="A676" s="229">
        <v>97627</v>
      </c>
      <c r="B676" s="229" t="s">
        <v>1398</v>
      </c>
      <c r="C676" s="105">
        <v>5007.6000000000004</v>
      </c>
    </row>
    <row r="677" spans="1:3">
      <c r="A677" s="229">
        <v>97631</v>
      </c>
      <c r="B677" s="229" t="s">
        <v>1399</v>
      </c>
      <c r="C677" s="105">
        <v>85999.290000000008</v>
      </c>
    </row>
    <row r="678" spans="1:3">
      <c r="A678" s="229">
        <v>97637</v>
      </c>
      <c r="B678" s="229" t="s">
        <v>1400</v>
      </c>
      <c r="C678" s="105">
        <v>3072.1200000000008</v>
      </c>
    </row>
    <row r="679" spans="1:3">
      <c r="A679" s="229">
        <v>97641</v>
      </c>
      <c r="B679" s="229" t="s">
        <v>1401</v>
      </c>
      <c r="C679" s="105">
        <v>35026.46</v>
      </c>
    </row>
    <row r="680" spans="1:3">
      <c r="A680" s="229">
        <v>97651</v>
      </c>
      <c r="B680" s="229" t="s">
        <v>1402</v>
      </c>
      <c r="C680" s="105">
        <v>222466.38999999996</v>
      </c>
    </row>
    <row r="681" spans="1:3">
      <c r="A681" s="229">
        <v>97661</v>
      </c>
      <c r="B681" s="229" t="s">
        <v>1403</v>
      </c>
      <c r="C681" s="105">
        <v>24365.61</v>
      </c>
    </row>
    <row r="682" spans="1:3">
      <c r="A682" s="229">
        <v>97701</v>
      </c>
      <c r="B682" s="229" t="s">
        <v>1404</v>
      </c>
      <c r="C682" s="105">
        <v>1156151.48</v>
      </c>
    </row>
    <row r="683" spans="1:3">
      <c r="A683" s="229">
        <v>97705</v>
      </c>
      <c r="B683" s="229" t="s">
        <v>1405</v>
      </c>
      <c r="C683" s="105">
        <v>22208.679999999997</v>
      </c>
    </row>
    <row r="684" spans="1:3">
      <c r="A684" s="229">
        <v>97711</v>
      </c>
      <c r="B684" s="229" t="s">
        <v>1406</v>
      </c>
      <c r="C684" s="105">
        <v>424323.98000000004</v>
      </c>
    </row>
    <row r="685" spans="1:3">
      <c r="A685" s="229">
        <v>97713</v>
      </c>
      <c r="B685" s="229" t="s">
        <v>1407</v>
      </c>
      <c r="C685" s="105">
        <v>17328.420000000002</v>
      </c>
    </row>
    <row r="686" spans="1:3">
      <c r="A686" s="229">
        <v>97717</v>
      </c>
      <c r="B686" s="229" t="s">
        <v>1408</v>
      </c>
      <c r="C686" s="105">
        <v>2478.17</v>
      </c>
    </row>
    <row r="687" spans="1:3">
      <c r="A687" s="229">
        <v>97721</v>
      </c>
      <c r="B687" s="229" t="s">
        <v>1409</v>
      </c>
      <c r="C687" s="105">
        <v>255784.57999999996</v>
      </c>
    </row>
    <row r="688" spans="1:3">
      <c r="A688" s="229">
        <v>97727</v>
      </c>
      <c r="B688" s="229" t="s">
        <v>1410</v>
      </c>
      <c r="C688" s="105">
        <v>10991.85</v>
      </c>
    </row>
    <row r="689" spans="1:3">
      <c r="A689" s="229">
        <v>97731</v>
      </c>
      <c r="B689" s="229" t="s">
        <v>1411</v>
      </c>
      <c r="C689" s="105">
        <v>18459.8</v>
      </c>
    </row>
    <row r="690" spans="1:3">
      <c r="A690" s="229">
        <v>97801</v>
      </c>
      <c r="B690" s="229" t="s">
        <v>1412</v>
      </c>
      <c r="C690" s="105">
        <v>3179608.4800000004</v>
      </c>
    </row>
    <row r="691" spans="1:3">
      <c r="A691" s="229">
        <v>97802</v>
      </c>
      <c r="B691" s="229" t="s">
        <v>1413</v>
      </c>
      <c r="C691" s="105">
        <v>76715.05</v>
      </c>
    </row>
    <row r="692" spans="1:3">
      <c r="A692" s="229">
        <v>97803</v>
      </c>
      <c r="B692" s="229" t="s">
        <v>1414</v>
      </c>
      <c r="C692" s="105">
        <v>38230.68</v>
      </c>
    </row>
    <row r="693" spans="1:3">
      <c r="A693" s="229">
        <v>97805</v>
      </c>
      <c r="B693" s="229" t="s">
        <v>1415</v>
      </c>
      <c r="C693" s="105">
        <v>39470.879999999997</v>
      </c>
    </row>
    <row r="694" spans="1:3">
      <c r="A694" s="229">
        <v>97811</v>
      </c>
      <c r="B694" s="229" t="s">
        <v>1416</v>
      </c>
      <c r="C694" s="105">
        <v>1101269.8</v>
      </c>
    </row>
    <row r="695" spans="1:3">
      <c r="A695" s="229">
        <v>97817</v>
      </c>
      <c r="B695" s="229" t="s">
        <v>1417</v>
      </c>
      <c r="C695" s="105">
        <v>14126.599999999999</v>
      </c>
    </row>
    <row r="696" spans="1:3">
      <c r="A696" s="229">
        <v>97818</v>
      </c>
      <c r="B696" s="229" t="s">
        <v>1418</v>
      </c>
      <c r="C696" s="105">
        <v>9809.0300000000007</v>
      </c>
    </row>
    <row r="697" spans="1:3">
      <c r="A697" s="229">
        <v>97821</v>
      </c>
      <c r="B697" s="229" t="s">
        <v>1419</v>
      </c>
      <c r="C697" s="105">
        <v>61404.089999999989</v>
      </c>
    </row>
    <row r="698" spans="1:3">
      <c r="A698" s="229">
        <v>97823</v>
      </c>
      <c r="B698" s="229" t="s">
        <v>1420</v>
      </c>
      <c r="C698" s="105">
        <v>13091.509999999998</v>
      </c>
    </row>
    <row r="699" spans="1:3">
      <c r="A699" s="229">
        <v>97831</v>
      </c>
      <c r="B699" s="229" t="s">
        <v>1421</v>
      </c>
      <c r="C699" s="105">
        <v>78812.62000000001</v>
      </c>
    </row>
    <row r="700" spans="1:3">
      <c r="A700" s="229">
        <v>97837</v>
      </c>
      <c r="B700" s="229" t="s">
        <v>1422</v>
      </c>
      <c r="C700" s="105">
        <v>6053.01</v>
      </c>
    </row>
    <row r="701" spans="1:3">
      <c r="A701" s="229">
        <v>97840</v>
      </c>
      <c r="B701" s="229" t="s">
        <v>1423</v>
      </c>
      <c r="C701" s="105">
        <v>107784.15999999999</v>
      </c>
    </row>
    <row r="702" spans="1:3">
      <c r="A702" s="229">
        <v>97841</v>
      </c>
      <c r="B702" s="229" t="s">
        <v>1424</v>
      </c>
      <c r="C702" s="105">
        <v>6425.33</v>
      </c>
    </row>
    <row r="703" spans="1:3">
      <c r="A703" s="229">
        <v>97847</v>
      </c>
      <c r="B703" s="229" t="s">
        <v>1425</v>
      </c>
      <c r="C703" s="105">
        <v>2258.88</v>
      </c>
    </row>
    <row r="704" spans="1:3">
      <c r="A704" s="229">
        <v>97851</v>
      </c>
      <c r="B704" s="229" t="s">
        <v>1426</v>
      </c>
      <c r="C704" s="105">
        <v>116408.28</v>
      </c>
    </row>
    <row r="705" spans="1:3">
      <c r="A705" s="229">
        <v>97853</v>
      </c>
      <c r="B705" s="229" t="s">
        <v>1427</v>
      </c>
      <c r="C705" s="105">
        <v>44042.97</v>
      </c>
    </row>
    <row r="706" spans="1:3">
      <c r="A706" s="229">
        <v>97861</v>
      </c>
      <c r="B706" s="229" t="s">
        <v>1428</v>
      </c>
      <c r="C706" s="105">
        <v>27517.030000000006</v>
      </c>
    </row>
    <row r="707" spans="1:3">
      <c r="A707" s="229">
        <v>97871</v>
      </c>
      <c r="B707" s="229" t="s">
        <v>1429</v>
      </c>
      <c r="C707" s="105">
        <v>273653.89999999997</v>
      </c>
    </row>
    <row r="708" spans="1:3">
      <c r="A708" s="229">
        <v>97877</v>
      </c>
      <c r="B708" s="229" t="s">
        <v>1430</v>
      </c>
      <c r="C708" s="105">
        <v>2104.1</v>
      </c>
    </row>
    <row r="709" spans="1:3">
      <c r="A709" s="229">
        <v>97901</v>
      </c>
      <c r="B709" s="229" t="s">
        <v>1431</v>
      </c>
      <c r="C709" s="105">
        <v>2091023.4500000002</v>
      </c>
    </row>
    <row r="710" spans="1:3">
      <c r="A710" s="229">
        <v>97911</v>
      </c>
      <c r="B710" s="229" t="s">
        <v>1432</v>
      </c>
      <c r="C710" s="105">
        <v>613264.97999999986</v>
      </c>
    </row>
    <row r="711" spans="1:3">
      <c r="A711" s="229">
        <v>97913</v>
      </c>
      <c r="B711" s="229" t="s">
        <v>1433</v>
      </c>
      <c r="C711" s="105">
        <v>27559.27</v>
      </c>
    </row>
    <row r="712" spans="1:3">
      <c r="A712" s="229">
        <v>97917</v>
      </c>
      <c r="B712" s="229" t="s">
        <v>1434</v>
      </c>
      <c r="C712" s="105">
        <v>13418.630000000001</v>
      </c>
    </row>
    <row r="713" spans="1:3">
      <c r="A713" s="229">
        <v>97921</v>
      </c>
      <c r="B713" s="229" t="s">
        <v>1435</v>
      </c>
      <c r="C713" s="105">
        <v>103162.98000000001</v>
      </c>
    </row>
    <row r="714" spans="1:3">
      <c r="A714" s="229">
        <v>97931</v>
      </c>
      <c r="B714" s="229" t="s">
        <v>1436</v>
      </c>
      <c r="C714" s="105">
        <v>31939.190000000002</v>
      </c>
    </row>
    <row r="715" spans="1:3">
      <c r="A715" s="229">
        <v>97941</v>
      </c>
      <c r="B715" s="229" t="s">
        <v>1437</v>
      </c>
      <c r="C715" s="105">
        <v>106969.88</v>
      </c>
    </row>
    <row r="716" spans="1:3">
      <c r="A716" s="229">
        <v>97947</v>
      </c>
      <c r="B716" s="229" t="s">
        <v>1438</v>
      </c>
      <c r="C716" s="105">
        <v>11470.6</v>
      </c>
    </row>
    <row r="717" spans="1:3">
      <c r="A717" s="229">
        <v>97948</v>
      </c>
      <c r="B717" s="229" t="s">
        <v>1439</v>
      </c>
      <c r="C717" s="105">
        <v>10840.35</v>
      </c>
    </row>
    <row r="718" spans="1:3">
      <c r="A718" s="229">
        <v>97951</v>
      </c>
      <c r="B718" s="229" t="s">
        <v>1440</v>
      </c>
      <c r="C718" s="105">
        <v>597832.21</v>
      </c>
    </row>
    <row r="719" spans="1:3">
      <c r="A719" s="229">
        <v>97957</v>
      </c>
      <c r="B719" s="229" t="s">
        <v>1441</v>
      </c>
      <c r="C719" s="105">
        <v>12857.2</v>
      </c>
    </row>
    <row r="720" spans="1:3">
      <c r="A720" s="229">
        <v>98001</v>
      </c>
      <c r="B720" s="229" t="s">
        <v>1442</v>
      </c>
      <c r="C720" s="105">
        <v>2367016.2000000007</v>
      </c>
    </row>
    <row r="721" spans="1:3">
      <c r="A721" s="229">
        <v>98002</v>
      </c>
      <c r="B721" s="229" t="s">
        <v>1443</v>
      </c>
      <c r="C721" s="105">
        <v>4125.92</v>
      </c>
    </row>
    <row r="722" spans="1:3">
      <c r="A722" s="229">
        <v>98003</v>
      </c>
      <c r="B722" s="229" t="s">
        <v>1444</v>
      </c>
      <c r="C722" s="105">
        <v>70273.84</v>
      </c>
    </row>
    <row r="723" spans="1:3">
      <c r="A723" s="229">
        <v>98004</v>
      </c>
      <c r="B723" s="229" t="s">
        <v>1445</v>
      </c>
      <c r="C723" s="105">
        <v>78049.56</v>
      </c>
    </row>
    <row r="724" spans="1:3">
      <c r="A724" s="229">
        <v>98008</v>
      </c>
      <c r="B724" s="229" t="s">
        <v>1446</v>
      </c>
      <c r="C724" s="105">
        <v>3536.6600000000012</v>
      </c>
    </row>
    <row r="725" spans="1:3">
      <c r="A725" s="229">
        <v>98011</v>
      </c>
      <c r="B725" s="229" t="s">
        <v>1447</v>
      </c>
      <c r="C725" s="105">
        <v>1430081.8599999999</v>
      </c>
    </row>
    <row r="726" spans="1:3">
      <c r="A726" s="229">
        <v>98013</v>
      </c>
      <c r="B726" s="229" t="s">
        <v>1448</v>
      </c>
      <c r="C726" s="105">
        <v>138520.69</v>
      </c>
    </row>
    <row r="727" spans="1:3">
      <c r="A727" s="229">
        <v>98021</v>
      </c>
      <c r="B727" s="229" t="s">
        <v>1449</v>
      </c>
      <c r="C727" s="105">
        <v>28536.179999999993</v>
      </c>
    </row>
    <row r="728" spans="1:3">
      <c r="A728" s="229">
        <v>98023</v>
      </c>
      <c r="B728" s="229" t="s">
        <v>1450</v>
      </c>
      <c r="C728" s="105">
        <v>6869.3899999999994</v>
      </c>
    </row>
    <row r="729" spans="1:3">
      <c r="A729" s="229">
        <v>98031</v>
      </c>
      <c r="B729" s="229" t="s">
        <v>1451</v>
      </c>
      <c r="C729" s="105">
        <v>67740.09</v>
      </c>
    </row>
    <row r="730" spans="1:3">
      <c r="A730" s="229">
        <v>98041</v>
      </c>
      <c r="B730" s="229" t="s">
        <v>1452</v>
      </c>
      <c r="C730" s="105">
        <v>80473.600000000006</v>
      </c>
    </row>
    <row r="731" spans="1:3">
      <c r="A731" s="229">
        <v>98051</v>
      </c>
      <c r="B731" s="229" t="s">
        <v>1453</v>
      </c>
      <c r="C731" s="105">
        <v>136144.79</v>
      </c>
    </row>
    <row r="732" spans="1:3">
      <c r="A732" s="229">
        <v>98061</v>
      </c>
      <c r="B732" s="229" t="s">
        <v>1454</v>
      </c>
      <c r="C732" s="105">
        <v>47389.56</v>
      </c>
    </row>
    <row r="733" spans="1:3">
      <c r="A733" s="229">
        <v>98071</v>
      </c>
      <c r="B733" s="229" t="s">
        <v>1455</v>
      </c>
      <c r="C733" s="105">
        <v>28232.940000000002</v>
      </c>
    </row>
    <row r="734" spans="1:3">
      <c r="A734" s="229">
        <v>98081</v>
      </c>
      <c r="B734" s="229" t="s">
        <v>1456</v>
      </c>
      <c r="C734" s="105">
        <v>7556.3200000000006</v>
      </c>
    </row>
    <row r="735" spans="1:3">
      <c r="A735" s="229">
        <v>98091</v>
      </c>
      <c r="B735" s="229" t="s">
        <v>1457</v>
      </c>
      <c r="C735" s="105">
        <v>25240.61</v>
      </c>
    </row>
    <row r="736" spans="1:3">
      <c r="A736" s="229">
        <v>98101</v>
      </c>
      <c r="B736" s="229" t="s">
        <v>1458</v>
      </c>
      <c r="C736" s="105">
        <v>1210233.97</v>
      </c>
    </row>
    <row r="737" spans="1:3">
      <c r="A737" s="229">
        <v>98102</v>
      </c>
      <c r="B737" s="229" t="s">
        <v>1459</v>
      </c>
      <c r="C737" s="105">
        <v>71621.289999999994</v>
      </c>
    </row>
    <row r="738" spans="1:3">
      <c r="A738" s="229">
        <v>98103</v>
      </c>
      <c r="B738" s="229" t="s">
        <v>1460</v>
      </c>
      <c r="C738" s="105">
        <v>255161.38</v>
      </c>
    </row>
    <row r="739" spans="1:3">
      <c r="A739" s="229">
        <v>98107</v>
      </c>
      <c r="B739" s="229" t="s">
        <v>1461</v>
      </c>
      <c r="C739" s="105">
        <v>9241.77</v>
      </c>
    </row>
    <row r="740" spans="1:3">
      <c r="A740" s="229">
        <v>98109</v>
      </c>
      <c r="B740" s="229" t="s">
        <v>1462</v>
      </c>
      <c r="C740" s="105">
        <v>76015.76999999999</v>
      </c>
    </row>
    <row r="741" spans="1:3">
      <c r="A741" s="229">
        <v>98111</v>
      </c>
      <c r="B741" s="229" t="s">
        <v>1463</v>
      </c>
      <c r="C741" s="105">
        <v>432530.07</v>
      </c>
    </row>
    <row r="742" spans="1:3">
      <c r="A742" s="229">
        <v>98113</v>
      </c>
      <c r="B742" s="229" t="s">
        <v>1464</v>
      </c>
      <c r="C742" s="105">
        <v>23491.619999999995</v>
      </c>
    </row>
    <row r="743" spans="1:3">
      <c r="A743" s="229">
        <v>98121</v>
      </c>
      <c r="B743" s="229" t="s">
        <v>1465</v>
      </c>
      <c r="C743" s="105">
        <v>89370.18</v>
      </c>
    </row>
    <row r="744" spans="1:3">
      <c r="A744" s="229">
        <v>98131</v>
      </c>
      <c r="B744" s="229" t="s">
        <v>1466</v>
      </c>
      <c r="C744" s="105">
        <v>119696.65</v>
      </c>
    </row>
    <row r="745" spans="1:3">
      <c r="A745" s="229">
        <v>98141</v>
      </c>
      <c r="B745" s="229" t="s">
        <v>1467</v>
      </c>
      <c r="C745" s="105">
        <v>133558.14000000001</v>
      </c>
    </row>
    <row r="746" spans="1:3">
      <c r="A746" s="229">
        <v>98147</v>
      </c>
      <c r="B746" s="229" t="s">
        <v>1468</v>
      </c>
      <c r="C746" s="105">
        <v>9893.14</v>
      </c>
    </row>
    <row r="747" spans="1:3">
      <c r="A747" s="229">
        <v>98161</v>
      </c>
      <c r="B747" s="229" t="s">
        <v>1469</v>
      </c>
      <c r="C747" s="105">
        <v>5046.24</v>
      </c>
    </row>
    <row r="748" spans="1:3">
      <c r="A748" s="229">
        <v>98201</v>
      </c>
      <c r="B748" s="229" t="s">
        <v>1470</v>
      </c>
      <c r="C748" s="105">
        <v>1424603.84</v>
      </c>
    </row>
    <row r="749" spans="1:3">
      <c r="A749" s="229">
        <v>98205</v>
      </c>
      <c r="B749" s="229" t="s">
        <v>1471</v>
      </c>
      <c r="C749" s="105">
        <v>23504.78</v>
      </c>
    </row>
    <row r="750" spans="1:3">
      <c r="A750" s="229">
        <v>98211</v>
      </c>
      <c r="B750" s="229" t="s">
        <v>1472</v>
      </c>
      <c r="C750" s="105">
        <v>365217.98</v>
      </c>
    </row>
    <row r="751" spans="1:3">
      <c r="A751" s="229">
        <v>98218</v>
      </c>
      <c r="B751" s="229" t="s">
        <v>1473</v>
      </c>
      <c r="C751" s="105">
        <v>5829.3</v>
      </c>
    </row>
    <row r="752" spans="1:3">
      <c r="A752" s="229">
        <v>98221</v>
      </c>
      <c r="B752" s="229" t="s">
        <v>1474</v>
      </c>
      <c r="C752" s="105">
        <v>9739.18</v>
      </c>
    </row>
    <row r="753" spans="1:3">
      <c r="A753" s="229">
        <v>98231</v>
      </c>
      <c r="B753" s="229" t="s">
        <v>1475</v>
      </c>
      <c r="C753" s="105">
        <v>11487.39</v>
      </c>
    </row>
    <row r="754" spans="1:3">
      <c r="A754" s="229">
        <v>98237</v>
      </c>
      <c r="B754" s="229" t="s">
        <v>1476</v>
      </c>
      <c r="C754" s="105">
        <v>4384.5800000000008</v>
      </c>
    </row>
    <row r="755" spans="1:3">
      <c r="A755" s="229">
        <v>98241</v>
      </c>
      <c r="B755" s="229" t="s">
        <v>1477</v>
      </c>
      <c r="C755" s="105">
        <v>8387.880000000001</v>
      </c>
    </row>
    <row r="756" spans="1:3">
      <c r="A756" s="229">
        <v>98251</v>
      </c>
      <c r="B756" s="229" t="s">
        <v>1478</v>
      </c>
      <c r="C756" s="105">
        <v>2206.3900000000003</v>
      </c>
    </row>
    <row r="757" spans="1:3">
      <c r="A757" s="229">
        <v>98261</v>
      </c>
      <c r="B757" s="229" t="s">
        <v>1479</v>
      </c>
      <c r="C757" s="105">
        <v>16864.510000000002</v>
      </c>
    </row>
    <row r="758" spans="1:3">
      <c r="A758" s="229">
        <v>98271</v>
      </c>
      <c r="B758" s="229" t="s">
        <v>1480</v>
      </c>
      <c r="C758" s="105">
        <v>2676.11</v>
      </c>
    </row>
    <row r="759" spans="1:3">
      <c r="A759" s="229">
        <v>98301</v>
      </c>
      <c r="B759" s="229" t="s">
        <v>1481</v>
      </c>
      <c r="C759" s="105">
        <v>825877.5199999999</v>
      </c>
    </row>
    <row r="760" spans="1:3">
      <c r="A760" s="229">
        <v>98304</v>
      </c>
      <c r="B760" s="229" t="s">
        <v>1482</v>
      </c>
      <c r="C760" s="105">
        <v>12751.149999999998</v>
      </c>
    </row>
    <row r="761" spans="1:3">
      <c r="A761" s="229">
        <v>98308</v>
      </c>
      <c r="B761" s="229" t="s">
        <v>1483</v>
      </c>
      <c r="C761" s="105">
        <v>15362.639999999998</v>
      </c>
    </row>
    <row r="762" spans="1:3">
      <c r="A762" s="229">
        <v>98311</v>
      </c>
      <c r="B762" s="229" t="s">
        <v>1484</v>
      </c>
      <c r="C762" s="105">
        <v>462216.84</v>
      </c>
    </row>
    <row r="763" spans="1:3">
      <c r="A763" s="229">
        <v>98313</v>
      </c>
      <c r="B763" s="229" t="s">
        <v>1485</v>
      </c>
      <c r="C763" s="105">
        <v>259158.18</v>
      </c>
    </row>
    <row r="764" spans="1:3">
      <c r="A764" s="229">
        <v>98321</v>
      </c>
      <c r="B764" s="229" t="s">
        <v>1486</v>
      </c>
      <c r="C764" s="105">
        <v>10270.049999999999</v>
      </c>
    </row>
    <row r="765" spans="1:3">
      <c r="A765" s="229">
        <v>98331</v>
      </c>
      <c r="B765" s="229" t="s">
        <v>1487</v>
      </c>
      <c r="C765" s="105">
        <v>6280.6999999999989</v>
      </c>
    </row>
    <row r="766" spans="1:3">
      <c r="A766" s="229">
        <v>98401</v>
      </c>
      <c r="B766" s="229" t="s">
        <v>1488</v>
      </c>
      <c r="C766" s="105">
        <v>1399311.01</v>
      </c>
    </row>
    <row r="767" spans="1:3">
      <c r="A767" s="229">
        <v>98404</v>
      </c>
      <c r="B767" s="229" t="s">
        <v>1489</v>
      </c>
      <c r="C767" s="105">
        <v>5851.8099999999995</v>
      </c>
    </row>
    <row r="768" spans="1:3">
      <c r="A768" s="229">
        <v>98411</v>
      </c>
      <c r="B768" s="229" t="s">
        <v>1490</v>
      </c>
      <c r="C768" s="105">
        <v>869963.94000000006</v>
      </c>
    </row>
    <row r="769" spans="1:3">
      <c r="A769" s="229">
        <v>98414</v>
      </c>
      <c r="B769" s="229" t="s">
        <v>1491</v>
      </c>
      <c r="C769" s="105">
        <v>7367.21</v>
      </c>
    </row>
    <row r="770" spans="1:3">
      <c r="A770" s="229">
        <v>98417</v>
      </c>
      <c r="B770" s="229" t="s">
        <v>1492</v>
      </c>
      <c r="C770" s="105">
        <v>14125.46</v>
      </c>
    </row>
    <row r="771" spans="1:3">
      <c r="A771" s="229">
        <v>98421</v>
      </c>
      <c r="B771" s="229" t="s">
        <v>1493</v>
      </c>
      <c r="C771" s="105">
        <v>44395.67</v>
      </c>
    </row>
    <row r="772" spans="1:3">
      <c r="A772" s="229">
        <v>98427</v>
      </c>
      <c r="B772" s="229" t="s">
        <v>1494</v>
      </c>
      <c r="C772" s="105">
        <v>3231.11</v>
      </c>
    </row>
    <row r="773" spans="1:3">
      <c r="A773" s="229">
        <v>98431</v>
      </c>
      <c r="B773" s="229" t="s">
        <v>1495</v>
      </c>
      <c r="C773" s="105">
        <v>78481.45</v>
      </c>
    </row>
    <row r="774" spans="1:3">
      <c r="A774" s="229">
        <v>98441</v>
      </c>
      <c r="B774" s="229" t="s">
        <v>1496</v>
      </c>
      <c r="C774" s="105">
        <v>35571.949999999997</v>
      </c>
    </row>
    <row r="775" spans="1:3">
      <c r="A775" s="229">
        <v>98451</v>
      </c>
      <c r="B775" s="229" t="s">
        <v>1497</v>
      </c>
      <c r="C775" s="105">
        <v>26131.939999999995</v>
      </c>
    </row>
    <row r="776" spans="1:3">
      <c r="A776" s="229">
        <v>98471</v>
      </c>
      <c r="B776" s="229" t="s">
        <v>1642</v>
      </c>
      <c r="C776" s="105">
        <v>1832.3100000000002</v>
      </c>
    </row>
    <row r="777" spans="1:3">
      <c r="A777" s="229">
        <v>98481</v>
      </c>
      <c r="B777" s="229" t="s">
        <v>1498</v>
      </c>
      <c r="C777" s="105">
        <v>27197.510000000002</v>
      </c>
    </row>
    <row r="778" spans="1:3">
      <c r="A778" s="229">
        <v>98501</v>
      </c>
      <c r="B778" s="229" t="s">
        <v>1499</v>
      </c>
      <c r="C778" s="105">
        <v>760833.22</v>
      </c>
    </row>
    <row r="779" spans="1:3">
      <c r="A779" s="229">
        <v>98511</v>
      </c>
      <c r="B779" s="229" t="s">
        <v>1500</v>
      </c>
      <c r="C779" s="105">
        <v>23435.010000000002</v>
      </c>
    </row>
    <row r="780" spans="1:3">
      <c r="A780" s="229">
        <v>98517</v>
      </c>
      <c r="B780" s="229" t="s">
        <v>1501</v>
      </c>
      <c r="C780" s="105">
        <v>2484.0799999999995</v>
      </c>
    </row>
    <row r="781" spans="1:3">
      <c r="A781" s="229">
        <v>98521</v>
      </c>
      <c r="B781" s="229" t="s">
        <v>1502</v>
      </c>
      <c r="C781" s="105">
        <v>270882.26</v>
      </c>
    </row>
    <row r="782" spans="1:3">
      <c r="A782" s="229">
        <v>98601</v>
      </c>
      <c r="B782" s="229" t="s">
        <v>1503</v>
      </c>
      <c r="C782" s="105">
        <v>1494584.0999999999</v>
      </c>
    </row>
    <row r="783" spans="1:3">
      <c r="A783" s="229">
        <v>98604</v>
      </c>
      <c r="B783" s="229" t="s">
        <v>1504</v>
      </c>
      <c r="C783" s="105">
        <v>7587.5999999999995</v>
      </c>
    </row>
    <row r="784" spans="1:3">
      <c r="A784" s="229">
        <v>98607</v>
      </c>
      <c r="B784" s="229" t="s">
        <v>1505</v>
      </c>
      <c r="C784" s="105">
        <v>2774.2099999999996</v>
      </c>
    </row>
    <row r="785" spans="1:3">
      <c r="A785" s="229">
        <v>98608</v>
      </c>
      <c r="B785" s="229" t="s">
        <v>1506</v>
      </c>
      <c r="C785" s="105">
        <v>20059.189999999999</v>
      </c>
    </row>
    <row r="786" spans="1:3">
      <c r="A786" s="229">
        <v>98611</v>
      </c>
      <c r="B786" s="229" t="s">
        <v>1507</v>
      </c>
      <c r="C786" s="105">
        <v>49930.89</v>
      </c>
    </row>
    <row r="787" spans="1:3">
      <c r="A787" s="229">
        <v>98621</v>
      </c>
      <c r="B787" s="229" t="s">
        <v>1508</v>
      </c>
      <c r="C787" s="105">
        <v>55891.290000000008</v>
      </c>
    </row>
    <row r="788" spans="1:3">
      <c r="A788" s="229">
        <v>98627</v>
      </c>
      <c r="B788" s="229" t="s">
        <v>1509</v>
      </c>
      <c r="C788" s="105">
        <v>3353.9299999999994</v>
      </c>
    </row>
    <row r="789" spans="1:3">
      <c r="A789" s="229">
        <v>98631</v>
      </c>
      <c r="B789" s="229" t="s">
        <v>1510</v>
      </c>
      <c r="C789" s="105">
        <v>466622.49000000005</v>
      </c>
    </row>
    <row r="790" spans="1:3">
      <c r="A790" s="229">
        <v>98637</v>
      </c>
      <c r="B790" s="229" t="s">
        <v>1511</v>
      </c>
      <c r="C790" s="105">
        <v>15729.22</v>
      </c>
    </row>
    <row r="791" spans="1:3">
      <c r="A791" s="229">
        <v>98641</v>
      </c>
      <c r="B791" s="229" t="s">
        <v>1512</v>
      </c>
      <c r="C791" s="105">
        <v>140670.05999999997</v>
      </c>
    </row>
    <row r="792" spans="1:3">
      <c r="A792" s="229">
        <v>98701</v>
      </c>
      <c r="B792" s="229" t="s">
        <v>1513</v>
      </c>
      <c r="C792" s="105">
        <v>514112.93000000005</v>
      </c>
    </row>
    <row r="793" spans="1:3">
      <c r="A793" s="229">
        <v>98711</v>
      </c>
      <c r="B793" s="229" t="s">
        <v>1514</v>
      </c>
      <c r="C793" s="105">
        <v>70342.11</v>
      </c>
    </row>
    <row r="794" spans="1:3">
      <c r="A794" s="229">
        <v>98717</v>
      </c>
      <c r="B794" s="229" t="s">
        <v>1515</v>
      </c>
      <c r="C794" s="105">
        <v>8758.7200000000012</v>
      </c>
    </row>
    <row r="795" spans="1:3">
      <c r="A795" s="229">
        <v>98801</v>
      </c>
      <c r="B795" s="229" t="s">
        <v>1516</v>
      </c>
      <c r="C795" s="105">
        <v>1067051.19</v>
      </c>
    </row>
    <row r="796" spans="1:3">
      <c r="A796" s="229">
        <v>98811</v>
      </c>
      <c r="B796" s="229" t="s">
        <v>1517</v>
      </c>
      <c r="C796" s="105">
        <v>323262.17000000004</v>
      </c>
    </row>
    <row r="797" spans="1:3">
      <c r="A797" s="229">
        <v>98817</v>
      </c>
      <c r="B797" s="229" t="s">
        <v>1518</v>
      </c>
      <c r="C797" s="105">
        <v>14663.340000000002</v>
      </c>
    </row>
    <row r="798" spans="1:3">
      <c r="A798" s="229">
        <v>98901</v>
      </c>
      <c r="B798" s="229" t="s">
        <v>1519</v>
      </c>
      <c r="C798" s="105">
        <v>159126.34999999998</v>
      </c>
    </row>
    <row r="799" spans="1:3">
      <c r="A799" s="229">
        <v>98904</v>
      </c>
      <c r="B799" s="229" t="s">
        <v>1520</v>
      </c>
      <c r="C799" s="105">
        <v>1607.9500000000003</v>
      </c>
    </row>
    <row r="800" spans="1:3">
      <c r="A800" s="229">
        <v>98911</v>
      </c>
      <c r="B800" s="229" t="s">
        <v>1521</v>
      </c>
      <c r="C800" s="105">
        <v>17944.88</v>
      </c>
    </row>
    <row r="801" spans="1:3">
      <c r="A801" s="229">
        <v>99001</v>
      </c>
      <c r="B801" s="229" t="s">
        <v>1522</v>
      </c>
      <c r="C801" s="105">
        <v>3574722.4899999998</v>
      </c>
    </row>
    <row r="802" spans="1:3">
      <c r="A802" s="229">
        <v>99011</v>
      </c>
      <c r="B802" s="229" t="s">
        <v>1523</v>
      </c>
      <c r="C802" s="105">
        <v>1767796.6799999997</v>
      </c>
    </row>
    <row r="803" spans="1:3">
      <c r="A803" s="229">
        <v>99013</v>
      </c>
      <c r="B803" s="229" t="s">
        <v>1524</v>
      </c>
      <c r="C803" s="105">
        <v>27132.690000000002</v>
      </c>
    </row>
    <row r="804" spans="1:3">
      <c r="A804" s="229">
        <v>99014</v>
      </c>
      <c r="B804" s="229" t="s">
        <v>1525</v>
      </c>
      <c r="C804" s="105">
        <v>13999.21</v>
      </c>
    </row>
    <row r="805" spans="1:3">
      <c r="A805" s="229">
        <v>99017</v>
      </c>
      <c r="B805" s="229" t="s">
        <v>1526</v>
      </c>
      <c r="C805" s="105">
        <v>25055.15</v>
      </c>
    </row>
    <row r="806" spans="1:3">
      <c r="A806" s="229">
        <v>99021</v>
      </c>
      <c r="B806" s="229" t="s">
        <v>1527</v>
      </c>
      <c r="C806" s="105">
        <v>64601.440000000002</v>
      </c>
    </row>
    <row r="807" spans="1:3">
      <c r="A807" s="229">
        <v>99022</v>
      </c>
      <c r="B807" s="229" t="s">
        <v>211</v>
      </c>
      <c r="C807" s="105">
        <v>11386.439999999999</v>
      </c>
    </row>
    <row r="808" spans="1:3">
      <c r="A808" s="229">
        <v>99031</v>
      </c>
      <c r="B808" s="229" t="s">
        <v>1528</v>
      </c>
      <c r="C808" s="105">
        <v>59832.479999999996</v>
      </c>
    </row>
    <row r="809" spans="1:3">
      <c r="A809" s="229">
        <v>99041</v>
      </c>
      <c r="B809" s="229" t="s">
        <v>1529</v>
      </c>
      <c r="C809" s="105">
        <v>254000.11</v>
      </c>
    </row>
    <row r="810" spans="1:3">
      <c r="A810" s="229">
        <v>99047</v>
      </c>
      <c r="B810" s="229" t="s">
        <v>1530</v>
      </c>
      <c r="C810" s="105">
        <v>7761.09</v>
      </c>
    </row>
    <row r="811" spans="1:3">
      <c r="A811" s="229">
        <v>99051</v>
      </c>
      <c r="B811" s="229" t="s">
        <v>1531</v>
      </c>
      <c r="C811" s="105">
        <v>142316.86000000002</v>
      </c>
    </row>
    <row r="812" spans="1:3">
      <c r="A812" s="229">
        <v>99061</v>
      </c>
      <c r="B812" s="229" t="s">
        <v>1532</v>
      </c>
      <c r="C812" s="105">
        <v>7897.3700000000008</v>
      </c>
    </row>
    <row r="813" spans="1:3">
      <c r="A813" s="229">
        <v>99071</v>
      </c>
      <c r="B813" s="229" t="s">
        <v>1533</v>
      </c>
      <c r="C813" s="105">
        <v>15062.04</v>
      </c>
    </row>
    <row r="814" spans="1:3">
      <c r="A814" s="229">
        <v>99081</v>
      </c>
      <c r="B814" s="229" t="s">
        <v>1534</v>
      </c>
      <c r="C814" s="105">
        <v>10194.719999999999</v>
      </c>
    </row>
    <row r="815" spans="1:3">
      <c r="A815" s="229">
        <v>99091</v>
      </c>
      <c r="B815" s="229" t="s">
        <v>1535</v>
      </c>
      <c r="C815" s="105">
        <v>4830.9500000000007</v>
      </c>
    </row>
    <row r="816" spans="1:3">
      <c r="A816" s="229">
        <v>99101</v>
      </c>
      <c r="B816" s="229" t="s">
        <v>1536</v>
      </c>
      <c r="C816" s="105">
        <v>914274.04000000015</v>
      </c>
    </row>
    <row r="817" spans="1:3">
      <c r="A817" s="229">
        <v>99104</v>
      </c>
      <c r="B817" s="229" t="s">
        <v>1537</v>
      </c>
      <c r="C817" s="105">
        <v>22873.95</v>
      </c>
    </row>
    <row r="818" spans="1:3">
      <c r="A818" s="229">
        <v>99109</v>
      </c>
      <c r="B818" s="229" t="s">
        <v>1538</v>
      </c>
      <c r="C818" s="105">
        <v>56338.229999999996</v>
      </c>
    </row>
    <row r="819" spans="1:3">
      <c r="A819" s="229">
        <v>99110</v>
      </c>
      <c r="B819" s="229" t="s">
        <v>1539</v>
      </c>
      <c r="C819" s="105">
        <v>119962.69</v>
      </c>
    </row>
    <row r="820" spans="1:3">
      <c r="A820" s="229">
        <v>99111</v>
      </c>
      <c r="B820" s="229" t="s">
        <v>1540</v>
      </c>
      <c r="C820" s="105">
        <v>543583.17000000004</v>
      </c>
    </row>
    <row r="821" spans="1:3">
      <c r="A821" s="229">
        <v>99201</v>
      </c>
      <c r="B821" s="229" t="s">
        <v>1541</v>
      </c>
      <c r="C821" s="105">
        <v>15084486.749999998</v>
      </c>
    </row>
    <row r="822" spans="1:3">
      <c r="A822" s="229">
        <v>99202</v>
      </c>
      <c r="B822" s="229" t="s">
        <v>1542</v>
      </c>
      <c r="C822" s="105">
        <v>1072067.46</v>
      </c>
    </row>
    <row r="823" spans="1:3">
      <c r="A823" s="229">
        <v>99203</v>
      </c>
      <c r="B823" s="229" t="s">
        <v>1543</v>
      </c>
      <c r="C823" s="105">
        <v>126936.26</v>
      </c>
    </row>
    <row r="824" spans="1:3">
      <c r="A824" s="229">
        <v>99204</v>
      </c>
      <c r="B824" s="229" t="s">
        <v>1544</v>
      </c>
      <c r="C824" s="105">
        <v>375261.16000000003</v>
      </c>
    </row>
    <row r="825" spans="1:3">
      <c r="A825" s="229">
        <v>99206</v>
      </c>
      <c r="B825" s="229" t="s">
        <v>1545</v>
      </c>
      <c r="C825" s="105">
        <v>1210224.8699999999</v>
      </c>
    </row>
    <row r="826" spans="1:3">
      <c r="A826" s="229">
        <v>99207</v>
      </c>
      <c r="B826" s="229" t="s">
        <v>1546</v>
      </c>
      <c r="C826" s="105">
        <v>175075.09</v>
      </c>
    </row>
    <row r="827" spans="1:3">
      <c r="A827" s="229">
        <v>99208</v>
      </c>
      <c r="B827" s="229" t="s">
        <v>1547</v>
      </c>
      <c r="C827" s="105">
        <v>57804.040000000008</v>
      </c>
    </row>
    <row r="828" spans="1:3">
      <c r="A828" s="229">
        <v>99210</v>
      </c>
      <c r="B828" s="229" t="s">
        <v>1548</v>
      </c>
      <c r="C828" s="105">
        <v>789521.27</v>
      </c>
    </row>
    <row r="829" spans="1:3">
      <c r="A829" s="229">
        <v>99211</v>
      </c>
      <c r="B829" s="229" t="s">
        <v>1549</v>
      </c>
      <c r="C829" s="105">
        <v>16957538.619999997</v>
      </c>
    </row>
    <row r="830" spans="1:3">
      <c r="A830" s="229">
        <v>99212</v>
      </c>
      <c r="B830" s="229" t="s">
        <v>1550</v>
      </c>
      <c r="C830" s="105">
        <v>31804.81</v>
      </c>
    </row>
    <row r="831" spans="1:3">
      <c r="A831" s="229">
        <v>99213</v>
      </c>
      <c r="B831" s="229" t="s">
        <v>1551</v>
      </c>
      <c r="C831" s="105">
        <v>353816.66000000003</v>
      </c>
    </row>
    <row r="832" spans="1:3">
      <c r="A832" s="229">
        <v>99218</v>
      </c>
      <c r="B832" s="229" t="s">
        <v>1552</v>
      </c>
      <c r="C832" s="105">
        <v>1493014.0800000003</v>
      </c>
    </row>
    <row r="833" spans="1:3">
      <c r="A833" s="229">
        <v>99221</v>
      </c>
      <c r="B833" s="229" t="s">
        <v>1553</v>
      </c>
      <c r="C833" s="105">
        <v>5876509.1199999992</v>
      </c>
    </row>
    <row r="834" spans="1:3">
      <c r="A834" s="229">
        <v>99222</v>
      </c>
      <c r="B834" s="229" t="s">
        <v>1554</v>
      </c>
      <c r="C834" s="105">
        <v>15445.649999999998</v>
      </c>
    </row>
    <row r="835" spans="1:3">
      <c r="A835" s="229">
        <v>99231</v>
      </c>
      <c r="B835" s="229" t="s">
        <v>1555</v>
      </c>
      <c r="C835" s="105">
        <v>156904.40000000002</v>
      </c>
    </row>
    <row r="836" spans="1:3">
      <c r="A836" s="229">
        <v>99241</v>
      </c>
      <c r="B836" s="229" t="s">
        <v>1556</v>
      </c>
      <c r="C836" s="105">
        <v>226042.02999999997</v>
      </c>
    </row>
    <row r="837" spans="1:3">
      <c r="A837" s="229">
        <v>99251</v>
      </c>
      <c r="B837" s="229" t="s">
        <v>1557</v>
      </c>
      <c r="C837" s="105">
        <v>745407.53999999992</v>
      </c>
    </row>
    <row r="838" spans="1:3">
      <c r="A838" s="229">
        <v>99252</v>
      </c>
      <c r="B838" s="229" t="s">
        <v>1558</v>
      </c>
      <c r="C838" s="105">
        <v>212385.68000000002</v>
      </c>
    </row>
    <row r="839" spans="1:3">
      <c r="A839" s="229">
        <v>99261</v>
      </c>
      <c r="B839" s="229" t="s">
        <v>1559</v>
      </c>
      <c r="C839" s="105">
        <v>808835.41</v>
      </c>
    </row>
    <row r="840" spans="1:3">
      <c r="A840" s="229">
        <v>99271</v>
      </c>
      <c r="B840" s="229" t="s">
        <v>1560</v>
      </c>
      <c r="C840" s="105">
        <v>1751675.0799999998</v>
      </c>
    </row>
    <row r="841" spans="1:3">
      <c r="A841" s="229">
        <v>99281</v>
      </c>
      <c r="B841" s="229" t="s">
        <v>1561</v>
      </c>
      <c r="C841" s="105">
        <v>984779.61999999988</v>
      </c>
    </row>
    <row r="842" spans="1:3">
      <c r="A842" s="229">
        <v>99291</v>
      </c>
      <c r="B842" s="229" t="s">
        <v>1562</v>
      </c>
      <c r="C842" s="105">
        <v>299576.14999999997</v>
      </c>
    </row>
    <row r="843" spans="1:3">
      <c r="A843" s="229">
        <v>99301</v>
      </c>
      <c r="B843" s="229" t="s">
        <v>1563</v>
      </c>
      <c r="C843" s="105">
        <v>788880.01</v>
      </c>
    </row>
    <row r="844" spans="1:3">
      <c r="A844" s="229">
        <v>99304</v>
      </c>
      <c r="B844" s="229" t="s">
        <v>1564</v>
      </c>
      <c r="C844" s="105">
        <v>7554.29</v>
      </c>
    </row>
    <row r="845" spans="1:3">
      <c r="A845" s="229">
        <v>99311</v>
      </c>
      <c r="B845" s="229" t="s">
        <v>1565</v>
      </c>
      <c r="C845" s="105">
        <v>25361.440000000002</v>
      </c>
    </row>
    <row r="846" spans="1:3">
      <c r="A846" s="229">
        <v>99321</v>
      </c>
      <c r="B846" s="229" t="s">
        <v>1566</v>
      </c>
      <c r="C846" s="105">
        <v>98498.340000000011</v>
      </c>
    </row>
    <row r="847" spans="1:3">
      <c r="A847" s="229">
        <v>99401</v>
      </c>
      <c r="B847" s="229" t="s">
        <v>1567</v>
      </c>
      <c r="C847" s="105">
        <v>414565.11</v>
      </c>
    </row>
    <row r="848" spans="1:3">
      <c r="A848" s="229">
        <v>99404</v>
      </c>
      <c r="B848" s="229" t="s">
        <v>1568</v>
      </c>
      <c r="C848" s="105">
        <v>5392.6400000000012</v>
      </c>
    </row>
    <row r="849" spans="1:3">
      <c r="A849" s="229">
        <v>99405</v>
      </c>
      <c r="B849" s="229" t="s">
        <v>1569</v>
      </c>
      <c r="C849" s="105">
        <v>37797.960000000006</v>
      </c>
    </row>
    <row r="850" spans="1:3">
      <c r="A850" s="229">
        <v>99411</v>
      </c>
      <c r="B850" s="229" t="s">
        <v>1570</v>
      </c>
      <c r="C850" s="105">
        <v>75832.59</v>
      </c>
    </row>
    <row r="851" spans="1:3">
      <c r="A851" s="229">
        <v>99413</v>
      </c>
      <c r="B851" s="229" t="s">
        <v>1571</v>
      </c>
      <c r="C851" s="105">
        <v>18530.430000000004</v>
      </c>
    </row>
    <row r="852" spans="1:3">
      <c r="A852" s="229">
        <v>99421</v>
      </c>
      <c r="B852" s="229" t="s">
        <v>1572</v>
      </c>
      <c r="C852" s="105">
        <v>6211.08</v>
      </c>
    </row>
    <row r="853" spans="1:3">
      <c r="A853" s="229">
        <v>99431</v>
      </c>
      <c r="B853" s="229" t="s">
        <v>1573</v>
      </c>
      <c r="C853" s="105">
        <v>7581.2800000000007</v>
      </c>
    </row>
    <row r="854" spans="1:3">
      <c r="A854" s="229">
        <v>99501</v>
      </c>
      <c r="B854" s="229" t="s">
        <v>1574</v>
      </c>
      <c r="C854" s="105">
        <v>794395.29</v>
      </c>
    </row>
    <row r="855" spans="1:3">
      <c r="A855" s="229">
        <v>99502</v>
      </c>
      <c r="B855" s="229" t="s">
        <v>1575</v>
      </c>
      <c r="C855" s="105">
        <v>65830.87999999999</v>
      </c>
    </row>
    <row r="856" spans="1:3">
      <c r="A856" s="229">
        <v>99508</v>
      </c>
      <c r="B856" s="229" t="s">
        <v>1576</v>
      </c>
      <c r="C856" s="105">
        <v>9857.3000000000011</v>
      </c>
    </row>
    <row r="857" spans="1:3">
      <c r="A857" s="229">
        <v>99509</v>
      </c>
      <c r="B857" s="229" t="s">
        <v>1577</v>
      </c>
      <c r="C857" s="105">
        <v>11410.270000000002</v>
      </c>
    </row>
    <row r="858" spans="1:3">
      <c r="A858" s="229">
        <v>99511</v>
      </c>
      <c r="B858" s="229" t="s">
        <v>1578</v>
      </c>
      <c r="C858" s="105">
        <v>579707.17999999993</v>
      </c>
    </row>
    <row r="859" spans="1:3">
      <c r="A859" s="229">
        <v>99521</v>
      </c>
      <c r="B859" s="229" t="s">
        <v>1579</v>
      </c>
      <c r="C859" s="105">
        <v>176535.9</v>
      </c>
    </row>
    <row r="860" spans="1:3">
      <c r="A860" s="229">
        <v>99527</v>
      </c>
      <c r="B860" s="229" t="s">
        <v>1580</v>
      </c>
      <c r="C860" s="105">
        <v>5941.3</v>
      </c>
    </row>
    <row r="861" spans="1:3">
      <c r="A861" s="229">
        <v>99531</v>
      </c>
      <c r="B861" s="229" t="s">
        <v>1581</v>
      </c>
      <c r="C861" s="105">
        <v>72389.700000000012</v>
      </c>
    </row>
    <row r="862" spans="1:3">
      <c r="A862" s="229">
        <v>99601</v>
      </c>
      <c r="B862" s="229" t="s">
        <v>1582</v>
      </c>
      <c r="C862" s="105">
        <v>2548953.7600000002</v>
      </c>
    </row>
    <row r="863" spans="1:3">
      <c r="A863" s="229">
        <v>99602</v>
      </c>
      <c r="B863" s="229" t="s">
        <v>1583</v>
      </c>
      <c r="C863" s="105">
        <v>28151.17</v>
      </c>
    </row>
    <row r="864" spans="1:3">
      <c r="A864" s="229">
        <v>99603</v>
      </c>
      <c r="B864" s="229" t="s">
        <v>1584</v>
      </c>
      <c r="C864" s="105">
        <v>87236.890000000014</v>
      </c>
    </row>
    <row r="865" spans="1:3">
      <c r="A865" s="229">
        <v>99604</v>
      </c>
      <c r="B865" s="229" t="s">
        <v>1585</v>
      </c>
      <c r="C865" s="105">
        <v>52378.14</v>
      </c>
    </row>
    <row r="866" spans="1:3">
      <c r="A866" s="229">
        <v>99609</v>
      </c>
      <c r="B866" s="229" t="s">
        <v>1586</v>
      </c>
      <c r="C866" s="105">
        <v>9934.65</v>
      </c>
    </row>
    <row r="867" spans="1:3">
      <c r="A867" s="229">
        <v>99610</v>
      </c>
      <c r="B867" s="229" t="s">
        <v>1587</v>
      </c>
      <c r="C867" s="105">
        <v>85099.670000000013</v>
      </c>
    </row>
    <row r="868" spans="1:3">
      <c r="A868" s="229">
        <v>99611</v>
      </c>
      <c r="B868" s="229" t="s">
        <v>1588</v>
      </c>
      <c r="C868" s="105">
        <v>1474036.82</v>
      </c>
    </row>
    <row r="869" spans="1:3">
      <c r="A869" s="229">
        <v>99613</v>
      </c>
      <c r="B869" s="229" t="s">
        <v>1589</v>
      </c>
      <c r="C869" s="105">
        <v>310914.55000000005</v>
      </c>
    </row>
    <row r="870" spans="1:3">
      <c r="A870" s="229">
        <v>99621</v>
      </c>
      <c r="B870" s="229" t="s">
        <v>1590</v>
      </c>
      <c r="C870" s="105">
        <v>166447.64000000001</v>
      </c>
    </row>
    <row r="871" spans="1:3">
      <c r="A871" s="229">
        <v>99623</v>
      </c>
      <c r="B871" s="229" t="s">
        <v>1591</v>
      </c>
      <c r="C871" s="105">
        <v>11102.830000000002</v>
      </c>
    </row>
    <row r="872" spans="1:3">
      <c r="A872" s="229">
        <v>99631</v>
      </c>
      <c r="B872" s="229" t="s">
        <v>1592</v>
      </c>
      <c r="C872" s="105">
        <v>46230.900000000009</v>
      </c>
    </row>
    <row r="873" spans="1:3">
      <c r="A873" s="229">
        <v>99651</v>
      </c>
      <c r="B873" s="229" t="s">
        <v>1593</v>
      </c>
      <c r="C873" s="105">
        <v>30231.079999999998</v>
      </c>
    </row>
    <row r="874" spans="1:3">
      <c r="A874" s="229">
        <v>99661</v>
      </c>
      <c r="B874" s="229" t="s">
        <v>1594</v>
      </c>
      <c r="C874" s="105">
        <v>34513.29</v>
      </c>
    </row>
    <row r="875" spans="1:3">
      <c r="A875" s="229">
        <v>99701</v>
      </c>
      <c r="B875" s="229" t="s">
        <v>1595</v>
      </c>
      <c r="C875" s="105">
        <v>1295370.6500000001</v>
      </c>
    </row>
    <row r="876" spans="1:3">
      <c r="A876" s="229">
        <v>99705</v>
      </c>
      <c r="B876" s="229" t="s">
        <v>1596</v>
      </c>
      <c r="C876" s="105">
        <v>85450.72</v>
      </c>
    </row>
    <row r="877" spans="1:3">
      <c r="A877" s="229">
        <v>99711</v>
      </c>
      <c r="B877" s="229" t="s">
        <v>1597</v>
      </c>
      <c r="C877" s="105">
        <v>209493.55</v>
      </c>
    </row>
    <row r="878" spans="1:3">
      <c r="A878" s="229">
        <v>99717</v>
      </c>
      <c r="B878" s="229" t="s">
        <v>1598</v>
      </c>
      <c r="C878" s="105">
        <v>8060.3599999999979</v>
      </c>
    </row>
    <row r="879" spans="1:3">
      <c r="A879" s="229">
        <v>99721</v>
      </c>
      <c r="B879" s="229" t="s">
        <v>1599</v>
      </c>
      <c r="C879" s="105">
        <v>252724.99000000002</v>
      </c>
    </row>
    <row r="880" spans="1:3">
      <c r="A880" s="229">
        <v>99727</v>
      </c>
      <c r="B880" s="229" t="s">
        <v>1600</v>
      </c>
      <c r="C880" s="105">
        <v>46314.63</v>
      </c>
    </row>
    <row r="881" spans="1:3">
      <c r="A881" s="229">
        <v>99801</v>
      </c>
      <c r="B881" s="229" t="s">
        <v>1601</v>
      </c>
      <c r="C881" s="105">
        <v>2259452.0700000003</v>
      </c>
    </row>
    <row r="882" spans="1:3">
      <c r="A882" s="229">
        <v>99802</v>
      </c>
      <c r="B882" s="229" t="s">
        <v>1602</v>
      </c>
      <c r="C882" s="105">
        <v>4580.8500000000013</v>
      </c>
    </row>
    <row r="883" spans="1:3">
      <c r="A883" s="229">
        <v>99804</v>
      </c>
      <c r="B883" s="229" t="s">
        <v>1603</v>
      </c>
      <c r="C883" s="105">
        <v>46756.41</v>
      </c>
    </row>
    <row r="884" spans="1:3">
      <c r="A884" s="229">
        <v>99811</v>
      </c>
      <c r="B884" s="229" t="s">
        <v>1604</v>
      </c>
      <c r="C884" s="105">
        <v>2884355.86</v>
      </c>
    </row>
    <row r="885" spans="1:3">
      <c r="A885" s="229">
        <v>99812</v>
      </c>
      <c r="B885" s="229" t="s">
        <v>1605</v>
      </c>
      <c r="C885" s="105">
        <v>20069.04</v>
      </c>
    </row>
    <row r="886" spans="1:3">
      <c r="A886" s="229">
        <v>99818</v>
      </c>
      <c r="B886" s="229" t="s">
        <v>1606</v>
      </c>
      <c r="C886" s="105">
        <v>14369.52</v>
      </c>
    </row>
    <row r="887" spans="1:3">
      <c r="A887" s="229">
        <v>99821</v>
      </c>
      <c r="B887" s="229" t="s">
        <v>1607</v>
      </c>
      <c r="C887" s="105">
        <v>48801.23</v>
      </c>
    </row>
    <row r="888" spans="1:3">
      <c r="A888" s="229">
        <v>99831</v>
      </c>
      <c r="B888" s="229" t="s">
        <v>1608</v>
      </c>
      <c r="C888" s="105">
        <v>28273.86</v>
      </c>
    </row>
    <row r="889" spans="1:3">
      <c r="A889" s="229">
        <v>99841</v>
      </c>
      <c r="B889" s="229" t="s">
        <v>1609</v>
      </c>
      <c r="C889" s="105">
        <v>19337.829999999998</v>
      </c>
    </row>
    <row r="890" spans="1:3">
      <c r="A890" s="229">
        <v>99851</v>
      </c>
      <c r="B890" s="229" t="s">
        <v>1610</v>
      </c>
      <c r="C890" s="105">
        <v>7302.38</v>
      </c>
    </row>
    <row r="891" spans="1:3">
      <c r="A891" s="229">
        <v>99901</v>
      </c>
      <c r="B891" s="229" t="s">
        <v>1611</v>
      </c>
      <c r="C891" s="105">
        <v>760400.05</v>
      </c>
    </row>
    <row r="892" spans="1:3">
      <c r="A892" s="229">
        <v>99911</v>
      </c>
      <c r="B892" s="229" t="s">
        <v>1612</v>
      </c>
      <c r="C892" s="105">
        <v>122065.53</v>
      </c>
    </row>
    <row r="893" spans="1:3">
      <c r="A893" s="229">
        <v>99921</v>
      </c>
      <c r="B893" s="229" t="s">
        <v>1613</v>
      </c>
      <c r="C893" s="105">
        <v>65164.7</v>
      </c>
    </row>
    <row r="894" spans="1:3">
      <c r="A894" s="229">
        <v>99931</v>
      </c>
      <c r="B894" s="229" t="s">
        <v>1614</v>
      </c>
      <c r="C894" s="105">
        <v>8881.11</v>
      </c>
    </row>
    <row r="895" spans="1:3">
      <c r="A895" s="229">
        <v>99941</v>
      </c>
      <c r="B895" s="229" t="s">
        <v>1615</v>
      </c>
      <c r="C895" s="105">
        <v>32663.02</v>
      </c>
    </row>
    <row r="896" spans="1:3">
      <c r="A896" s="229">
        <v>99991</v>
      </c>
      <c r="B896" s="229" t="s">
        <v>1616</v>
      </c>
      <c r="C896" s="105">
        <v>239781.13999999998</v>
      </c>
    </row>
    <row r="897" spans="1:3">
      <c r="A897" s="229">
        <v>99999</v>
      </c>
      <c r="B897" s="229" t="s">
        <v>1617</v>
      </c>
      <c r="C897" s="105">
        <v>509175.93000000005</v>
      </c>
    </row>
    <row r="899" spans="1:3">
      <c r="A899" s="229" t="s">
        <v>3510</v>
      </c>
    </row>
    <row r="900" spans="1:3">
      <c r="A900" s="229">
        <v>91119</v>
      </c>
      <c r="B900" s="229" t="s">
        <v>48</v>
      </c>
      <c r="C900" s="105">
        <v>0</v>
      </c>
    </row>
    <row r="901" spans="1:3">
      <c r="A901" s="229">
        <v>92414</v>
      </c>
      <c r="B901" s="229" t="s">
        <v>2060</v>
      </c>
      <c r="C901" s="105">
        <v>0</v>
      </c>
    </row>
    <row r="902" spans="1:3">
      <c r="A902" s="229">
        <v>92608</v>
      </c>
      <c r="B902" s="229" t="s">
        <v>972</v>
      </c>
      <c r="C902" s="105">
        <v>0</v>
      </c>
    </row>
    <row r="903" spans="1:3">
      <c r="A903" s="229">
        <v>93408</v>
      </c>
      <c r="B903" s="229" t="s">
        <v>1043</v>
      </c>
      <c r="C903" s="105">
        <v>0</v>
      </c>
    </row>
    <row r="904" spans="1:3">
      <c r="A904" s="229">
        <v>94402</v>
      </c>
      <c r="B904" s="229" t="s">
        <v>1139</v>
      </c>
      <c r="C904" s="105">
        <v>0</v>
      </c>
    </row>
    <row r="905" spans="1:3">
      <c r="A905" s="229">
        <v>95412</v>
      </c>
      <c r="B905" s="229" t="s">
        <v>1220</v>
      </c>
      <c r="C905" s="105">
        <v>0</v>
      </c>
    </row>
    <row r="906" spans="1:3">
      <c r="A906" s="229">
        <v>93202</v>
      </c>
      <c r="B906" s="229" t="s">
        <v>1022</v>
      </c>
      <c r="C906" s="105">
        <v>0</v>
      </c>
    </row>
    <row r="907" spans="1:3">
      <c r="A907" s="229">
        <v>93677</v>
      </c>
      <c r="B907" s="229" t="s">
        <v>98</v>
      </c>
      <c r="C907" s="105">
        <v>0</v>
      </c>
    </row>
    <row r="908" spans="1:3">
      <c r="A908" s="229">
        <v>94512</v>
      </c>
      <c r="B908" s="229" t="s">
        <v>1151</v>
      </c>
      <c r="C908" s="105">
        <v>0</v>
      </c>
    </row>
    <row r="909" spans="1:3">
      <c r="A909" s="229">
        <v>97010</v>
      </c>
      <c r="B909" s="229" t="s">
        <v>1351</v>
      </c>
      <c r="C909" s="105">
        <v>0</v>
      </c>
    </row>
    <row r="910" spans="1:3">
      <c r="A910" s="229">
        <v>97491</v>
      </c>
      <c r="B910" s="229" t="s">
        <v>3509</v>
      </c>
    </row>
    <row r="2339" spans="1:1">
      <c r="A2339" s="106"/>
    </row>
  </sheetData>
  <sheetProtection password="CEAA"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N925"/>
  <sheetViews>
    <sheetView zoomScaleNormal="100" workbookViewId="0">
      <pane ySplit="7" topLeftCell="A8" activePane="bottomLeft" state="frozen"/>
      <selection activeCell="A34" sqref="A34:XFD34"/>
      <selection pane="bottomLeft" activeCell="A8" sqref="A8"/>
    </sheetView>
  </sheetViews>
  <sheetFormatPr defaultRowHeight="15"/>
  <cols>
    <col min="1" max="1" width="15.28515625" style="240" customWidth="1"/>
    <col min="2" max="2" width="55.5703125" style="4" bestFit="1" customWidth="1"/>
    <col min="3" max="3" width="13.85546875" style="4" customWidth="1"/>
    <col min="4" max="4" width="4.140625" customWidth="1"/>
    <col min="5" max="9" width="19.28515625" style="4" customWidth="1"/>
    <col min="10" max="10" width="4.140625" customWidth="1"/>
    <col min="11" max="15" width="19.28515625" style="4" customWidth="1"/>
    <col min="16" max="16" width="4.140625" customWidth="1"/>
    <col min="17" max="21" width="19.28515625" style="4" customWidth="1"/>
    <col min="22" max="22" width="4.140625" customWidth="1"/>
    <col min="23" max="27" width="19.28515625" style="4" customWidth="1"/>
    <col min="28" max="28" width="4.140625" customWidth="1"/>
    <col min="29" max="33" width="19.28515625" style="4" customWidth="1"/>
    <col min="34" max="34" width="4.140625" customWidth="1"/>
    <col min="35" max="39" width="19.28515625" style="4" customWidth="1"/>
    <col min="40" max="16384" width="9.140625" style="4"/>
  </cols>
  <sheetData>
    <row r="1" spans="1:92" s="49" customFormat="1" ht="14.25" customHeight="1">
      <c r="A1" s="101"/>
      <c r="B1" s="49" t="s">
        <v>3744</v>
      </c>
      <c r="C1" s="327"/>
      <c r="D1"/>
      <c r="E1" s="251">
        <f>+E3-E2</f>
        <v>0</v>
      </c>
      <c r="F1" s="251">
        <f t="shared" ref="F1:AM1" si="0">+F3-F2</f>
        <v>0</v>
      </c>
      <c r="G1" s="251">
        <f t="shared" si="0"/>
        <v>0</v>
      </c>
      <c r="H1" s="251">
        <f t="shared" si="0"/>
        <v>0</v>
      </c>
      <c r="I1" s="251">
        <f t="shared" si="0"/>
        <v>0</v>
      </c>
      <c r="J1"/>
      <c r="K1" s="251">
        <f t="shared" si="0"/>
        <v>0</v>
      </c>
      <c r="L1" s="251">
        <f t="shared" si="0"/>
        <v>0</v>
      </c>
      <c r="M1" s="251">
        <f t="shared" si="0"/>
        <v>0</v>
      </c>
      <c r="N1" s="251">
        <f t="shared" si="0"/>
        <v>0</v>
      </c>
      <c r="O1" s="251">
        <f t="shared" si="0"/>
        <v>0</v>
      </c>
      <c r="P1"/>
      <c r="Q1" s="251">
        <f t="shared" si="0"/>
        <v>0</v>
      </c>
      <c r="R1" s="251">
        <f t="shared" si="0"/>
        <v>0</v>
      </c>
      <c r="S1" s="251">
        <f t="shared" si="0"/>
        <v>0</v>
      </c>
      <c r="T1" s="251">
        <f t="shared" si="0"/>
        <v>0</v>
      </c>
      <c r="U1" s="251">
        <f t="shared" si="0"/>
        <v>0</v>
      </c>
      <c r="V1"/>
      <c r="W1" s="251">
        <f t="shared" si="0"/>
        <v>0</v>
      </c>
      <c r="X1" s="251">
        <f t="shared" si="0"/>
        <v>0</v>
      </c>
      <c r="Y1" s="251">
        <f t="shared" si="0"/>
        <v>0</v>
      </c>
      <c r="Z1" s="251">
        <f t="shared" si="0"/>
        <v>0</v>
      </c>
      <c r="AA1" s="251">
        <f t="shared" si="0"/>
        <v>0</v>
      </c>
      <c r="AB1"/>
      <c r="AC1" s="251">
        <f t="shared" si="0"/>
        <v>0</v>
      </c>
      <c r="AD1" s="251">
        <f t="shared" si="0"/>
        <v>0</v>
      </c>
      <c r="AE1" s="251">
        <f t="shared" si="0"/>
        <v>0</v>
      </c>
      <c r="AF1" s="251">
        <f t="shared" si="0"/>
        <v>0</v>
      </c>
      <c r="AG1" s="251">
        <f t="shared" si="0"/>
        <v>0</v>
      </c>
      <c r="AH1"/>
      <c r="AI1" s="251">
        <f t="shared" si="0"/>
        <v>0</v>
      </c>
      <c r="AJ1" s="251">
        <f t="shared" si="0"/>
        <v>0</v>
      </c>
      <c r="AK1" s="251">
        <f t="shared" si="0"/>
        <v>0</v>
      </c>
      <c r="AL1" s="251">
        <f t="shared" si="0"/>
        <v>0</v>
      </c>
      <c r="AM1" s="251">
        <f t="shared" si="0"/>
        <v>0</v>
      </c>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row>
    <row r="2" spans="1:92" ht="30">
      <c r="A2" s="354" t="str">
        <f>+'Changes to Update Template '!C47</f>
        <v>Measurement date 6/30/2019</v>
      </c>
      <c r="B2" s="4" t="s">
        <v>3743</v>
      </c>
      <c r="C2" s="380">
        <f>SUM(C8:C924)-C22-C23-C25-C26-C28-C29-C30-C32-C33</f>
        <v>1.0000000000000004</v>
      </c>
      <c r="E2" s="378">
        <f>SUM(E8:E924)-E22-E23-E25-E26-E28-E29-E30-E32-E33</f>
        <v>488009996</v>
      </c>
      <c r="F2" s="378">
        <f t="shared" ref="F2:AM2" si="1">SUM(F8:F924)-F22-F23-F25-F26-F28-F29-F30-F32-F33</f>
        <v>150891030</v>
      </c>
      <c r="G2" s="378">
        <f t="shared" si="1"/>
        <v>264743044</v>
      </c>
      <c r="H2" s="378">
        <f t="shared" si="1"/>
        <v>75665010</v>
      </c>
      <c r="I2" s="378">
        <f t="shared" si="1"/>
        <v>0</v>
      </c>
      <c r="K2" s="378">
        <f t="shared" si="1"/>
        <v>149806999</v>
      </c>
      <c r="L2" s="378">
        <f t="shared" si="1"/>
        <v>140920018</v>
      </c>
      <c r="M2" s="378">
        <f t="shared" si="1"/>
        <v>126304992</v>
      </c>
      <c r="N2" s="378">
        <f t="shared" si="1"/>
        <v>50570989</v>
      </c>
      <c r="O2" s="378">
        <f t="shared" si="1"/>
        <v>0</v>
      </c>
      <c r="Q2" s="378">
        <f t="shared" si="1"/>
        <v>159041013</v>
      </c>
      <c r="R2" s="378">
        <f t="shared" si="1"/>
        <v>-136805013</v>
      </c>
      <c r="S2" s="378">
        <f t="shared" si="1"/>
        <v>19280998</v>
      </c>
      <c r="T2" s="378">
        <f t="shared" si="1"/>
        <v>25093992</v>
      </c>
      <c r="U2" s="378">
        <f t="shared" si="1"/>
        <v>0</v>
      </c>
      <c r="W2" s="378">
        <f t="shared" si="1"/>
        <v>179161988</v>
      </c>
      <c r="X2" s="378">
        <f t="shared" si="1"/>
        <v>146775987</v>
      </c>
      <c r="Y2" s="378">
        <f t="shared" si="1"/>
        <v>119157012</v>
      </c>
      <c r="Z2" s="378">
        <f t="shared" si="1"/>
        <v>0</v>
      </c>
      <c r="AA2" s="378">
        <f t="shared" si="1"/>
        <v>0</v>
      </c>
      <c r="AC2" s="378">
        <f t="shared" si="1"/>
        <v>15921393</v>
      </c>
      <c r="AD2" s="378">
        <f t="shared" si="1"/>
        <v>10935463</v>
      </c>
      <c r="AE2" s="378">
        <f t="shared" si="1"/>
        <v>7559168</v>
      </c>
      <c r="AF2" s="378">
        <f t="shared" si="1"/>
        <v>3957042</v>
      </c>
      <c r="AG2" s="378">
        <f t="shared" si="1"/>
        <v>0</v>
      </c>
      <c r="AI2" s="378">
        <f t="shared" si="1"/>
        <v>-15921397</v>
      </c>
      <c r="AJ2" s="378">
        <f t="shared" si="1"/>
        <v>-10935425</v>
      </c>
      <c r="AK2" s="378">
        <f t="shared" si="1"/>
        <v>-7559126</v>
      </c>
      <c r="AL2" s="378">
        <f t="shared" si="1"/>
        <v>-3957013</v>
      </c>
      <c r="AM2" s="378">
        <f t="shared" si="1"/>
        <v>0</v>
      </c>
    </row>
    <row r="3" spans="1:92">
      <c r="B3" s="4" t="s">
        <v>3742</v>
      </c>
      <c r="C3" s="54">
        <v>1</v>
      </c>
      <c r="E3" s="343">
        <v>488009996</v>
      </c>
      <c r="F3" s="343">
        <v>150891030</v>
      </c>
      <c r="G3" s="343">
        <v>264743044</v>
      </c>
      <c r="H3" s="343">
        <v>75665010</v>
      </c>
      <c r="I3" s="343">
        <v>0</v>
      </c>
      <c r="K3" s="355">
        <v>149806999</v>
      </c>
      <c r="L3" s="355">
        <v>140920018</v>
      </c>
      <c r="M3" s="355">
        <v>126304992</v>
      </c>
      <c r="N3" s="355">
        <v>50570989</v>
      </c>
      <c r="O3" s="355">
        <v>0</v>
      </c>
      <c r="Q3" s="355">
        <v>159041013</v>
      </c>
      <c r="R3" s="355">
        <v>-136805013</v>
      </c>
      <c r="S3" s="355">
        <v>19280998</v>
      </c>
      <c r="T3" s="355">
        <v>25093992</v>
      </c>
      <c r="U3" s="355">
        <v>0</v>
      </c>
      <c r="W3" s="4">
        <v>179161988</v>
      </c>
      <c r="X3" s="214">
        <v>146775987</v>
      </c>
      <c r="Y3" s="214">
        <v>119157012</v>
      </c>
      <c r="Z3" s="214">
        <v>0</v>
      </c>
      <c r="AA3" s="214">
        <v>0</v>
      </c>
      <c r="AC3" s="4">
        <v>15921393</v>
      </c>
      <c r="AD3" s="214">
        <v>10935463</v>
      </c>
      <c r="AE3" s="214">
        <v>7559168</v>
      </c>
      <c r="AF3" s="214">
        <v>3957042</v>
      </c>
      <c r="AG3" s="214">
        <v>0</v>
      </c>
      <c r="AI3" s="4">
        <v>-15921397</v>
      </c>
      <c r="AJ3" s="214">
        <v>-10935425</v>
      </c>
      <c r="AK3" s="214">
        <v>-7559126</v>
      </c>
      <c r="AL3" s="214">
        <v>-3957013</v>
      </c>
      <c r="AM3" s="214">
        <v>0</v>
      </c>
    </row>
    <row r="4" spans="1:92" s="214" customFormat="1">
      <c r="A4" s="326"/>
      <c r="D4"/>
      <c r="J4"/>
      <c r="P4"/>
      <c r="V4"/>
      <c r="AB4"/>
      <c r="AH4"/>
    </row>
    <row r="5" spans="1:92" s="214" customFormat="1">
      <c r="A5" s="326"/>
      <c r="D5"/>
      <c r="E5" s="343"/>
      <c r="J5"/>
      <c r="P5"/>
      <c r="V5"/>
      <c r="AB5"/>
      <c r="AH5"/>
    </row>
    <row r="6" spans="1:92" s="49" customFormat="1">
      <c r="A6" s="101"/>
      <c r="D6"/>
      <c r="E6" s="8">
        <v>2020</v>
      </c>
      <c r="F6" s="8">
        <v>2021</v>
      </c>
      <c r="G6" s="8">
        <v>2022</v>
      </c>
      <c r="H6" s="8">
        <v>2023</v>
      </c>
      <c r="I6" s="8">
        <v>2024</v>
      </c>
      <c r="J6"/>
      <c r="K6" s="8">
        <v>2020</v>
      </c>
      <c r="L6" s="8">
        <v>2021</v>
      </c>
      <c r="M6" s="8">
        <v>2022</v>
      </c>
      <c r="N6" s="8">
        <v>2023</v>
      </c>
      <c r="O6" s="8">
        <v>2024</v>
      </c>
      <c r="P6"/>
      <c r="Q6" s="8">
        <v>2020</v>
      </c>
      <c r="R6" s="8">
        <v>2021</v>
      </c>
      <c r="S6" s="8">
        <v>2022</v>
      </c>
      <c r="T6" s="8">
        <v>2023</v>
      </c>
      <c r="U6" s="8">
        <v>2024</v>
      </c>
      <c r="V6"/>
      <c r="W6" s="8">
        <v>2020</v>
      </c>
      <c r="X6" s="8">
        <v>2021</v>
      </c>
      <c r="Y6" s="8">
        <v>2022</v>
      </c>
      <c r="Z6" s="8">
        <v>2023</v>
      </c>
      <c r="AA6" s="8">
        <v>2024</v>
      </c>
      <c r="AB6"/>
      <c r="AC6" s="8">
        <v>2020</v>
      </c>
      <c r="AD6" s="8">
        <v>2021</v>
      </c>
      <c r="AE6" s="8">
        <v>2022</v>
      </c>
      <c r="AF6" s="8">
        <v>2023</v>
      </c>
      <c r="AG6" s="8">
        <v>2024</v>
      </c>
      <c r="AH6"/>
      <c r="AI6" s="8">
        <v>2020</v>
      </c>
      <c r="AJ6" s="8">
        <v>2021</v>
      </c>
      <c r="AK6" s="8">
        <v>2022</v>
      </c>
      <c r="AL6" s="8">
        <v>2023</v>
      </c>
      <c r="AM6" s="8">
        <v>2024</v>
      </c>
    </row>
    <row r="7" spans="1:92" ht="90">
      <c r="A7" s="8" t="s">
        <v>0</v>
      </c>
      <c r="B7" s="8" t="s">
        <v>1</v>
      </c>
      <c r="C7" s="8" t="s">
        <v>263</v>
      </c>
      <c r="E7" s="8" t="s">
        <v>702</v>
      </c>
      <c r="F7" s="8" t="s">
        <v>702</v>
      </c>
      <c r="G7" s="8" t="s">
        <v>702</v>
      </c>
      <c r="H7" s="8" t="s">
        <v>702</v>
      </c>
      <c r="I7" s="8" t="s">
        <v>702</v>
      </c>
      <c r="K7" s="8" t="s">
        <v>5</v>
      </c>
      <c r="L7" s="8" t="s">
        <v>5</v>
      </c>
      <c r="M7" s="8" t="s">
        <v>5</v>
      </c>
      <c r="N7" s="8" t="s">
        <v>5</v>
      </c>
      <c r="O7" s="8" t="s">
        <v>5</v>
      </c>
      <c r="Q7" s="8" t="s">
        <v>6</v>
      </c>
      <c r="R7" s="8" t="s">
        <v>6</v>
      </c>
      <c r="S7" s="8" t="s">
        <v>6</v>
      </c>
      <c r="T7" s="8" t="s">
        <v>6</v>
      </c>
      <c r="U7" s="8" t="s">
        <v>6</v>
      </c>
      <c r="W7" s="8" t="s">
        <v>7</v>
      </c>
      <c r="X7" s="8" t="s">
        <v>7</v>
      </c>
      <c r="Y7" s="8" t="s">
        <v>7</v>
      </c>
      <c r="Z7" s="8" t="s">
        <v>7</v>
      </c>
      <c r="AA7" s="8" t="s">
        <v>7</v>
      </c>
      <c r="AC7" s="8" t="s">
        <v>703</v>
      </c>
      <c r="AD7" s="8" t="s">
        <v>703</v>
      </c>
      <c r="AE7" s="8" t="s">
        <v>703</v>
      </c>
      <c r="AF7" s="8" t="s">
        <v>703</v>
      </c>
      <c r="AG7" s="8" t="s">
        <v>703</v>
      </c>
      <c r="AI7" s="8" t="s">
        <v>704</v>
      </c>
      <c r="AJ7" s="8" t="s">
        <v>704</v>
      </c>
      <c r="AK7" s="8" t="s">
        <v>704</v>
      </c>
      <c r="AL7" s="8" t="s">
        <v>704</v>
      </c>
      <c r="AM7" s="8" t="s">
        <v>704</v>
      </c>
    </row>
    <row r="8" spans="1:92">
      <c r="A8" s="364">
        <v>91414</v>
      </c>
      <c r="B8" s="371" t="s">
        <v>3636</v>
      </c>
      <c r="C8" s="374">
        <v>2.2200000000000001E-5</v>
      </c>
      <c r="E8" s="2">
        <v>15089</v>
      </c>
      <c r="F8" s="2">
        <v>7604</v>
      </c>
      <c r="G8" s="2">
        <v>10132</v>
      </c>
      <c r="H8" s="2">
        <v>5937</v>
      </c>
      <c r="I8" s="2">
        <v>0</v>
      </c>
      <c r="K8" s="2">
        <v>3326</v>
      </c>
      <c r="L8" s="2">
        <v>3128</v>
      </c>
      <c r="M8" s="2">
        <v>2804</v>
      </c>
      <c r="N8" s="2">
        <v>1123</v>
      </c>
      <c r="O8" s="2">
        <v>0</v>
      </c>
      <c r="Q8" s="2">
        <v>3531</v>
      </c>
      <c r="R8" s="2">
        <v>-3037</v>
      </c>
      <c r="S8" s="2">
        <v>428</v>
      </c>
      <c r="T8" s="2">
        <v>557</v>
      </c>
      <c r="U8" s="2">
        <v>0</v>
      </c>
      <c r="W8" s="2">
        <v>3977</v>
      </c>
      <c r="X8" s="2">
        <v>3258</v>
      </c>
      <c r="Y8" s="2">
        <v>2645</v>
      </c>
      <c r="Z8" s="2">
        <v>0</v>
      </c>
      <c r="AA8" s="2">
        <v>0</v>
      </c>
      <c r="AC8" s="2">
        <v>4255</v>
      </c>
      <c r="AD8" s="2">
        <v>4255</v>
      </c>
      <c r="AE8" s="2">
        <v>4255</v>
      </c>
      <c r="AF8" s="2">
        <v>4257</v>
      </c>
      <c r="AG8" s="2">
        <v>0</v>
      </c>
      <c r="AI8" s="2">
        <v>0</v>
      </c>
      <c r="AJ8" s="2">
        <v>0</v>
      </c>
      <c r="AK8" s="2">
        <v>0</v>
      </c>
      <c r="AL8" s="2">
        <v>0</v>
      </c>
      <c r="AM8" s="2">
        <v>0</v>
      </c>
    </row>
    <row r="9" spans="1:92">
      <c r="A9" s="364">
        <v>97302</v>
      </c>
      <c r="B9" s="372" t="s">
        <v>3639</v>
      </c>
      <c r="C9" s="347">
        <v>0</v>
      </c>
      <c r="E9" s="2">
        <v>2721</v>
      </c>
      <c r="F9" s="2">
        <v>2721</v>
      </c>
      <c r="G9" s="2">
        <v>2721</v>
      </c>
      <c r="H9" s="2">
        <v>2722</v>
      </c>
      <c r="I9" s="2">
        <v>0</v>
      </c>
      <c r="K9" s="2">
        <v>0</v>
      </c>
      <c r="L9" s="2">
        <v>0</v>
      </c>
      <c r="M9" s="2">
        <v>0</v>
      </c>
      <c r="N9" s="2">
        <v>0</v>
      </c>
      <c r="O9" s="2">
        <v>0</v>
      </c>
      <c r="Q9" s="2">
        <v>0</v>
      </c>
      <c r="R9" s="2">
        <v>0</v>
      </c>
      <c r="S9" s="2">
        <v>0</v>
      </c>
      <c r="T9" s="2">
        <v>0</v>
      </c>
      <c r="U9" s="2">
        <v>0</v>
      </c>
      <c r="W9" s="2">
        <v>0</v>
      </c>
      <c r="X9" s="2">
        <v>0</v>
      </c>
      <c r="Y9" s="2">
        <v>0</v>
      </c>
      <c r="Z9" s="2">
        <v>0</v>
      </c>
      <c r="AA9" s="2">
        <v>0</v>
      </c>
      <c r="AC9" s="2">
        <v>2721</v>
      </c>
      <c r="AD9" s="2">
        <v>2721</v>
      </c>
      <c r="AE9" s="2">
        <v>2721</v>
      </c>
      <c r="AF9" s="2">
        <v>2722</v>
      </c>
      <c r="AG9" s="2">
        <v>0</v>
      </c>
      <c r="AI9" s="2">
        <v>0</v>
      </c>
      <c r="AJ9" s="2">
        <v>0</v>
      </c>
      <c r="AK9" s="2">
        <v>0</v>
      </c>
      <c r="AL9" s="2">
        <v>0</v>
      </c>
      <c r="AM9" s="2">
        <v>0</v>
      </c>
    </row>
    <row r="10" spans="1:92">
      <c r="A10" s="330">
        <v>92414</v>
      </c>
      <c r="B10" s="365" t="s">
        <v>70</v>
      </c>
      <c r="C10" s="347">
        <v>0</v>
      </c>
      <c r="E10" s="2">
        <v>-1184</v>
      </c>
      <c r="F10" s="2">
        <v>0</v>
      </c>
      <c r="G10" s="2">
        <v>0</v>
      </c>
      <c r="H10" s="2">
        <v>0</v>
      </c>
      <c r="I10" s="2">
        <v>0</v>
      </c>
      <c r="K10" s="2">
        <v>0</v>
      </c>
      <c r="L10" s="2">
        <v>0</v>
      </c>
      <c r="M10" s="2">
        <v>0</v>
      </c>
      <c r="N10" s="2">
        <v>0</v>
      </c>
      <c r="O10" s="2">
        <v>0</v>
      </c>
      <c r="Q10" s="2">
        <v>0</v>
      </c>
      <c r="R10" s="2">
        <v>0</v>
      </c>
      <c r="S10" s="2">
        <v>0</v>
      </c>
      <c r="T10" s="2">
        <v>0</v>
      </c>
      <c r="U10" s="2">
        <v>0</v>
      </c>
      <c r="W10" s="2">
        <v>0</v>
      </c>
      <c r="X10" s="2">
        <v>0</v>
      </c>
      <c r="Y10" s="2">
        <v>0</v>
      </c>
      <c r="Z10" s="2">
        <v>0</v>
      </c>
      <c r="AA10" s="2">
        <v>0</v>
      </c>
      <c r="AC10" s="2">
        <v>0</v>
      </c>
      <c r="AD10" s="2">
        <v>0</v>
      </c>
      <c r="AE10" s="2">
        <v>0</v>
      </c>
      <c r="AF10" s="2">
        <v>0</v>
      </c>
      <c r="AG10" s="2">
        <v>0</v>
      </c>
      <c r="AI10" s="2">
        <v>-1184</v>
      </c>
      <c r="AJ10" s="2">
        <v>0</v>
      </c>
      <c r="AK10" s="2">
        <v>0</v>
      </c>
      <c r="AL10" s="2">
        <v>0</v>
      </c>
      <c r="AM10" s="2">
        <v>0</v>
      </c>
    </row>
    <row r="11" spans="1:92">
      <c r="A11" s="330">
        <v>92608</v>
      </c>
      <c r="B11" s="365" t="s">
        <v>3737</v>
      </c>
      <c r="C11" s="347">
        <v>0</v>
      </c>
      <c r="E11" s="2">
        <v>0</v>
      </c>
      <c r="F11" s="2">
        <v>0</v>
      </c>
      <c r="G11" s="2">
        <v>0</v>
      </c>
      <c r="H11" s="2">
        <v>0</v>
      </c>
      <c r="I11" s="2">
        <v>0</v>
      </c>
      <c r="K11" s="2">
        <v>0</v>
      </c>
      <c r="L11" s="2">
        <v>0</v>
      </c>
      <c r="M11" s="2">
        <v>0</v>
      </c>
      <c r="N11" s="2">
        <v>0</v>
      </c>
      <c r="O11" s="2">
        <v>0</v>
      </c>
      <c r="Q11" s="2">
        <v>0</v>
      </c>
      <c r="R11" s="2">
        <v>0</v>
      </c>
      <c r="S11" s="2">
        <v>0</v>
      </c>
      <c r="T11" s="2">
        <v>0</v>
      </c>
      <c r="U11" s="2">
        <v>0</v>
      </c>
      <c r="W11" s="2">
        <v>0</v>
      </c>
      <c r="X11" s="2">
        <v>0</v>
      </c>
      <c r="Y11" s="2">
        <v>0</v>
      </c>
      <c r="Z11" s="2">
        <v>0</v>
      </c>
      <c r="AA11" s="2">
        <v>0</v>
      </c>
      <c r="AC11" s="2">
        <v>0</v>
      </c>
      <c r="AD11" s="2">
        <v>0</v>
      </c>
      <c r="AE11" s="2">
        <v>0</v>
      </c>
      <c r="AF11" s="2">
        <v>0</v>
      </c>
      <c r="AG11" s="2">
        <v>0</v>
      </c>
      <c r="AI11" s="2">
        <v>0</v>
      </c>
      <c r="AJ11" s="2">
        <v>0</v>
      </c>
      <c r="AK11" s="2">
        <v>0</v>
      </c>
      <c r="AL11" s="2">
        <v>0</v>
      </c>
      <c r="AM11" s="2">
        <v>0</v>
      </c>
    </row>
    <row r="12" spans="1:92">
      <c r="A12" s="330">
        <v>93202</v>
      </c>
      <c r="B12" s="365" t="s">
        <v>1022</v>
      </c>
      <c r="C12" s="347">
        <v>0</v>
      </c>
      <c r="E12" s="2">
        <v>-25055</v>
      </c>
      <c r="F12" s="2">
        <v>0</v>
      </c>
      <c r="G12" s="2">
        <v>0</v>
      </c>
      <c r="H12" s="2">
        <v>0</v>
      </c>
      <c r="I12" s="2">
        <v>0</v>
      </c>
      <c r="K12" s="2">
        <v>0</v>
      </c>
      <c r="L12" s="2">
        <v>0</v>
      </c>
      <c r="M12" s="2">
        <v>0</v>
      </c>
      <c r="N12" s="2">
        <v>0</v>
      </c>
      <c r="O12" s="2">
        <v>0</v>
      </c>
      <c r="Q12" s="2">
        <v>0</v>
      </c>
      <c r="R12" s="2">
        <v>0</v>
      </c>
      <c r="S12" s="2">
        <v>0</v>
      </c>
      <c r="T12" s="2">
        <v>0</v>
      </c>
      <c r="U12" s="2">
        <v>0</v>
      </c>
      <c r="W12" s="2">
        <v>0</v>
      </c>
      <c r="X12" s="2">
        <v>0</v>
      </c>
      <c r="Y12" s="2">
        <v>0</v>
      </c>
      <c r="Z12" s="2">
        <v>0</v>
      </c>
      <c r="AA12" s="2">
        <v>0</v>
      </c>
      <c r="AC12" s="2">
        <v>0</v>
      </c>
      <c r="AD12" s="2">
        <v>0</v>
      </c>
      <c r="AE12" s="2">
        <v>0</v>
      </c>
      <c r="AF12" s="2">
        <v>0</v>
      </c>
      <c r="AG12" s="2">
        <v>0</v>
      </c>
      <c r="AI12" s="2">
        <v>-25055</v>
      </c>
      <c r="AJ12" s="2">
        <v>0</v>
      </c>
      <c r="AK12" s="2">
        <v>0</v>
      </c>
      <c r="AL12" s="2">
        <v>0</v>
      </c>
      <c r="AM12" s="2">
        <v>0</v>
      </c>
    </row>
    <row r="13" spans="1:92">
      <c r="A13" s="330">
        <v>93402</v>
      </c>
      <c r="B13" s="365" t="s">
        <v>1041</v>
      </c>
      <c r="C13" s="347">
        <v>0</v>
      </c>
      <c r="E13" s="2">
        <v>-19132</v>
      </c>
      <c r="F13" s="2">
        <v>-18552</v>
      </c>
      <c r="G13" s="2">
        <v>-18172</v>
      </c>
      <c r="H13" s="2">
        <v>-16204</v>
      </c>
      <c r="I13" s="2">
        <v>0</v>
      </c>
      <c r="K13" s="2">
        <v>0</v>
      </c>
      <c r="L13" s="2">
        <v>0</v>
      </c>
      <c r="M13" s="2">
        <v>0</v>
      </c>
      <c r="N13" s="2">
        <v>0</v>
      </c>
      <c r="O13" s="2">
        <v>0</v>
      </c>
      <c r="Q13" s="2">
        <v>0</v>
      </c>
      <c r="R13" s="2">
        <v>0</v>
      </c>
      <c r="S13" s="2">
        <v>0</v>
      </c>
      <c r="T13" s="2">
        <v>0</v>
      </c>
      <c r="U13" s="2">
        <v>0</v>
      </c>
      <c r="W13" s="2">
        <v>0</v>
      </c>
      <c r="X13" s="2">
        <v>0</v>
      </c>
      <c r="Y13" s="2">
        <v>0</v>
      </c>
      <c r="Z13" s="2">
        <v>0</v>
      </c>
      <c r="AA13" s="2">
        <v>0</v>
      </c>
      <c r="AC13" s="2">
        <v>0</v>
      </c>
      <c r="AD13" s="2">
        <v>0</v>
      </c>
      <c r="AE13" s="2">
        <v>0</v>
      </c>
      <c r="AF13" s="2">
        <v>0</v>
      </c>
      <c r="AG13" s="2">
        <v>0</v>
      </c>
      <c r="AI13" s="2">
        <v>-19132</v>
      </c>
      <c r="AJ13" s="2">
        <v>-18552</v>
      </c>
      <c r="AK13" s="2">
        <v>-18172</v>
      </c>
      <c r="AL13" s="2">
        <v>-16204</v>
      </c>
      <c r="AM13" s="2">
        <v>0</v>
      </c>
    </row>
    <row r="14" spans="1:92">
      <c r="A14" s="330">
        <v>93408</v>
      </c>
      <c r="B14" s="365" t="s">
        <v>1043</v>
      </c>
      <c r="C14" s="347">
        <v>0</v>
      </c>
      <c r="E14" s="2">
        <v>-421153</v>
      </c>
      <c r="F14" s="2">
        <v>-303143</v>
      </c>
      <c r="G14" s="2">
        <v>0</v>
      </c>
      <c r="H14" s="2">
        <v>0</v>
      </c>
      <c r="I14" s="2">
        <v>0</v>
      </c>
      <c r="K14" s="2">
        <v>0</v>
      </c>
      <c r="L14" s="2">
        <v>0</v>
      </c>
      <c r="M14" s="2">
        <v>0</v>
      </c>
      <c r="N14" s="2">
        <v>0</v>
      </c>
      <c r="O14" s="2">
        <v>0</v>
      </c>
      <c r="Q14" s="2">
        <v>0</v>
      </c>
      <c r="R14" s="2">
        <v>0</v>
      </c>
      <c r="S14" s="2">
        <v>0</v>
      </c>
      <c r="T14" s="2">
        <v>0</v>
      </c>
      <c r="U14" s="2">
        <v>0</v>
      </c>
      <c r="W14" s="2">
        <v>0</v>
      </c>
      <c r="X14" s="2">
        <v>0</v>
      </c>
      <c r="Y14" s="2">
        <v>0</v>
      </c>
      <c r="Z14" s="2">
        <v>0</v>
      </c>
      <c r="AA14" s="2">
        <v>0</v>
      </c>
      <c r="AC14" s="2">
        <v>0</v>
      </c>
      <c r="AD14" s="2">
        <v>0</v>
      </c>
      <c r="AE14" s="2">
        <v>0</v>
      </c>
      <c r="AF14" s="2">
        <v>0</v>
      </c>
      <c r="AG14" s="2">
        <v>0</v>
      </c>
      <c r="AI14" s="2">
        <v>-421153</v>
      </c>
      <c r="AJ14" s="2">
        <v>-303143</v>
      </c>
      <c r="AK14" s="2">
        <v>0</v>
      </c>
      <c r="AL14" s="2">
        <v>0</v>
      </c>
      <c r="AM14" s="2">
        <v>0</v>
      </c>
    </row>
    <row r="15" spans="1:92">
      <c r="A15" s="330">
        <v>94402</v>
      </c>
      <c r="B15" s="365" t="s">
        <v>1139</v>
      </c>
      <c r="C15" s="347">
        <v>0</v>
      </c>
      <c r="E15" s="2">
        <v>0</v>
      </c>
      <c r="F15" s="2">
        <v>0</v>
      </c>
      <c r="G15" s="2">
        <v>0</v>
      </c>
      <c r="H15" s="2">
        <v>0</v>
      </c>
      <c r="I15" s="2">
        <v>0</v>
      </c>
      <c r="K15" s="2">
        <v>0</v>
      </c>
      <c r="L15" s="2">
        <v>0</v>
      </c>
      <c r="M15" s="2">
        <v>0</v>
      </c>
      <c r="N15" s="2">
        <v>0</v>
      </c>
      <c r="O15" s="2">
        <v>0</v>
      </c>
      <c r="Q15" s="2">
        <v>0</v>
      </c>
      <c r="R15" s="2">
        <v>0</v>
      </c>
      <c r="S15" s="2">
        <v>0</v>
      </c>
      <c r="T15" s="2">
        <v>0</v>
      </c>
      <c r="U15" s="2">
        <v>0</v>
      </c>
      <c r="W15" s="2">
        <v>0</v>
      </c>
      <c r="X15" s="2">
        <v>0</v>
      </c>
      <c r="Y15" s="2">
        <v>0</v>
      </c>
      <c r="Z15" s="2">
        <v>0</v>
      </c>
      <c r="AA15" s="2">
        <v>0</v>
      </c>
      <c r="AC15" s="2">
        <v>0</v>
      </c>
      <c r="AD15" s="2">
        <v>0</v>
      </c>
      <c r="AE15" s="2">
        <v>0</v>
      </c>
      <c r="AF15" s="2">
        <v>0</v>
      </c>
      <c r="AG15" s="2">
        <v>0</v>
      </c>
      <c r="AI15" s="2">
        <v>0</v>
      </c>
      <c r="AJ15" s="2">
        <v>0</v>
      </c>
      <c r="AK15" s="2">
        <v>0</v>
      </c>
      <c r="AL15" s="2">
        <v>0</v>
      </c>
      <c r="AM15" s="2">
        <v>0</v>
      </c>
    </row>
    <row r="16" spans="1:92">
      <c r="A16" s="330">
        <v>94512</v>
      </c>
      <c r="B16" s="365" t="s">
        <v>1151</v>
      </c>
      <c r="C16" s="347">
        <v>0</v>
      </c>
      <c r="E16" s="2">
        <v>0</v>
      </c>
      <c r="F16" s="2">
        <v>0</v>
      </c>
      <c r="G16" s="2">
        <v>0</v>
      </c>
      <c r="H16" s="2">
        <v>0</v>
      </c>
      <c r="I16" s="2">
        <v>0</v>
      </c>
      <c r="K16" s="2">
        <v>0</v>
      </c>
      <c r="L16" s="2">
        <v>0</v>
      </c>
      <c r="M16" s="2">
        <v>0</v>
      </c>
      <c r="N16" s="2">
        <v>0</v>
      </c>
      <c r="O16" s="2">
        <v>0</v>
      </c>
      <c r="Q16" s="2">
        <v>0</v>
      </c>
      <c r="R16" s="2">
        <v>0</v>
      </c>
      <c r="S16" s="2">
        <v>0</v>
      </c>
      <c r="T16" s="2">
        <v>0</v>
      </c>
      <c r="U16" s="2">
        <v>0</v>
      </c>
      <c r="W16" s="2">
        <v>0</v>
      </c>
      <c r="X16" s="2">
        <v>0</v>
      </c>
      <c r="Y16" s="2">
        <v>0</v>
      </c>
      <c r="Z16" s="2">
        <v>0</v>
      </c>
      <c r="AA16" s="2">
        <v>0</v>
      </c>
      <c r="AC16" s="2">
        <v>0</v>
      </c>
      <c r="AD16" s="2">
        <v>0</v>
      </c>
      <c r="AE16" s="2">
        <v>0</v>
      </c>
      <c r="AF16" s="2">
        <v>0</v>
      </c>
      <c r="AG16" s="2">
        <v>0</v>
      </c>
      <c r="AI16" s="2">
        <v>0</v>
      </c>
      <c r="AJ16" s="2">
        <v>0</v>
      </c>
      <c r="AK16" s="2">
        <v>0</v>
      </c>
      <c r="AL16" s="2">
        <v>0</v>
      </c>
      <c r="AM16" s="2">
        <v>0</v>
      </c>
    </row>
    <row r="17" spans="1:39">
      <c r="A17" s="330">
        <v>94606</v>
      </c>
      <c r="B17" s="365" t="s">
        <v>1162</v>
      </c>
      <c r="C17" s="347">
        <v>0</v>
      </c>
      <c r="E17" s="2">
        <v>-55480</v>
      </c>
      <c r="F17" s="2">
        <v>-51492</v>
      </c>
      <c r="G17" s="2">
        <v>-46761</v>
      </c>
      <c r="H17" s="2">
        <v>-40452</v>
      </c>
      <c r="I17" s="2">
        <v>0</v>
      </c>
      <c r="K17" s="2">
        <v>0</v>
      </c>
      <c r="L17" s="2">
        <v>0</v>
      </c>
      <c r="M17" s="2">
        <v>0</v>
      </c>
      <c r="N17" s="2">
        <v>0</v>
      </c>
      <c r="O17" s="2">
        <v>0</v>
      </c>
      <c r="Q17" s="2">
        <v>0</v>
      </c>
      <c r="R17" s="2">
        <v>0</v>
      </c>
      <c r="S17" s="2">
        <v>0</v>
      </c>
      <c r="T17" s="2">
        <v>0</v>
      </c>
      <c r="U17" s="2">
        <v>0</v>
      </c>
      <c r="W17" s="2">
        <v>0</v>
      </c>
      <c r="X17" s="2">
        <v>0</v>
      </c>
      <c r="Y17" s="2">
        <v>0</v>
      </c>
      <c r="Z17" s="2">
        <v>0</v>
      </c>
      <c r="AA17" s="2">
        <v>0</v>
      </c>
      <c r="AC17" s="2">
        <v>0</v>
      </c>
      <c r="AD17" s="2">
        <v>0</v>
      </c>
      <c r="AE17" s="2">
        <v>0</v>
      </c>
      <c r="AF17" s="2">
        <v>0</v>
      </c>
      <c r="AG17" s="2">
        <v>0</v>
      </c>
      <c r="AI17" s="2">
        <v>-55480</v>
      </c>
      <c r="AJ17" s="2">
        <v>-51492</v>
      </c>
      <c r="AK17" s="2">
        <v>-46761</v>
      </c>
      <c r="AL17" s="2">
        <v>-40452</v>
      </c>
      <c r="AM17" s="2">
        <v>0</v>
      </c>
    </row>
    <row r="18" spans="1:39">
      <c r="A18" s="330">
        <v>95412</v>
      </c>
      <c r="B18" s="365" t="s">
        <v>3738</v>
      </c>
      <c r="C18" s="347">
        <v>0</v>
      </c>
      <c r="E18" s="2">
        <v>0</v>
      </c>
      <c r="F18" s="2">
        <v>0</v>
      </c>
      <c r="G18" s="2">
        <v>0</v>
      </c>
      <c r="H18" s="2">
        <v>0</v>
      </c>
      <c r="I18" s="2">
        <v>0</v>
      </c>
      <c r="K18" s="2">
        <v>0</v>
      </c>
      <c r="L18" s="2">
        <v>0</v>
      </c>
      <c r="M18" s="2">
        <v>0</v>
      </c>
      <c r="N18" s="2">
        <v>0</v>
      </c>
      <c r="O18" s="2">
        <v>0</v>
      </c>
      <c r="Q18" s="2">
        <v>0</v>
      </c>
      <c r="R18" s="2">
        <v>0</v>
      </c>
      <c r="S18" s="2">
        <v>0</v>
      </c>
      <c r="T18" s="2">
        <v>0</v>
      </c>
      <c r="U18" s="2">
        <v>0</v>
      </c>
      <c r="W18" s="2">
        <v>0</v>
      </c>
      <c r="X18" s="2">
        <v>0</v>
      </c>
      <c r="Y18" s="2">
        <v>0</v>
      </c>
      <c r="Z18" s="2">
        <v>0</v>
      </c>
      <c r="AA18" s="2">
        <v>0</v>
      </c>
      <c r="AC18" s="2">
        <v>0</v>
      </c>
      <c r="AD18" s="2">
        <v>0</v>
      </c>
      <c r="AE18" s="2">
        <v>0</v>
      </c>
      <c r="AF18" s="2">
        <v>0</v>
      </c>
      <c r="AG18" s="2">
        <v>0</v>
      </c>
      <c r="AI18" s="2">
        <v>0</v>
      </c>
      <c r="AJ18" s="2">
        <v>0</v>
      </c>
      <c r="AK18" s="2">
        <v>0</v>
      </c>
      <c r="AL18" s="2">
        <v>0</v>
      </c>
      <c r="AM18" s="2">
        <v>0</v>
      </c>
    </row>
    <row r="19" spans="1:39">
      <c r="A19" s="330">
        <v>97010</v>
      </c>
      <c r="B19" s="365" t="s">
        <v>1351</v>
      </c>
      <c r="C19" s="347">
        <v>0</v>
      </c>
      <c r="E19" s="2">
        <v>0</v>
      </c>
      <c r="F19" s="2">
        <v>0</v>
      </c>
      <c r="G19" s="2">
        <v>0</v>
      </c>
      <c r="H19" s="2">
        <v>0</v>
      </c>
      <c r="I19" s="2">
        <v>0</v>
      </c>
      <c r="K19" s="2">
        <v>0</v>
      </c>
      <c r="L19" s="2">
        <v>0</v>
      </c>
      <c r="M19" s="2">
        <v>0</v>
      </c>
      <c r="N19" s="2">
        <v>0</v>
      </c>
      <c r="O19" s="2">
        <v>0</v>
      </c>
      <c r="Q19" s="2">
        <v>0</v>
      </c>
      <c r="R19" s="2">
        <v>0</v>
      </c>
      <c r="S19" s="2">
        <v>0</v>
      </c>
      <c r="T19" s="2">
        <v>0</v>
      </c>
      <c r="U19" s="2">
        <v>0</v>
      </c>
      <c r="W19" s="2">
        <v>0</v>
      </c>
      <c r="X19" s="2">
        <v>0</v>
      </c>
      <c r="Y19" s="2">
        <v>0</v>
      </c>
      <c r="Z19" s="2">
        <v>0</v>
      </c>
      <c r="AA19" s="2">
        <v>0</v>
      </c>
      <c r="AC19" s="2">
        <v>0</v>
      </c>
      <c r="AD19" s="2">
        <v>0</v>
      </c>
      <c r="AE19" s="2">
        <v>0</v>
      </c>
      <c r="AF19" s="2">
        <v>0</v>
      </c>
      <c r="AG19" s="2">
        <v>0</v>
      </c>
      <c r="AI19" s="2">
        <v>0</v>
      </c>
      <c r="AJ19" s="2">
        <v>0</v>
      </c>
      <c r="AK19" s="2">
        <v>0</v>
      </c>
      <c r="AL19" s="2">
        <v>0</v>
      </c>
      <c r="AM19" s="2">
        <v>0</v>
      </c>
    </row>
    <row r="20" spans="1:39">
      <c r="A20" s="330">
        <v>97491</v>
      </c>
      <c r="B20" s="365" t="s">
        <v>3739</v>
      </c>
      <c r="C20" s="347">
        <v>0</v>
      </c>
      <c r="E20" s="2">
        <v>0</v>
      </c>
      <c r="F20" s="2">
        <v>0</v>
      </c>
      <c r="G20" s="2">
        <v>0</v>
      </c>
      <c r="H20" s="2">
        <v>0</v>
      </c>
      <c r="I20" s="2">
        <v>0</v>
      </c>
      <c r="K20" s="2">
        <v>0</v>
      </c>
      <c r="L20" s="2">
        <v>0</v>
      </c>
      <c r="M20" s="2">
        <v>0</v>
      </c>
      <c r="N20" s="2">
        <v>0</v>
      </c>
      <c r="O20" s="2">
        <v>0</v>
      </c>
      <c r="Q20" s="2">
        <v>0</v>
      </c>
      <c r="R20" s="2">
        <v>0</v>
      </c>
      <c r="S20" s="2">
        <v>0</v>
      </c>
      <c r="T20" s="2">
        <v>0</v>
      </c>
      <c r="U20" s="2">
        <v>0</v>
      </c>
      <c r="W20" s="2">
        <v>0</v>
      </c>
      <c r="X20" s="2">
        <v>0</v>
      </c>
      <c r="Y20" s="2">
        <v>0</v>
      </c>
      <c r="Z20" s="2">
        <v>0</v>
      </c>
      <c r="AA20" s="2">
        <v>0</v>
      </c>
      <c r="AC20" s="2">
        <v>0</v>
      </c>
      <c r="AD20" s="2">
        <v>0</v>
      </c>
      <c r="AE20" s="2">
        <v>0</v>
      </c>
      <c r="AF20" s="2">
        <v>0</v>
      </c>
      <c r="AG20" s="2">
        <v>0</v>
      </c>
      <c r="AI20" s="2">
        <v>0</v>
      </c>
      <c r="AJ20" s="2">
        <v>0</v>
      </c>
      <c r="AK20" s="2">
        <v>0</v>
      </c>
      <c r="AL20" s="2">
        <v>0</v>
      </c>
      <c r="AM20" s="2">
        <v>0</v>
      </c>
    </row>
    <row r="21" spans="1:39">
      <c r="A21" s="330">
        <v>98647</v>
      </c>
      <c r="B21" s="365" t="s">
        <v>1620</v>
      </c>
      <c r="C21" s="347">
        <v>0</v>
      </c>
      <c r="E21" s="2">
        <v>-1498</v>
      </c>
      <c r="F21" s="2">
        <v>0</v>
      </c>
      <c r="G21" s="2">
        <v>0</v>
      </c>
      <c r="H21" s="2">
        <v>0</v>
      </c>
      <c r="I21" s="2">
        <v>0</v>
      </c>
      <c r="K21" s="2">
        <v>0</v>
      </c>
      <c r="L21" s="2">
        <v>0</v>
      </c>
      <c r="M21" s="2">
        <v>0</v>
      </c>
      <c r="N21" s="2">
        <v>0</v>
      </c>
      <c r="O21" s="2">
        <v>0</v>
      </c>
      <c r="Q21" s="2">
        <v>0</v>
      </c>
      <c r="R21" s="2">
        <v>0</v>
      </c>
      <c r="S21" s="2">
        <v>0</v>
      </c>
      <c r="T21" s="2">
        <v>0</v>
      </c>
      <c r="U21" s="2">
        <v>0</v>
      </c>
      <c r="W21" s="2">
        <v>0</v>
      </c>
      <c r="X21" s="2">
        <v>0</v>
      </c>
      <c r="Y21" s="2">
        <v>0</v>
      </c>
      <c r="Z21" s="2">
        <v>0</v>
      </c>
      <c r="AA21" s="2">
        <v>0</v>
      </c>
      <c r="AC21" s="2">
        <v>0</v>
      </c>
      <c r="AD21" s="2">
        <v>0</v>
      </c>
      <c r="AE21" s="2">
        <v>0</v>
      </c>
      <c r="AF21" s="2">
        <v>0</v>
      </c>
      <c r="AG21" s="2">
        <v>0</v>
      </c>
      <c r="AI21" s="2">
        <v>-1498</v>
      </c>
      <c r="AJ21" s="2">
        <v>0</v>
      </c>
      <c r="AK21" s="2">
        <v>0</v>
      </c>
      <c r="AL21" s="2">
        <v>0</v>
      </c>
      <c r="AM21" s="2">
        <v>0</v>
      </c>
    </row>
    <row r="22" spans="1:39">
      <c r="A22" s="357" t="s">
        <v>3749</v>
      </c>
      <c r="B22" s="358" t="s">
        <v>1005</v>
      </c>
      <c r="C22" s="239">
        <v>0</v>
      </c>
      <c r="E22" s="2">
        <v>-3398</v>
      </c>
      <c r="F22" s="2">
        <v>-3601</v>
      </c>
      <c r="G22" s="2">
        <v>-3720</v>
      </c>
      <c r="H22" s="2">
        <v>-3192</v>
      </c>
      <c r="I22" s="2">
        <v>0</v>
      </c>
      <c r="K22" s="2">
        <v>0</v>
      </c>
      <c r="L22" s="2">
        <v>0</v>
      </c>
      <c r="M22" s="2">
        <v>0</v>
      </c>
      <c r="N22" s="2">
        <v>0</v>
      </c>
      <c r="O22" s="2">
        <v>0</v>
      </c>
      <c r="Q22" s="2">
        <v>0</v>
      </c>
      <c r="R22" s="2">
        <v>0</v>
      </c>
      <c r="S22" s="2">
        <v>0</v>
      </c>
      <c r="T22" s="2">
        <v>0</v>
      </c>
      <c r="U22" s="2">
        <v>0</v>
      </c>
      <c r="W22" s="2">
        <v>0</v>
      </c>
      <c r="X22" s="2">
        <v>0</v>
      </c>
      <c r="Y22" s="2">
        <v>0</v>
      </c>
      <c r="Z22" s="2">
        <v>0</v>
      </c>
      <c r="AA22" s="2">
        <v>0</v>
      </c>
      <c r="AC22" s="2">
        <v>322</v>
      </c>
      <c r="AD22" s="2">
        <v>119</v>
      </c>
      <c r="AE22" s="2">
        <v>0</v>
      </c>
      <c r="AF22" s="2">
        <v>0</v>
      </c>
      <c r="AG22" s="2">
        <v>0</v>
      </c>
      <c r="AI22" s="2">
        <v>-3720</v>
      </c>
      <c r="AJ22" s="2">
        <v>-3720</v>
      </c>
      <c r="AK22" s="2">
        <v>-3720</v>
      </c>
      <c r="AL22" s="2">
        <v>-3192</v>
      </c>
      <c r="AM22" s="2">
        <v>0</v>
      </c>
    </row>
    <row r="23" spans="1:39">
      <c r="A23" s="357" t="s">
        <v>3750</v>
      </c>
      <c r="B23" s="358" t="s">
        <v>3637</v>
      </c>
      <c r="C23" s="239">
        <v>0</v>
      </c>
      <c r="E23" s="2">
        <v>924</v>
      </c>
      <c r="F23" s="2">
        <v>924</v>
      </c>
      <c r="G23" s="2">
        <v>924</v>
      </c>
      <c r="H23" s="2">
        <v>924</v>
      </c>
      <c r="I23" s="2">
        <v>0</v>
      </c>
      <c r="K23" s="2">
        <v>0</v>
      </c>
      <c r="L23" s="2">
        <v>0</v>
      </c>
      <c r="M23" s="2">
        <v>0</v>
      </c>
      <c r="N23" s="2">
        <v>0</v>
      </c>
      <c r="O23" s="2">
        <v>0</v>
      </c>
      <c r="Q23" s="2">
        <v>0</v>
      </c>
      <c r="R23" s="2">
        <v>0</v>
      </c>
      <c r="S23" s="2">
        <v>0</v>
      </c>
      <c r="T23" s="2">
        <v>0</v>
      </c>
      <c r="U23" s="2">
        <v>0</v>
      </c>
      <c r="W23" s="2">
        <v>0</v>
      </c>
      <c r="X23" s="2">
        <v>0</v>
      </c>
      <c r="Y23" s="2">
        <v>0</v>
      </c>
      <c r="Z23" s="2">
        <v>0</v>
      </c>
      <c r="AA23" s="2">
        <v>0</v>
      </c>
      <c r="AC23" s="2">
        <v>924</v>
      </c>
      <c r="AD23" s="2">
        <v>924</v>
      </c>
      <c r="AE23" s="2">
        <v>924</v>
      </c>
      <c r="AF23" s="2">
        <v>924</v>
      </c>
      <c r="AG23" s="2">
        <v>0</v>
      </c>
      <c r="AI23" s="2">
        <v>0</v>
      </c>
      <c r="AJ23" s="2">
        <v>0</v>
      </c>
      <c r="AK23" s="2">
        <v>0</v>
      </c>
      <c r="AL23" s="2">
        <v>0</v>
      </c>
      <c r="AM23" s="2">
        <v>0</v>
      </c>
    </row>
    <row r="24" spans="1:39" s="214" customFormat="1">
      <c r="A24" s="357">
        <v>93028</v>
      </c>
      <c r="B24" s="358" t="s">
        <v>3637</v>
      </c>
      <c r="C24" s="239">
        <v>0</v>
      </c>
      <c r="D24"/>
      <c r="E24" s="376">
        <v>-2474</v>
      </c>
      <c r="F24" s="376">
        <v>-2677</v>
      </c>
      <c r="G24" s="376">
        <v>-2796</v>
      </c>
      <c r="H24" s="376">
        <v>-2268</v>
      </c>
      <c r="I24" s="376">
        <v>0</v>
      </c>
      <c r="J24"/>
      <c r="K24" s="376">
        <v>0</v>
      </c>
      <c r="L24" s="376">
        <v>0</v>
      </c>
      <c r="M24" s="376">
        <v>0</v>
      </c>
      <c r="N24" s="376">
        <v>0</v>
      </c>
      <c r="O24" s="376">
        <v>0</v>
      </c>
      <c r="P24"/>
      <c r="Q24" s="376">
        <v>0</v>
      </c>
      <c r="R24" s="376">
        <v>0</v>
      </c>
      <c r="S24" s="376">
        <v>0</v>
      </c>
      <c r="T24" s="376">
        <v>0</v>
      </c>
      <c r="U24" s="376">
        <v>0</v>
      </c>
      <c r="V24"/>
      <c r="W24" s="376">
        <v>0</v>
      </c>
      <c r="X24" s="376">
        <v>0</v>
      </c>
      <c r="Y24" s="376">
        <v>0</v>
      </c>
      <c r="Z24" s="376">
        <v>0</v>
      </c>
      <c r="AA24" s="376">
        <v>0</v>
      </c>
      <c r="AB24"/>
      <c r="AC24" s="376">
        <v>1246</v>
      </c>
      <c r="AD24" s="376">
        <v>1043</v>
      </c>
      <c r="AE24" s="376">
        <v>924</v>
      </c>
      <c r="AF24" s="376">
        <v>924</v>
      </c>
      <c r="AG24" s="376">
        <v>0</v>
      </c>
      <c r="AH24"/>
      <c r="AI24" s="376">
        <v>-3720</v>
      </c>
      <c r="AJ24" s="376">
        <v>-3720</v>
      </c>
      <c r="AK24" s="376">
        <v>-3720</v>
      </c>
      <c r="AL24" s="376">
        <v>-3192</v>
      </c>
      <c r="AM24" s="376">
        <v>0</v>
      </c>
    </row>
    <row r="25" spans="1:39">
      <c r="A25" s="359" t="s">
        <v>3519</v>
      </c>
      <c r="B25" s="360" t="s">
        <v>1491</v>
      </c>
      <c r="C25" s="239">
        <v>0</v>
      </c>
      <c r="E25" s="2">
        <v>-7538</v>
      </c>
      <c r="F25" s="2">
        <v>-6946</v>
      </c>
      <c r="G25" s="2">
        <v>-1825</v>
      </c>
      <c r="H25" s="2">
        <v>0</v>
      </c>
      <c r="I25" s="2">
        <v>0</v>
      </c>
      <c r="K25" s="2">
        <v>0</v>
      </c>
      <c r="L25" s="2">
        <v>0</v>
      </c>
      <c r="M25" s="2">
        <v>0</v>
      </c>
      <c r="N25" s="2">
        <v>0</v>
      </c>
      <c r="O25" s="2">
        <v>0</v>
      </c>
      <c r="Q25" s="2">
        <v>0</v>
      </c>
      <c r="R25" s="2">
        <v>0</v>
      </c>
      <c r="S25" s="2">
        <v>0</v>
      </c>
      <c r="T25" s="2">
        <v>0</v>
      </c>
      <c r="U25" s="2">
        <v>0</v>
      </c>
      <c r="W25" s="2">
        <v>0</v>
      </c>
      <c r="X25" s="2">
        <v>0</v>
      </c>
      <c r="Y25" s="2">
        <v>0</v>
      </c>
      <c r="Z25" s="2">
        <v>0</v>
      </c>
      <c r="AA25" s="2">
        <v>0</v>
      </c>
      <c r="AC25" s="2">
        <v>0</v>
      </c>
      <c r="AD25" s="2">
        <v>0</v>
      </c>
      <c r="AE25" s="2">
        <v>0</v>
      </c>
      <c r="AF25" s="2">
        <v>0</v>
      </c>
      <c r="AG25" s="2">
        <v>0</v>
      </c>
      <c r="AI25" s="2">
        <v>-7538</v>
      </c>
      <c r="AJ25" s="2">
        <v>-6946</v>
      </c>
      <c r="AK25" s="2">
        <v>-1825</v>
      </c>
      <c r="AL25" s="2">
        <v>0</v>
      </c>
      <c r="AM25" s="2">
        <v>0</v>
      </c>
    </row>
    <row r="26" spans="1:39">
      <c r="A26" s="361" t="s">
        <v>3518</v>
      </c>
      <c r="B26" s="360" t="s">
        <v>1491</v>
      </c>
      <c r="C26" s="239">
        <v>3.01E-5</v>
      </c>
      <c r="E26" s="2">
        <v>18201</v>
      </c>
      <c r="F26" s="2">
        <v>8052</v>
      </c>
      <c r="G26" s="2">
        <v>7864</v>
      </c>
      <c r="H26" s="2">
        <v>253</v>
      </c>
      <c r="I26" s="2">
        <v>0</v>
      </c>
      <c r="K26" s="2">
        <v>4509</v>
      </c>
      <c r="L26" s="2">
        <v>4242</v>
      </c>
      <c r="M26" s="2">
        <v>3802</v>
      </c>
      <c r="N26" s="2">
        <v>1522</v>
      </c>
      <c r="O26" s="2">
        <v>0</v>
      </c>
      <c r="Q26" s="2">
        <v>4787</v>
      </c>
      <c r="R26" s="2">
        <v>-4118</v>
      </c>
      <c r="S26" s="2">
        <v>580</v>
      </c>
      <c r="T26" s="2">
        <v>755</v>
      </c>
      <c r="U26" s="2">
        <v>0</v>
      </c>
      <c r="W26" s="2">
        <v>5393</v>
      </c>
      <c r="X26" s="2">
        <v>4418</v>
      </c>
      <c r="Y26" s="2">
        <v>3587</v>
      </c>
      <c r="Z26" s="2">
        <v>0</v>
      </c>
      <c r="AA26" s="2">
        <v>0</v>
      </c>
      <c r="AC26" s="2">
        <v>5537</v>
      </c>
      <c r="AD26" s="2">
        <v>5535</v>
      </c>
      <c r="AE26" s="2">
        <v>1920</v>
      </c>
      <c r="AF26" s="2">
        <v>0</v>
      </c>
      <c r="AG26" s="2">
        <v>0</v>
      </c>
      <c r="AI26" s="2">
        <v>-2025</v>
      </c>
      <c r="AJ26" s="2">
        <v>-2025</v>
      </c>
      <c r="AK26" s="2">
        <v>-2025</v>
      </c>
      <c r="AL26" s="2">
        <v>-2024</v>
      </c>
      <c r="AM26" s="2">
        <v>0</v>
      </c>
    </row>
    <row r="27" spans="1:39" s="214" customFormat="1">
      <c r="A27" s="361">
        <v>98414</v>
      </c>
      <c r="B27" s="360" t="s">
        <v>1491</v>
      </c>
      <c r="C27" s="239">
        <v>3.01E-5</v>
      </c>
      <c r="D27"/>
      <c r="E27" s="377">
        <v>10663</v>
      </c>
      <c r="F27" s="377">
        <v>1106</v>
      </c>
      <c r="G27" s="377">
        <v>6039</v>
      </c>
      <c r="H27" s="377">
        <v>253</v>
      </c>
      <c r="I27" s="377">
        <v>0</v>
      </c>
      <c r="J27"/>
      <c r="K27" s="377">
        <v>4509</v>
      </c>
      <c r="L27" s="377">
        <v>4242</v>
      </c>
      <c r="M27" s="377">
        <v>3802</v>
      </c>
      <c r="N27" s="377">
        <v>1522</v>
      </c>
      <c r="O27" s="377">
        <v>0</v>
      </c>
      <c r="P27"/>
      <c r="Q27" s="377">
        <v>4787</v>
      </c>
      <c r="R27" s="377">
        <v>-4118</v>
      </c>
      <c r="S27" s="377">
        <v>580</v>
      </c>
      <c r="T27" s="377">
        <v>755</v>
      </c>
      <c r="U27" s="377">
        <v>0</v>
      </c>
      <c r="V27"/>
      <c r="W27" s="377">
        <v>5393</v>
      </c>
      <c r="X27" s="377">
        <v>4418</v>
      </c>
      <c r="Y27" s="377">
        <v>3587</v>
      </c>
      <c r="Z27" s="377">
        <v>0</v>
      </c>
      <c r="AA27" s="377">
        <v>0</v>
      </c>
      <c r="AB27"/>
      <c r="AC27" s="377">
        <v>5537</v>
      </c>
      <c r="AD27" s="377">
        <v>5535</v>
      </c>
      <c r="AE27" s="377">
        <v>1920</v>
      </c>
      <c r="AF27" s="377">
        <v>0</v>
      </c>
      <c r="AG27" s="377">
        <v>0</v>
      </c>
      <c r="AH27"/>
      <c r="AI27" s="377">
        <v>-9563</v>
      </c>
      <c r="AJ27" s="377">
        <v>-8971</v>
      </c>
      <c r="AK27" s="377">
        <v>-3850</v>
      </c>
      <c r="AL27" s="377">
        <v>-2024</v>
      </c>
      <c r="AM27" s="377">
        <v>0</v>
      </c>
    </row>
    <row r="28" spans="1:39">
      <c r="A28" s="366" t="s">
        <v>3513</v>
      </c>
      <c r="B28" s="367" t="s">
        <v>1618</v>
      </c>
      <c r="C28" s="239">
        <v>0</v>
      </c>
      <c r="E28" s="2">
        <v>-260868</v>
      </c>
      <c r="F28" s="2">
        <v>0</v>
      </c>
      <c r="G28" s="2">
        <v>0</v>
      </c>
      <c r="H28" s="2">
        <v>0</v>
      </c>
      <c r="I28" s="2">
        <v>0</v>
      </c>
      <c r="K28" s="2">
        <v>0</v>
      </c>
      <c r="L28" s="2">
        <v>0</v>
      </c>
      <c r="M28" s="2">
        <v>0</v>
      </c>
      <c r="N28" s="2">
        <v>0</v>
      </c>
      <c r="O28" s="2">
        <v>0</v>
      </c>
      <c r="Q28" s="2">
        <v>0</v>
      </c>
      <c r="R28" s="2">
        <v>0</v>
      </c>
      <c r="S28" s="2">
        <v>0</v>
      </c>
      <c r="T28" s="2">
        <v>0</v>
      </c>
      <c r="U28" s="2">
        <v>0</v>
      </c>
      <c r="W28" s="2">
        <v>0</v>
      </c>
      <c r="X28" s="2">
        <v>0</v>
      </c>
      <c r="Y28" s="2">
        <v>0</v>
      </c>
      <c r="Z28" s="2">
        <v>0</v>
      </c>
      <c r="AA28" s="2">
        <v>0</v>
      </c>
      <c r="AC28" s="2">
        <v>0</v>
      </c>
      <c r="AD28" s="2">
        <v>0</v>
      </c>
      <c r="AE28" s="2">
        <v>0</v>
      </c>
      <c r="AF28" s="2">
        <v>0</v>
      </c>
      <c r="AG28" s="2">
        <v>0</v>
      </c>
      <c r="AI28" s="2">
        <v>-260868</v>
      </c>
      <c r="AJ28" s="2">
        <v>0</v>
      </c>
      <c r="AK28" s="2">
        <v>0</v>
      </c>
      <c r="AL28" s="2">
        <v>0</v>
      </c>
      <c r="AM28" s="2">
        <v>0</v>
      </c>
    </row>
    <row r="29" spans="1:39">
      <c r="A29" s="366" t="s">
        <v>3512</v>
      </c>
      <c r="B29" s="367" t="s">
        <v>1619</v>
      </c>
      <c r="C29" s="239">
        <v>0</v>
      </c>
      <c r="E29" s="2">
        <v>-207555</v>
      </c>
      <c r="F29" s="2">
        <v>0</v>
      </c>
      <c r="G29" s="2">
        <v>0</v>
      </c>
      <c r="H29" s="2">
        <v>0</v>
      </c>
      <c r="I29" s="2">
        <v>0</v>
      </c>
      <c r="K29" s="2">
        <v>0</v>
      </c>
      <c r="L29" s="2">
        <v>0</v>
      </c>
      <c r="M29" s="2">
        <v>0</v>
      </c>
      <c r="N29" s="2">
        <v>0</v>
      </c>
      <c r="O29" s="2">
        <v>0</v>
      </c>
      <c r="Q29" s="2">
        <v>0</v>
      </c>
      <c r="R29" s="2">
        <v>0</v>
      </c>
      <c r="S29" s="2">
        <v>0</v>
      </c>
      <c r="T29" s="2">
        <v>0</v>
      </c>
      <c r="U29" s="2">
        <v>0</v>
      </c>
      <c r="W29" s="2">
        <v>0</v>
      </c>
      <c r="X29" s="2">
        <v>0</v>
      </c>
      <c r="Y29" s="2">
        <v>0</v>
      </c>
      <c r="Z29" s="2">
        <v>0</v>
      </c>
      <c r="AA29" s="2">
        <v>0</v>
      </c>
      <c r="AC29" s="2">
        <v>0</v>
      </c>
      <c r="AD29" s="2">
        <v>0</v>
      </c>
      <c r="AE29" s="2">
        <v>0</v>
      </c>
      <c r="AF29" s="2">
        <v>0</v>
      </c>
      <c r="AG29" s="2">
        <v>0</v>
      </c>
      <c r="AI29" s="2">
        <v>-207555</v>
      </c>
      <c r="AJ29" s="2">
        <v>0</v>
      </c>
      <c r="AK29" s="2">
        <v>0</v>
      </c>
      <c r="AL29" s="2">
        <v>0</v>
      </c>
      <c r="AM29" s="2">
        <v>0</v>
      </c>
    </row>
    <row r="30" spans="1:39" s="214" customFormat="1">
      <c r="A30" s="366" t="s">
        <v>3514</v>
      </c>
      <c r="B30" s="367" t="s">
        <v>961</v>
      </c>
      <c r="C30" s="239">
        <v>3.9484999999999998E-3</v>
      </c>
      <c r="D30"/>
      <c r="E30" s="2">
        <v>2270024</v>
      </c>
      <c r="F30" s="2">
        <v>493411</v>
      </c>
      <c r="G30" s="2">
        <v>969597</v>
      </c>
      <c r="H30" s="2">
        <v>275126</v>
      </c>
      <c r="I30" s="2">
        <v>0</v>
      </c>
      <c r="J30"/>
      <c r="K30" s="379">
        <v>591513</v>
      </c>
      <c r="L30" s="379">
        <v>556423</v>
      </c>
      <c r="M30" s="379">
        <v>498715</v>
      </c>
      <c r="N30" s="379">
        <v>199680</v>
      </c>
      <c r="O30" s="379">
        <v>0</v>
      </c>
      <c r="P30"/>
      <c r="Q30" s="379">
        <v>627973</v>
      </c>
      <c r="R30" s="379">
        <v>-540175</v>
      </c>
      <c r="S30" s="379">
        <v>76131</v>
      </c>
      <c r="T30" s="379">
        <v>99084</v>
      </c>
      <c r="U30" s="379">
        <v>0</v>
      </c>
      <c r="V30"/>
      <c r="W30" s="379">
        <v>707421</v>
      </c>
      <c r="X30" s="379">
        <v>579545</v>
      </c>
      <c r="Y30" s="379">
        <v>470491</v>
      </c>
      <c r="Z30" s="379">
        <v>0</v>
      </c>
      <c r="AA30" s="379">
        <v>0</v>
      </c>
      <c r="AB30"/>
      <c r="AC30" s="379">
        <v>445498</v>
      </c>
      <c r="AD30" s="379">
        <v>0</v>
      </c>
      <c r="AE30" s="379">
        <v>0</v>
      </c>
      <c r="AF30" s="379">
        <v>0</v>
      </c>
      <c r="AG30" s="379">
        <v>0</v>
      </c>
      <c r="AH30"/>
      <c r="AI30" s="2">
        <v>-102381</v>
      </c>
      <c r="AJ30" s="2">
        <v>-102382</v>
      </c>
      <c r="AK30" s="2">
        <v>-75740</v>
      </c>
      <c r="AL30" s="2">
        <v>-23638</v>
      </c>
      <c r="AM30" s="2">
        <v>0</v>
      </c>
    </row>
    <row r="31" spans="1:39" s="214" customFormat="1">
      <c r="A31" s="366">
        <v>92513</v>
      </c>
      <c r="B31" s="367" t="s">
        <v>961</v>
      </c>
      <c r="C31" s="239">
        <v>3.9484999999999998E-3</v>
      </c>
      <c r="D31"/>
      <c r="E31" s="377">
        <v>1801601</v>
      </c>
      <c r="F31" s="377">
        <v>493411</v>
      </c>
      <c r="G31" s="377">
        <v>969597</v>
      </c>
      <c r="H31" s="377">
        <v>275126</v>
      </c>
      <c r="I31" s="377">
        <v>0</v>
      </c>
      <c r="J31"/>
      <c r="K31" s="377">
        <v>591513</v>
      </c>
      <c r="L31" s="377">
        <v>556423</v>
      </c>
      <c r="M31" s="377">
        <v>498715</v>
      </c>
      <c r="N31" s="377">
        <v>199680</v>
      </c>
      <c r="O31" s="377">
        <v>0</v>
      </c>
      <c r="P31"/>
      <c r="Q31" s="377">
        <v>627973</v>
      </c>
      <c r="R31" s="377">
        <v>-540175</v>
      </c>
      <c r="S31" s="377">
        <v>76131</v>
      </c>
      <c r="T31" s="377">
        <v>99084</v>
      </c>
      <c r="U31" s="377">
        <v>0</v>
      </c>
      <c r="V31"/>
      <c r="W31" s="377">
        <v>707421</v>
      </c>
      <c r="X31" s="377">
        <v>579545</v>
      </c>
      <c r="Y31" s="377">
        <v>470491</v>
      </c>
      <c r="Z31" s="377">
        <v>0</v>
      </c>
      <c r="AA31" s="377">
        <v>0</v>
      </c>
      <c r="AB31"/>
      <c r="AC31" s="377">
        <v>445498</v>
      </c>
      <c r="AD31" s="377">
        <v>0</v>
      </c>
      <c r="AE31" s="377">
        <v>0</v>
      </c>
      <c r="AF31" s="377">
        <v>0</v>
      </c>
      <c r="AG31" s="377">
        <v>0</v>
      </c>
      <c r="AH31"/>
      <c r="AI31" s="377">
        <v>-570804</v>
      </c>
      <c r="AJ31" s="377">
        <v>-102382</v>
      </c>
      <c r="AK31" s="377">
        <v>-75740</v>
      </c>
      <c r="AL31" s="377">
        <v>-23638</v>
      </c>
      <c r="AM31" s="377">
        <v>0</v>
      </c>
    </row>
    <row r="32" spans="1:39">
      <c r="A32" s="368" t="s">
        <v>3516</v>
      </c>
      <c r="B32" s="369" t="s">
        <v>1383</v>
      </c>
      <c r="C32" s="239">
        <v>5.7600000000000001E-4</v>
      </c>
      <c r="E32" s="2">
        <v>271138</v>
      </c>
      <c r="F32" s="2">
        <v>81320</v>
      </c>
      <c r="G32" s="2">
        <v>145991</v>
      </c>
      <c r="H32" s="2">
        <v>46771</v>
      </c>
      <c r="I32" s="2">
        <v>0</v>
      </c>
      <c r="K32" s="2">
        <v>86289</v>
      </c>
      <c r="L32" s="2">
        <v>81170</v>
      </c>
      <c r="M32" s="2">
        <v>72752</v>
      </c>
      <c r="N32" s="2">
        <v>29129</v>
      </c>
      <c r="O32" s="2">
        <v>0</v>
      </c>
      <c r="Q32" s="2">
        <v>91608</v>
      </c>
      <c r="R32" s="2">
        <v>-78800</v>
      </c>
      <c r="S32" s="2">
        <v>11106</v>
      </c>
      <c r="T32" s="2">
        <v>14454</v>
      </c>
      <c r="U32" s="2">
        <v>0</v>
      </c>
      <c r="W32" s="2">
        <v>103197</v>
      </c>
      <c r="X32" s="2">
        <v>84543</v>
      </c>
      <c r="Y32" s="2">
        <v>68634</v>
      </c>
      <c r="Z32" s="2">
        <v>0</v>
      </c>
      <c r="AA32" s="2">
        <v>0</v>
      </c>
      <c r="AC32" s="2">
        <v>4098</v>
      </c>
      <c r="AD32" s="2">
        <v>4098</v>
      </c>
      <c r="AE32" s="2">
        <v>3188</v>
      </c>
      <c r="AF32" s="2">
        <v>3188</v>
      </c>
      <c r="AG32" s="2">
        <v>0</v>
      </c>
      <c r="AI32" s="2">
        <v>-14054</v>
      </c>
      <c r="AJ32" s="2">
        <v>-9691</v>
      </c>
      <c r="AK32" s="2">
        <v>-9689</v>
      </c>
      <c r="AL32" s="2">
        <v>0</v>
      </c>
      <c r="AM32" s="2">
        <v>0</v>
      </c>
    </row>
    <row r="33" spans="1:39" ht="14.25" customHeight="1">
      <c r="A33" s="370" t="s">
        <v>3517</v>
      </c>
      <c r="B33" s="369" t="s">
        <v>1384</v>
      </c>
      <c r="C33" s="239">
        <v>0</v>
      </c>
      <c r="E33" s="2">
        <v>-8957</v>
      </c>
      <c r="F33" s="2">
        <v>-7626</v>
      </c>
      <c r="G33" s="2">
        <v>-5607</v>
      </c>
      <c r="H33" s="2">
        <v>0</v>
      </c>
      <c r="I33" s="2">
        <v>0</v>
      </c>
      <c r="K33" s="2">
        <v>0</v>
      </c>
      <c r="L33" s="2">
        <v>0</v>
      </c>
      <c r="M33" s="2">
        <v>0</v>
      </c>
      <c r="N33" s="2">
        <v>0</v>
      </c>
      <c r="O33" s="2">
        <v>0</v>
      </c>
      <c r="Q33" s="2">
        <v>0</v>
      </c>
      <c r="R33" s="2">
        <v>0</v>
      </c>
      <c r="S33" s="2">
        <v>0</v>
      </c>
      <c r="T33" s="2">
        <v>0</v>
      </c>
      <c r="U33" s="2">
        <v>0</v>
      </c>
      <c r="W33" s="2">
        <v>0</v>
      </c>
      <c r="X33" s="2">
        <v>0</v>
      </c>
      <c r="Y33" s="2">
        <v>0</v>
      </c>
      <c r="Z33" s="2">
        <v>0</v>
      </c>
      <c r="AA33" s="2">
        <v>0</v>
      </c>
      <c r="AC33" s="2">
        <v>0</v>
      </c>
      <c r="AD33" s="2">
        <v>0</v>
      </c>
      <c r="AE33" s="2">
        <v>0</v>
      </c>
      <c r="AF33" s="2">
        <v>0</v>
      </c>
      <c r="AG33" s="2">
        <v>0</v>
      </c>
      <c r="AI33" s="2">
        <v>-8957</v>
      </c>
      <c r="AJ33" s="2">
        <v>-7626</v>
      </c>
      <c r="AK33" s="2">
        <v>-5607</v>
      </c>
      <c r="AL33" s="2">
        <v>0</v>
      </c>
      <c r="AM33" s="2">
        <v>0</v>
      </c>
    </row>
    <row r="34" spans="1:39" s="214" customFormat="1" ht="14.25" customHeight="1">
      <c r="A34" s="368">
        <v>97461</v>
      </c>
      <c r="B34" s="369" t="s">
        <v>1383</v>
      </c>
      <c r="C34" s="239">
        <v>5.7600000000000001E-4</v>
      </c>
      <c r="D34"/>
      <c r="E34" s="377">
        <v>262181</v>
      </c>
      <c r="F34" s="377">
        <v>73694</v>
      </c>
      <c r="G34" s="377">
        <v>140384</v>
      </c>
      <c r="H34" s="377">
        <v>46771</v>
      </c>
      <c r="I34" s="377">
        <v>0</v>
      </c>
      <c r="J34"/>
      <c r="K34" s="377">
        <v>86289</v>
      </c>
      <c r="L34" s="377">
        <v>81170</v>
      </c>
      <c r="M34" s="377">
        <v>72752</v>
      </c>
      <c r="N34" s="377">
        <v>29129</v>
      </c>
      <c r="O34" s="377">
        <v>0</v>
      </c>
      <c r="P34"/>
      <c r="Q34" s="377">
        <v>91608</v>
      </c>
      <c r="R34" s="377">
        <v>-78800</v>
      </c>
      <c r="S34" s="377">
        <v>11106</v>
      </c>
      <c r="T34" s="377">
        <v>14454</v>
      </c>
      <c r="U34" s="377">
        <v>0</v>
      </c>
      <c r="V34"/>
      <c r="W34" s="377">
        <v>103197</v>
      </c>
      <c r="X34" s="377">
        <v>84543</v>
      </c>
      <c r="Y34" s="377">
        <v>68634</v>
      </c>
      <c r="Z34" s="377">
        <v>0</v>
      </c>
      <c r="AA34" s="377">
        <v>0</v>
      </c>
      <c r="AB34"/>
      <c r="AC34" s="377">
        <v>4098</v>
      </c>
      <c r="AD34" s="377">
        <v>4098</v>
      </c>
      <c r="AE34" s="377">
        <v>3188</v>
      </c>
      <c r="AF34" s="377">
        <v>3188</v>
      </c>
      <c r="AG34" s="377">
        <v>0</v>
      </c>
      <c r="AH34"/>
      <c r="AI34" s="377">
        <v>-23011</v>
      </c>
      <c r="AJ34" s="377">
        <v>-17317</v>
      </c>
      <c r="AK34" s="377">
        <v>-15296</v>
      </c>
      <c r="AL34" s="377">
        <v>0</v>
      </c>
      <c r="AM34" s="377">
        <v>0</v>
      </c>
    </row>
    <row r="35" spans="1:39">
      <c r="A35" s="335">
        <v>98604</v>
      </c>
      <c r="B35" s="373" t="s">
        <v>1504</v>
      </c>
      <c r="C35" s="239">
        <v>1.2099999999999999E-5</v>
      </c>
      <c r="E35" s="2">
        <v>8122</v>
      </c>
      <c r="F35" s="2">
        <v>2247</v>
      </c>
      <c r="G35" s="2">
        <v>3754</v>
      </c>
      <c r="H35" s="2">
        <v>1247</v>
      </c>
      <c r="I35" s="2">
        <v>0</v>
      </c>
      <c r="K35" s="2">
        <v>1813</v>
      </c>
      <c r="L35" s="2">
        <v>1705</v>
      </c>
      <c r="M35" s="2">
        <v>1528</v>
      </c>
      <c r="N35" s="2">
        <v>612</v>
      </c>
      <c r="O35" s="2">
        <v>0</v>
      </c>
      <c r="Q35" s="2">
        <v>1924</v>
      </c>
      <c r="R35" s="2">
        <v>-1655</v>
      </c>
      <c r="S35" s="2">
        <v>233</v>
      </c>
      <c r="T35" s="2">
        <v>304</v>
      </c>
      <c r="U35" s="2">
        <v>0</v>
      </c>
      <c r="W35" s="2">
        <v>2168</v>
      </c>
      <c r="X35" s="2">
        <v>1776</v>
      </c>
      <c r="Y35" s="2">
        <v>1442</v>
      </c>
      <c r="Z35" s="2">
        <v>0</v>
      </c>
      <c r="AA35" s="2">
        <v>0</v>
      </c>
      <c r="AC35" s="2">
        <v>2349</v>
      </c>
      <c r="AD35" s="2">
        <v>552</v>
      </c>
      <c r="AE35" s="2">
        <v>551</v>
      </c>
      <c r="AF35" s="2">
        <v>331</v>
      </c>
      <c r="AG35" s="2">
        <v>0</v>
      </c>
      <c r="AI35" s="2">
        <v>-132</v>
      </c>
      <c r="AJ35" s="2">
        <v>-131</v>
      </c>
      <c r="AK35" s="2">
        <v>0</v>
      </c>
      <c r="AL35" s="2">
        <v>0</v>
      </c>
      <c r="AM35" s="2">
        <v>0</v>
      </c>
    </row>
    <row r="36" spans="1:39">
      <c r="A36" s="335">
        <v>70505</v>
      </c>
      <c r="B36" s="328" t="s">
        <v>727</v>
      </c>
      <c r="C36" s="239">
        <v>3.2890000000000003E-4</v>
      </c>
      <c r="E36" s="2">
        <v>136815</v>
      </c>
      <c r="F36" s="2">
        <v>31143</v>
      </c>
      <c r="G36" s="2">
        <v>76581</v>
      </c>
      <c r="H36" s="2">
        <v>19001</v>
      </c>
      <c r="I36" s="2">
        <v>0</v>
      </c>
      <c r="K36" s="2">
        <v>49272</v>
      </c>
      <c r="L36" s="2">
        <v>46349</v>
      </c>
      <c r="M36" s="2">
        <v>41542</v>
      </c>
      <c r="N36" s="2">
        <v>16633</v>
      </c>
      <c r="O36" s="2">
        <v>0</v>
      </c>
      <c r="Q36" s="2">
        <v>52309</v>
      </c>
      <c r="R36" s="2">
        <v>-44995</v>
      </c>
      <c r="S36" s="2">
        <v>6342</v>
      </c>
      <c r="T36" s="2">
        <v>8253</v>
      </c>
      <c r="U36" s="2">
        <v>0</v>
      </c>
      <c r="W36" s="2">
        <v>58926</v>
      </c>
      <c r="X36" s="2">
        <v>48275</v>
      </c>
      <c r="Y36" s="2">
        <v>39191</v>
      </c>
      <c r="Z36" s="2">
        <v>0</v>
      </c>
      <c r="AA36" s="2">
        <v>0</v>
      </c>
      <c r="AC36" s="2">
        <v>0</v>
      </c>
      <c r="AD36" s="2">
        <v>0</v>
      </c>
      <c r="AE36" s="2">
        <v>0</v>
      </c>
      <c r="AF36" s="2">
        <v>0</v>
      </c>
      <c r="AG36" s="2">
        <v>0</v>
      </c>
      <c r="AI36" s="2">
        <v>-23692</v>
      </c>
      <c r="AJ36" s="2">
        <v>-18486</v>
      </c>
      <c r="AK36" s="2">
        <v>-10494</v>
      </c>
      <c r="AL36" s="2">
        <v>-5885</v>
      </c>
      <c r="AM36" s="2">
        <v>0</v>
      </c>
    </row>
    <row r="37" spans="1:39">
      <c r="A37" s="335">
        <v>72265</v>
      </c>
      <c r="B37" s="328" t="s">
        <v>728</v>
      </c>
      <c r="C37" s="239">
        <v>1.44E-4</v>
      </c>
      <c r="E37" s="2">
        <v>70515</v>
      </c>
      <c r="F37" s="2">
        <v>23047</v>
      </c>
      <c r="G37" s="2">
        <v>38699</v>
      </c>
      <c r="H37" s="2">
        <v>9456</v>
      </c>
      <c r="I37" s="2">
        <v>0</v>
      </c>
      <c r="K37" s="2">
        <v>21572</v>
      </c>
      <c r="L37" s="2">
        <v>20292</v>
      </c>
      <c r="M37" s="2">
        <v>18188</v>
      </c>
      <c r="N37" s="2">
        <v>7282</v>
      </c>
      <c r="O37" s="2">
        <v>0</v>
      </c>
      <c r="Q37" s="2">
        <v>22902</v>
      </c>
      <c r="R37" s="2">
        <v>-19700</v>
      </c>
      <c r="S37" s="2">
        <v>2776</v>
      </c>
      <c r="T37" s="2">
        <v>3614</v>
      </c>
      <c r="U37" s="2">
        <v>0</v>
      </c>
      <c r="W37" s="2">
        <v>25799</v>
      </c>
      <c r="X37" s="2">
        <v>21136</v>
      </c>
      <c r="Y37" s="2">
        <v>17159</v>
      </c>
      <c r="Z37" s="2">
        <v>0</v>
      </c>
      <c r="AA37" s="2">
        <v>0</v>
      </c>
      <c r="AC37" s="2">
        <v>2759</v>
      </c>
      <c r="AD37" s="2">
        <v>2760</v>
      </c>
      <c r="AE37" s="2">
        <v>2017</v>
      </c>
      <c r="AF37" s="2">
        <v>0</v>
      </c>
      <c r="AG37" s="2">
        <v>0</v>
      </c>
      <c r="AI37" s="2">
        <v>-2517</v>
      </c>
      <c r="AJ37" s="2">
        <v>-1441</v>
      </c>
      <c r="AK37" s="2">
        <v>-1441</v>
      </c>
      <c r="AL37" s="2">
        <v>-1440</v>
      </c>
      <c r="AM37" s="2">
        <v>0</v>
      </c>
    </row>
    <row r="38" spans="1:39">
      <c r="A38" s="335">
        <v>72593</v>
      </c>
      <c r="B38" s="328" t="s">
        <v>729</v>
      </c>
      <c r="C38" s="239">
        <v>6.1E-6</v>
      </c>
      <c r="E38" s="2">
        <v>3482</v>
      </c>
      <c r="F38" s="2">
        <v>1427</v>
      </c>
      <c r="G38" s="2">
        <v>1369</v>
      </c>
      <c r="H38" s="2">
        <v>359</v>
      </c>
      <c r="I38" s="2">
        <v>0</v>
      </c>
      <c r="K38" s="2">
        <v>914</v>
      </c>
      <c r="L38" s="2">
        <v>860</v>
      </c>
      <c r="M38" s="2">
        <v>770</v>
      </c>
      <c r="N38" s="2">
        <v>308</v>
      </c>
      <c r="O38" s="2">
        <v>0</v>
      </c>
      <c r="Q38" s="2">
        <v>970</v>
      </c>
      <c r="R38" s="2">
        <v>-835</v>
      </c>
      <c r="S38" s="2">
        <v>118</v>
      </c>
      <c r="T38" s="2">
        <v>153</v>
      </c>
      <c r="U38" s="2">
        <v>0</v>
      </c>
      <c r="W38" s="2">
        <v>1093</v>
      </c>
      <c r="X38" s="2">
        <v>895</v>
      </c>
      <c r="Y38" s="2">
        <v>727</v>
      </c>
      <c r="Z38" s="2">
        <v>0</v>
      </c>
      <c r="AA38" s="2">
        <v>0</v>
      </c>
      <c r="AC38" s="2">
        <v>753</v>
      </c>
      <c r="AD38" s="2">
        <v>755</v>
      </c>
      <c r="AE38" s="2">
        <v>0</v>
      </c>
      <c r="AF38" s="2">
        <v>0</v>
      </c>
      <c r="AG38" s="2">
        <v>0</v>
      </c>
      <c r="AI38" s="2">
        <v>-248</v>
      </c>
      <c r="AJ38" s="2">
        <v>-248</v>
      </c>
      <c r="AK38" s="2">
        <v>-246</v>
      </c>
      <c r="AL38" s="2">
        <v>-102</v>
      </c>
      <c r="AM38" s="2">
        <v>0</v>
      </c>
    </row>
    <row r="39" spans="1:39">
      <c r="A39" s="335">
        <v>72657</v>
      </c>
      <c r="B39" s="328" t="s">
        <v>730</v>
      </c>
      <c r="C39" s="239">
        <v>3.7200000000000003E-5</v>
      </c>
      <c r="E39" s="2">
        <v>15812</v>
      </c>
      <c r="F39" s="2">
        <v>3426</v>
      </c>
      <c r="G39" s="2">
        <v>8489</v>
      </c>
      <c r="H39" s="2">
        <v>1964</v>
      </c>
      <c r="I39" s="2">
        <v>0</v>
      </c>
      <c r="K39" s="2">
        <v>5573</v>
      </c>
      <c r="L39" s="2">
        <v>5242</v>
      </c>
      <c r="M39" s="2">
        <v>4699</v>
      </c>
      <c r="N39" s="2">
        <v>1881</v>
      </c>
      <c r="O39" s="2">
        <v>0</v>
      </c>
      <c r="Q39" s="2">
        <v>5916</v>
      </c>
      <c r="R39" s="2">
        <v>-5089</v>
      </c>
      <c r="S39" s="2">
        <v>717</v>
      </c>
      <c r="T39" s="2">
        <v>933</v>
      </c>
      <c r="U39" s="2">
        <v>0</v>
      </c>
      <c r="W39" s="2">
        <v>6665</v>
      </c>
      <c r="X39" s="2">
        <v>5460</v>
      </c>
      <c r="Y39" s="2">
        <v>4433</v>
      </c>
      <c r="Z39" s="2">
        <v>0</v>
      </c>
      <c r="AA39" s="2">
        <v>0</v>
      </c>
      <c r="AC39" s="2">
        <v>0</v>
      </c>
      <c r="AD39" s="2">
        <v>0</v>
      </c>
      <c r="AE39" s="2">
        <v>0</v>
      </c>
      <c r="AF39" s="2">
        <v>0</v>
      </c>
      <c r="AG39" s="2">
        <v>0</v>
      </c>
      <c r="AI39" s="2">
        <v>-2342</v>
      </c>
      <c r="AJ39" s="2">
        <v>-2187</v>
      </c>
      <c r="AK39" s="2">
        <v>-1360</v>
      </c>
      <c r="AL39" s="2">
        <v>-850</v>
      </c>
      <c r="AM39" s="2">
        <v>0</v>
      </c>
    </row>
    <row r="40" spans="1:39">
      <c r="A40" s="335">
        <v>90001</v>
      </c>
      <c r="B40" s="328" t="s">
        <v>731</v>
      </c>
      <c r="C40" s="239">
        <v>8.6050000000000005E-4</v>
      </c>
      <c r="E40" s="2">
        <v>422170</v>
      </c>
      <c r="F40" s="2">
        <v>129143</v>
      </c>
      <c r="G40" s="2">
        <v>230243</v>
      </c>
      <c r="H40" s="2">
        <v>67217</v>
      </c>
      <c r="I40" s="2">
        <v>0</v>
      </c>
      <c r="K40" s="2">
        <v>128909</v>
      </c>
      <c r="L40" s="2">
        <v>121262</v>
      </c>
      <c r="M40" s="2">
        <v>108685</v>
      </c>
      <c r="N40" s="2">
        <v>43516</v>
      </c>
      <c r="O40" s="2">
        <v>0</v>
      </c>
      <c r="Q40" s="2">
        <v>136855</v>
      </c>
      <c r="R40" s="2">
        <v>-117721</v>
      </c>
      <c r="S40" s="2">
        <v>16591</v>
      </c>
      <c r="T40" s="2">
        <v>21593</v>
      </c>
      <c r="U40" s="2">
        <v>0</v>
      </c>
      <c r="W40" s="2">
        <v>154169</v>
      </c>
      <c r="X40" s="2">
        <v>126301</v>
      </c>
      <c r="Y40" s="2">
        <v>102535</v>
      </c>
      <c r="Z40" s="2">
        <v>0</v>
      </c>
      <c r="AA40" s="2">
        <v>0</v>
      </c>
      <c r="AC40" s="2">
        <v>5372</v>
      </c>
      <c r="AD40" s="2">
        <v>2434</v>
      </c>
      <c r="AE40" s="2">
        <v>2432</v>
      </c>
      <c r="AF40" s="2">
        <v>2108</v>
      </c>
      <c r="AG40" s="2">
        <v>0</v>
      </c>
      <c r="AI40" s="2">
        <v>-3135</v>
      </c>
      <c r="AJ40" s="2">
        <v>-3133</v>
      </c>
      <c r="AK40" s="2">
        <v>0</v>
      </c>
      <c r="AL40" s="2">
        <v>0</v>
      </c>
      <c r="AM40" s="2">
        <v>0</v>
      </c>
    </row>
    <row r="41" spans="1:39">
      <c r="A41" s="335">
        <v>90002</v>
      </c>
      <c r="B41" s="328" t="s">
        <v>3658</v>
      </c>
      <c r="C41" s="239">
        <v>8.3999999999999992E-6</v>
      </c>
      <c r="E41" s="2">
        <v>4847</v>
      </c>
      <c r="F41" s="2">
        <v>1798</v>
      </c>
      <c r="G41" s="2">
        <v>2629</v>
      </c>
      <c r="H41" s="2">
        <v>865</v>
      </c>
      <c r="I41" s="2">
        <v>0</v>
      </c>
      <c r="K41" s="2">
        <v>1258</v>
      </c>
      <c r="L41" s="2">
        <v>1184</v>
      </c>
      <c r="M41" s="2">
        <v>1061</v>
      </c>
      <c r="N41" s="2">
        <v>425</v>
      </c>
      <c r="O41" s="2">
        <v>0</v>
      </c>
      <c r="Q41" s="2">
        <v>1336</v>
      </c>
      <c r="R41" s="2">
        <v>-1149</v>
      </c>
      <c r="S41" s="2">
        <v>162</v>
      </c>
      <c r="T41" s="2">
        <v>211</v>
      </c>
      <c r="U41" s="2">
        <v>0</v>
      </c>
      <c r="W41" s="2">
        <v>1505</v>
      </c>
      <c r="X41" s="2">
        <v>1233</v>
      </c>
      <c r="Y41" s="2">
        <v>1001</v>
      </c>
      <c r="Z41" s="2">
        <v>0</v>
      </c>
      <c r="AA41" s="2">
        <v>0</v>
      </c>
      <c r="AC41" s="2">
        <v>748</v>
      </c>
      <c r="AD41" s="2">
        <v>530</v>
      </c>
      <c r="AE41" s="2">
        <v>405</v>
      </c>
      <c r="AF41" s="2">
        <v>229</v>
      </c>
      <c r="AG41" s="2">
        <v>0</v>
      </c>
      <c r="AI41" s="2">
        <v>0</v>
      </c>
      <c r="AJ41" s="2">
        <v>0</v>
      </c>
      <c r="AK41" s="2">
        <v>0</v>
      </c>
      <c r="AL41" s="2">
        <v>0</v>
      </c>
      <c r="AM41" s="2">
        <v>0</v>
      </c>
    </row>
    <row r="42" spans="1:39">
      <c r="A42" s="335">
        <v>90011</v>
      </c>
      <c r="B42" s="328" t="s">
        <v>733</v>
      </c>
      <c r="C42" s="239">
        <v>1.8009999999999999E-4</v>
      </c>
      <c r="E42" s="2">
        <v>76334</v>
      </c>
      <c r="F42" s="2">
        <v>19972</v>
      </c>
      <c r="G42" s="2">
        <v>43570</v>
      </c>
      <c r="H42" s="2">
        <v>11407</v>
      </c>
      <c r="I42" s="2">
        <v>0</v>
      </c>
      <c r="K42" s="2">
        <v>26980</v>
      </c>
      <c r="L42" s="2">
        <v>25380</v>
      </c>
      <c r="M42" s="2">
        <v>22748</v>
      </c>
      <c r="N42" s="2">
        <v>9108</v>
      </c>
      <c r="O42" s="2">
        <v>0</v>
      </c>
      <c r="Q42" s="2">
        <v>28643</v>
      </c>
      <c r="R42" s="2">
        <v>-24639</v>
      </c>
      <c r="S42" s="2">
        <v>3473</v>
      </c>
      <c r="T42" s="2">
        <v>4519</v>
      </c>
      <c r="U42" s="2">
        <v>0</v>
      </c>
      <c r="W42" s="2">
        <v>32267</v>
      </c>
      <c r="X42" s="2">
        <v>26434</v>
      </c>
      <c r="Y42" s="2">
        <v>21460</v>
      </c>
      <c r="Z42" s="2">
        <v>0</v>
      </c>
      <c r="AA42" s="2">
        <v>0</v>
      </c>
      <c r="AC42" s="2">
        <v>0</v>
      </c>
      <c r="AD42" s="2">
        <v>0</v>
      </c>
      <c r="AE42" s="2">
        <v>0</v>
      </c>
      <c r="AF42" s="2">
        <v>0</v>
      </c>
      <c r="AG42" s="2">
        <v>0</v>
      </c>
      <c r="AI42" s="2">
        <v>-11556</v>
      </c>
      <c r="AJ42" s="2">
        <v>-7203</v>
      </c>
      <c r="AK42" s="2">
        <v>-4111</v>
      </c>
      <c r="AL42" s="2">
        <v>-2220</v>
      </c>
      <c r="AM42" s="2">
        <v>0</v>
      </c>
    </row>
    <row r="43" spans="1:39">
      <c r="A43" s="335">
        <v>90092</v>
      </c>
      <c r="B43" s="328" t="s">
        <v>2802</v>
      </c>
      <c r="C43" s="239">
        <v>3.9530000000000001E-4</v>
      </c>
      <c r="E43" s="2">
        <v>195072</v>
      </c>
      <c r="F43" s="2">
        <v>71661</v>
      </c>
      <c r="G43" s="2">
        <v>118683</v>
      </c>
      <c r="H43" s="2">
        <v>40268</v>
      </c>
      <c r="I43" s="2">
        <v>0</v>
      </c>
      <c r="K43" s="2">
        <v>59219</v>
      </c>
      <c r="L43" s="2">
        <v>55706</v>
      </c>
      <c r="M43" s="2">
        <v>49928</v>
      </c>
      <c r="N43" s="2">
        <v>19991</v>
      </c>
      <c r="O43" s="2">
        <v>0</v>
      </c>
      <c r="Q43" s="2">
        <v>62869</v>
      </c>
      <c r="R43" s="2">
        <v>-54079</v>
      </c>
      <c r="S43" s="2">
        <v>7622</v>
      </c>
      <c r="T43" s="2">
        <v>9920</v>
      </c>
      <c r="U43" s="2">
        <v>0</v>
      </c>
      <c r="W43" s="2">
        <v>70823</v>
      </c>
      <c r="X43" s="2">
        <v>58021</v>
      </c>
      <c r="Y43" s="2">
        <v>47103</v>
      </c>
      <c r="Z43" s="2">
        <v>0</v>
      </c>
      <c r="AA43" s="2">
        <v>0</v>
      </c>
      <c r="AC43" s="2">
        <v>14031</v>
      </c>
      <c r="AD43" s="2">
        <v>14031</v>
      </c>
      <c r="AE43" s="2">
        <v>14030</v>
      </c>
      <c r="AF43" s="2">
        <v>10357</v>
      </c>
      <c r="AG43" s="2">
        <v>0</v>
      </c>
      <c r="AI43" s="2">
        <v>-11870</v>
      </c>
      <c r="AJ43" s="2">
        <v>-2018</v>
      </c>
      <c r="AK43" s="2">
        <v>0</v>
      </c>
      <c r="AL43" s="2">
        <v>0</v>
      </c>
      <c r="AM43" s="2">
        <v>0</v>
      </c>
    </row>
    <row r="44" spans="1:39">
      <c r="A44" s="335">
        <v>90096</v>
      </c>
      <c r="B44" s="328" t="s">
        <v>735</v>
      </c>
      <c r="C44" s="239">
        <v>9.722E-4</v>
      </c>
      <c r="E44" s="2">
        <v>453881</v>
      </c>
      <c r="F44" s="2">
        <v>136099</v>
      </c>
      <c r="G44" s="2">
        <v>298144</v>
      </c>
      <c r="H44" s="2">
        <v>105634</v>
      </c>
      <c r="I44" s="2">
        <v>0</v>
      </c>
      <c r="K44" s="2">
        <v>145642</v>
      </c>
      <c r="L44" s="2">
        <v>137002</v>
      </c>
      <c r="M44" s="2">
        <v>122794</v>
      </c>
      <c r="N44" s="2">
        <v>49165</v>
      </c>
      <c r="O44" s="2">
        <v>0</v>
      </c>
      <c r="Q44" s="2">
        <v>154620</v>
      </c>
      <c r="R44" s="2">
        <v>-133002</v>
      </c>
      <c r="S44" s="2">
        <v>18745</v>
      </c>
      <c r="T44" s="2">
        <v>24396</v>
      </c>
      <c r="U44" s="2">
        <v>0</v>
      </c>
      <c r="W44" s="2">
        <v>174181</v>
      </c>
      <c r="X44" s="2">
        <v>142696</v>
      </c>
      <c r="Y44" s="2">
        <v>115844</v>
      </c>
      <c r="Z44" s="2">
        <v>0</v>
      </c>
      <c r="AA44" s="2">
        <v>0</v>
      </c>
      <c r="AC44" s="2">
        <v>40759</v>
      </c>
      <c r="AD44" s="2">
        <v>40759</v>
      </c>
      <c r="AE44" s="2">
        <v>40761</v>
      </c>
      <c r="AF44" s="2">
        <v>32073</v>
      </c>
      <c r="AG44" s="2">
        <v>0</v>
      </c>
      <c r="AI44" s="2">
        <v>-61321</v>
      </c>
      <c r="AJ44" s="2">
        <v>-51356</v>
      </c>
      <c r="AK44" s="2">
        <v>0</v>
      </c>
      <c r="AL44" s="2">
        <v>0</v>
      </c>
      <c r="AM44" s="2">
        <v>0</v>
      </c>
    </row>
    <row r="45" spans="1:39">
      <c r="A45" s="335">
        <v>90098</v>
      </c>
      <c r="B45" s="328" t="s">
        <v>736</v>
      </c>
      <c r="C45" s="239">
        <v>2.521E-4</v>
      </c>
      <c r="E45" s="2">
        <v>92455</v>
      </c>
      <c r="F45" s="2">
        <v>31947</v>
      </c>
      <c r="G45" s="2">
        <v>59251</v>
      </c>
      <c r="H45" s="2">
        <v>7811</v>
      </c>
      <c r="I45" s="2">
        <v>0</v>
      </c>
      <c r="K45" s="2">
        <v>37766</v>
      </c>
      <c r="L45" s="2">
        <v>35526</v>
      </c>
      <c r="M45" s="2">
        <v>31841</v>
      </c>
      <c r="N45" s="2">
        <v>12749</v>
      </c>
      <c r="O45" s="2">
        <v>0</v>
      </c>
      <c r="Q45" s="2">
        <v>40094</v>
      </c>
      <c r="R45" s="2">
        <v>-34489</v>
      </c>
      <c r="S45" s="2">
        <v>4861</v>
      </c>
      <c r="T45" s="2">
        <v>6326</v>
      </c>
      <c r="U45" s="2">
        <v>0</v>
      </c>
      <c r="W45" s="2">
        <v>45167</v>
      </c>
      <c r="X45" s="2">
        <v>37002</v>
      </c>
      <c r="Y45" s="2">
        <v>30039</v>
      </c>
      <c r="Z45" s="2">
        <v>0</v>
      </c>
      <c r="AA45" s="2">
        <v>0</v>
      </c>
      <c r="AC45" s="2">
        <v>5172</v>
      </c>
      <c r="AD45" s="2">
        <v>5174</v>
      </c>
      <c r="AE45" s="2">
        <v>3776</v>
      </c>
      <c r="AF45" s="2">
        <v>0</v>
      </c>
      <c r="AG45" s="2">
        <v>0</v>
      </c>
      <c r="AI45" s="2">
        <v>-35744</v>
      </c>
      <c r="AJ45" s="2">
        <v>-11266</v>
      </c>
      <c r="AK45" s="2">
        <v>-11266</v>
      </c>
      <c r="AL45" s="2">
        <v>-11264</v>
      </c>
      <c r="AM45" s="2">
        <v>0</v>
      </c>
    </row>
    <row r="46" spans="1:39">
      <c r="A46" s="335">
        <v>90099</v>
      </c>
      <c r="B46" s="328" t="s">
        <v>3659</v>
      </c>
      <c r="C46" s="239">
        <v>6.7389999999999995E-4</v>
      </c>
      <c r="E46" s="2">
        <v>325920</v>
      </c>
      <c r="F46" s="2">
        <v>110315</v>
      </c>
      <c r="G46" s="2">
        <v>165204</v>
      </c>
      <c r="H46" s="2">
        <v>38797</v>
      </c>
      <c r="I46" s="2">
        <v>0</v>
      </c>
      <c r="K46" s="2">
        <v>100955</v>
      </c>
      <c r="L46" s="2">
        <v>94966</v>
      </c>
      <c r="M46" s="2">
        <v>85117</v>
      </c>
      <c r="N46" s="2">
        <v>34080</v>
      </c>
      <c r="O46" s="2">
        <v>0</v>
      </c>
      <c r="Q46" s="2">
        <v>107178</v>
      </c>
      <c r="R46" s="2">
        <v>-92193</v>
      </c>
      <c r="S46" s="2">
        <v>12993</v>
      </c>
      <c r="T46" s="2">
        <v>16911</v>
      </c>
      <c r="U46" s="2">
        <v>0</v>
      </c>
      <c r="W46" s="2">
        <v>120737</v>
      </c>
      <c r="X46" s="2">
        <v>98912</v>
      </c>
      <c r="Y46" s="2">
        <v>80300</v>
      </c>
      <c r="Z46" s="2">
        <v>0</v>
      </c>
      <c r="AA46" s="2">
        <v>0</v>
      </c>
      <c r="AC46" s="2">
        <v>21834</v>
      </c>
      <c r="AD46" s="2">
        <v>21836</v>
      </c>
      <c r="AE46" s="2">
        <v>0</v>
      </c>
      <c r="AF46" s="2">
        <v>0</v>
      </c>
      <c r="AG46" s="2">
        <v>0</v>
      </c>
      <c r="AI46" s="2">
        <v>-24784</v>
      </c>
      <c r="AJ46" s="2">
        <v>-13206</v>
      </c>
      <c r="AK46" s="2">
        <v>-13206</v>
      </c>
      <c r="AL46" s="2">
        <v>-12194</v>
      </c>
      <c r="AM46" s="2">
        <v>0</v>
      </c>
    </row>
    <row r="47" spans="1:39">
      <c r="A47" s="335">
        <v>90101</v>
      </c>
      <c r="B47" s="328" t="s">
        <v>738</v>
      </c>
      <c r="C47" s="239">
        <v>6.2302E-3</v>
      </c>
      <c r="E47" s="2">
        <v>2991740</v>
      </c>
      <c r="F47" s="2">
        <v>869111</v>
      </c>
      <c r="G47" s="2">
        <v>1556321</v>
      </c>
      <c r="H47" s="2">
        <v>413511</v>
      </c>
      <c r="I47" s="2">
        <v>0</v>
      </c>
      <c r="K47" s="2">
        <v>933328</v>
      </c>
      <c r="L47" s="2">
        <v>877960</v>
      </c>
      <c r="M47" s="2">
        <v>786905</v>
      </c>
      <c r="N47" s="2">
        <v>315067</v>
      </c>
      <c r="O47" s="2">
        <v>0</v>
      </c>
      <c r="Q47" s="2">
        <v>990857</v>
      </c>
      <c r="R47" s="2">
        <v>-852323</v>
      </c>
      <c r="S47" s="2">
        <v>120124</v>
      </c>
      <c r="T47" s="2">
        <v>156341</v>
      </c>
      <c r="U47" s="2">
        <v>0</v>
      </c>
      <c r="W47" s="2">
        <v>1116215</v>
      </c>
      <c r="X47" s="2">
        <v>914444</v>
      </c>
      <c r="Y47" s="2">
        <v>742372</v>
      </c>
      <c r="Z47" s="2">
        <v>0</v>
      </c>
      <c r="AA47" s="2">
        <v>0</v>
      </c>
      <c r="AC47" s="2">
        <v>44419</v>
      </c>
      <c r="AD47" s="2">
        <v>22109</v>
      </c>
      <c r="AE47" s="2">
        <v>0</v>
      </c>
      <c r="AF47" s="2">
        <v>0</v>
      </c>
      <c r="AG47" s="2">
        <v>0</v>
      </c>
      <c r="AI47" s="2">
        <v>-93079</v>
      </c>
      <c r="AJ47" s="2">
        <v>-93079</v>
      </c>
      <c r="AK47" s="2">
        <v>-93080</v>
      </c>
      <c r="AL47" s="2">
        <v>-57897</v>
      </c>
      <c r="AM47" s="2">
        <v>0</v>
      </c>
    </row>
    <row r="48" spans="1:39">
      <c r="A48" s="335">
        <v>90111</v>
      </c>
      <c r="B48" s="328" t="s">
        <v>739</v>
      </c>
      <c r="C48" s="239">
        <v>4.9528000000000003E-3</v>
      </c>
      <c r="E48" s="2">
        <v>2365885</v>
      </c>
      <c r="F48" s="2">
        <v>714948</v>
      </c>
      <c r="G48" s="2">
        <v>1275062</v>
      </c>
      <c r="H48" s="2">
        <v>336849</v>
      </c>
      <c r="I48" s="2">
        <v>0</v>
      </c>
      <c r="K48" s="2">
        <v>741964</v>
      </c>
      <c r="L48" s="2">
        <v>697949</v>
      </c>
      <c r="M48" s="2">
        <v>625563</v>
      </c>
      <c r="N48" s="2">
        <v>250468</v>
      </c>
      <c r="O48" s="2">
        <v>0</v>
      </c>
      <c r="Q48" s="2">
        <v>787698</v>
      </c>
      <c r="R48" s="2">
        <v>-677568</v>
      </c>
      <c r="S48" s="2">
        <v>95495</v>
      </c>
      <c r="T48" s="2">
        <v>124286</v>
      </c>
      <c r="U48" s="2">
        <v>0</v>
      </c>
      <c r="W48" s="2">
        <v>887354</v>
      </c>
      <c r="X48" s="2">
        <v>726952</v>
      </c>
      <c r="Y48" s="2">
        <v>590161</v>
      </c>
      <c r="Z48" s="2">
        <v>0</v>
      </c>
      <c r="AA48" s="2">
        <v>0</v>
      </c>
      <c r="AC48" s="2">
        <v>5520</v>
      </c>
      <c r="AD48" s="2">
        <v>5522</v>
      </c>
      <c r="AE48" s="2">
        <v>1750</v>
      </c>
      <c r="AF48" s="2">
        <v>0</v>
      </c>
      <c r="AG48" s="2">
        <v>0</v>
      </c>
      <c r="AI48" s="2">
        <v>-56651</v>
      </c>
      <c r="AJ48" s="2">
        <v>-37907</v>
      </c>
      <c r="AK48" s="2">
        <v>-37907</v>
      </c>
      <c r="AL48" s="2">
        <v>-37905</v>
      </c>
      <c r="AM48" s="2">
        <v>0</v>
      </c>
    </row>
    <row r="49" spans="1:39">
      <c r="A49" s="335">
        <v>90114</v>
      </c>
      <c r="B49" s="328" t="s">
        <v>740</v>
      </c>
      <c r="C49" s="239">
        <v>1.1188999999999999E-3</v>
      </c>
      <c r="E49" s="2">
        <v>1071093</v>
      </c>
      <c r="F49" s="2">
        <v>582896</v>
      </c>
      <c r="G49" s="2">
        <v>584858</v>
      </c>
      <c r="H49" s="2">
        <v>241858</v>
      </c>
      <c r="I49" s="2">
        <v>0</v>
      </c>
      <c r="K49" s="2">
        <v>167619</v>
      </c>
      <c r="L49" s="2">
        <v>157675</v>
      </c>
      <c r="M49" s="2">
        <v>141323</v>
      </c>
      <c r="N49" s="2">
        <v>56584</v>
      </c>
      <c r="O49" s="2">
        <v>0</v>
      </c>
      <c r="Q49" s="2">
        <v>177951</v>
      </c>
      <c r="R49" s="2">
        <v>-153071</v>
      </c>
      <c r="S49" s="2">
        <v>21574</v>
      </c>
      <c r="T49" s="2">
        <v>28078</v>
      </c>
      <c r="U49" s="2">
        <v>0</v>
      </c>
      <c r="W49" s="2">
        <v>200464</v>
      </c>
      <c r="X49" s="2">
        <v>164228</v>
      </c>
      <c r="Y49" s="2">
        <v>133325</v>
      </c>
      <c r="Z49" s="2">
        <v>0</v>
      </c>
      <c r="AA49" s="2">
        <v>0</v>
      </c>
      <c r="AC49" s="2">
        <v>525059</v>
      </c>
      <c r="AD49" s="2">
        <v>414064</v>
      </c>
      <c r="AE49" s="2">
        <v>288636</v>
      </c>
      <c r="AF49" s="2">
        <v>157196</v>
      </c>
      <c r="AG49" s="2">
        <v>0</v>
      </c>
      <c r="AI49" s="2">
        <v>0</v>
      </c>
      <c r="AJ49" s="2">
        <v>0</v>
      </c>
      <c r="AK49" s="2">
        <v>0</v>
      </c>
      <c r="AL49" s="2">
        <v>0</v>
      </c>
      <c r="AM49" s="2">
        <v>0</v>
      </c>
    </row>
    <row r="50" spans="1:39">
      <c r="A50" s="335">
        <v>90117</v>
      </c>
      <c r="B50" s="328" t="s">
        <v>741</v>
      </c>
      <c r="C50" s="239">
        <v>1.3219999999999999E-4</v>
      </c>
      <c r="E50" s="2">
        <v>80637</v>
      </c>
      <c r="F50" s="2">
        <v>31346</v>
      </c>
      <c r="G50" s="2">
        <v>42331</v>
      </c>
      <c r="H50" s="2">
        <v>13828</v>
      </c>
      <c r="I50" s="2">
        <v>0</v>
      </c>
      <c r="K50" s="2">
        <v>19804</v>
      </c>
      <c r="L50" s="2">
        <v>18630</v>
      </c>
      <c r="M50" s="2">
        <v>16698</v>
      </c>
      <c r="N50" s="2">
        <v>6685</v>
      </c>
      <c r="O50" s="2">
        <v>0</v>
      </c>
      <c r="Q50" s="2">
        <v>21025</v>
      </c>
      <c r="R50" s="2">
        <v>-18086</v>
      </c>
      <c r="S50" s="2">
        <v>2549</v>
      </c>
      <c r="T50" s="2">
        <v>3317</v>
      </c>
      <c r="U50" s="2">
        <v>0</v>
      </c>
      <c r="W50" s="2">
        <v>23685</v>
      </c>
      <c r="X50" s="2">
        <v>19404</v>
      </c>
      <c r="Y50" s="2">
        <v>15753</v>
      </c>
      <c r="Z50" s="2">
        <v>0</v>
      </c>
      <c r="AA50" s="2">
        <v>0</v>
      </c>
      <c r="AC50" s="2">
        <v>16123</v>
      </c>
      <c r="AD50" s="2">
        <v>11398</v>
      </c>
      <c r="AE50" s="2">
        <v>7331</v>
      </c>
      <c r="AF50" s="2">
        <v>3826</v>
      </c>
      <c r="AG50" s="2">
        <v>0</v>
      </c>
      <c r="AI50" s="2">
        <v>0</v>
      </c>
      <c r="AJ50" s="2">
        <v>0</v>
      </c>
      <c r="AK50" s="2">
        <v>0</v>
      </c>
      <c r="AL50" s="2">
        <v>0</v>
      </c>
      <c r="AM50" s="2">
        <v>0</v>
      </c>
    </row>
    <row r="51" spans="1:39">
      <c r="A51" s="335">
        <v>90121</v>
      </c>
      <c r="B51" s="328" t="s">
        <v>742</v>
      </c>
      <c r="C51" s="239">
        <v>1.1077999999999999E-3</v>
      </c>
      <c r="E51" s="2">
        <v>502832</v>
      </c>
      <c r="F51" s="2">
        <v>141376</v>
      </c>
      <c r="G51" s="2">
        <v>274602</v>
      </c>
      <c r="H51" s="2">
        <v>83389</v>
      </c>
      <c r="I51" s="2">
        <v>0</v>
      </c>
      <c r="K51" s="2">
        <v>165956</v>
      </c>
      <c r="L51" s="2">
        <v>156111</v>
      </c>
      <c r="M51" s="2">
        <v>139921</v>
      </c>
      <c r="N51" s="2">
        <v>56023</v>
      </c>
      <c r="O51" s="2">
        <v>0</v>
      </c>
      <c r="Q51" s="2">
        <v>176186</v>
      </c>
      <c r="R51" s="2">
        <v>-151553</v>
      </c>
      <c r="S51" s="2">
        <v>21359</v>
      </c>
      <c r="T51" s="2">
        <v>27799</v>
      </c>
      <c r="U51" s="2">
        <v>0</v>
      </c>
      <c r="W51" s="2">
        <v>198476</v>
      </c>
      <c r="X51" s="2">
        <v>162598</v>
      </c>
      <c r="Y51" s="2">
        <v>132002</v>
      </c>
      <c r="Z51" s="2">
        <v>0</v>
      </c>
      <c r="AA51" s="2">
        <v>0</v>
      </c>
      <c r="AC51" s="2">
        <v>0</v>
      </c>
      <c r="AD51" s="2">
        <v>0</v>
      </c>
      <c r="AE51" s="2">
        <v>0</v>
      </c>
      <c r="AF51" s="2">
        <v>0</v>
      </c>
      <c r="AG51" s="2">
        <v>0</v>
      </c>
      <c r="AI51" s="2">
        <v>-37786</v>
      </c>
      <c r="AJ51" s="2">
        <v>-25780</v>
      </c>
      <c r="AK51" s="2">
        <v>-18680</v>
      </c>
      <c r="AL51" s="2">
        <v>-433</v>
      </c>
      <c r="AM51" s="2">
        <v>0</v>
      </c>
    </row>
    <row r="52" spans="1:39">
      <c r="A52" s="335">
        <v>90131</v>
      </c>
      <c r="B52" s="328" t="s">
        <v>743</v>
      </c>
      <c r="C52" s="239">
        <v>4.9050000000000005E-4</v>
      </c>
      <c r="E52" s="2">
        <v>228437</v>
      </c>
      <c r="F52" s="2">
        <v>65223</v>
      </c>
      <c r="G52" s="2">
        <v>128053</v>
      </c>
      <c r="H52" s="2">
        <v>37860</v>
      </c>
      <c r="I52" s="2">
        <v>0</v>
      </c>
      <c r="K52" s="2">
        <v>73480</v>
      </c>
      <c r="L52" s="2">
        <v>69121</v>
      </c>
      <c r="M52" s="2">
        <v>61953</v>
      </c>
      <c r="N52" s="2">
        <v>24805</v>
      </c>
      <c r="O52" s="2">
        <v>0</v>
      </c>
      <c r="Q52" s="2">
        <v>78010</v>
      </c>
      <c r="R52" s="2">
        <v>-67103</v>
      </c>
      <c r="S52" s="2">
        <v>9457</v>
      </c>
      <c r="T52" s="2">
        <v>12309</v>
      </c>
      <c r="U52" s="2">
        <v>0</v>
      </c>
      <c r="W52" s="2">
        <v>87879</v>
      </c>
      <c r="X52" s="2">
        <v>71994</v>
      </c>
      <c r="Y52" s="2">
        <v>58447</v>
      </c>
      <c r="Z52" s="2">
        <v>0</v>
      </c>
      <c r="AA52" s="2">
        <v>0</v>
      </c>
      <c r="AC52" s="2">
        <v>748</v>
      </c>
      <c r="AD52" s="2">
        <v>748</v>
      </c>
      <c r="AE52" s="2">
        <v>748</v>
      </c>
      <c r="AF52" s="2">
        <v>746</v>
      </c>
      <c r="AG52" s="2">
        <v>0</v>
      </c>
      <c r="AI52" s="2">
        <v>-11680</v>
      </c>
      <c r="AJ52" s="2">
        <v>-9537</v>
      </c>
      <c r="AK52" s="2">
        <v>-2552</v>
      </c>
      <c r="AL52" s="2">
        <v>0</v>
      </c>
      <c r="AM52" s="2">
        <v>0</v>
      </c>
    </row>
    <row r="53" spans="1:39">
      <c r="A53" s="335">
        <v>90141</v>
      </c>
      <c r="B53" s="328" t="s">
        <v>744</v>
      </c>
      <c r="C53" s="239">
        <v>1.4770000000000001E-4</v>
      </c>
      <c r="E53" s="2">
        <v>70545</v>
      </c>
      <c r="F53" s="2">
        <v>23816</v>
      </c>
      <c r="G53" s="2">
        <v>38785</v>
      </c>
      <c r="H53" s="2">
        <v>11559</v>
      </c>
      <c r="I53" s="2">
        <v>0</v>
      </c>
      <c r="K53" s="2">
        <v>22126</v>
      </c>
      <c r="L53" s="2">
        <v>20814</v>
      </c>
      <c r="M53" s="2">
        <v>18655</v>
      </c>
      <c r="N53" s="2">
        <v>7469</v>
      </c>
      <c r="O53" s="2">
        <v>0</v>
      </c>
      <c r="Q53" s="2">
        <v>23490</v>
      </c>
      <c r="R53" s="2">
        <v>-20206</v>
      </c>
      <c r="S53" s="2">
        <v>2848</v>
      </c>
      <c r="T53" s="2">
        <v>3706</v>
      </c>
      <c r="U53" s="2">
        <v>0</v>
      </c>
      <c r="W53" s="2">
        <v>26462</v>
      </c>
      <c r="X53" s="2">
        <v>21679</v>
      </c>
      <c r="Y53" s="2">
        <v>17599</v>
      </c>
      <c r="Z53" s="2">
        <v>0</v>
      </c>
      <c r="AA53" s="2">
        <v>0</v>
      </c>
      <c r="AC53" s="2">
        <v>2228</v>
      </c>
      <c r="AD53" s="2">
        <v>2230</v>
      </c>
      <c r="AE53" s="2">
        <v>385</v>
      </c>
      <c r="AF53" s="2">
        <v>384</v>
      </c>
      <c r="AG53" s="2">
        <v>0</v>
      </c>
      <c r="AI53" s="2">
        <v>-3761</v>
      </c>
      <c r="AJ53" s="2">
        <v>-701</v>
      </c>
      <c r="AK53" s="2">
        <v>-702</v>
      </c>
      <c r="AL53" s="2">
        <v>0</v>
      </c>
      <c r="AM53" s="2">
        <v>0</v>
      </c>
    </row>
    <row r="54" spans="1:39">
      <c r="A54" s="335">
        <v>90151</v>
      </c>
      <c r="B54" s="328" t="s">
        <v>745</v>
      </c>
      <c r="C54" s="239">
        <v>9.3000000000000007E-6</v>
      </c>
      <c r="E54" s="2">
        <v>3308</v>
      </c>
      <c r="F54" s="2">
        <v>400</v>
      </c>
      <c r="G54" s="2">
        <v>1768</v>
      </c>
      <c r="H54" s="2">
        <v>335</v>
      </c>
      <c r="I54" s="2">
        <v>0</v>
      </c>
      <c r="K54" s="2">
        <v>1393</v>
      </c>
      <c r="L54" s="2">
        <v>1311</v>
      </c>
      <c r="M54" s="2">
        <v>1175</v>
      </c>
      <c r="N54" s="2">
        <v>470</v>
      </c>
      <c r="O54" s="2">
        <v>0</v>
      </c>
      <c r="Q54" s="2">
        <v>1479</v>
      </c>
      <c r="R54" s="2">
        <v>-1272</v>
      </c>
      <c r="S54" s="2">
        <v>179</v>
      </c>
      <c r="T54" s="2">
        <v>233</v>
      </c>
      <c r="U54" s="2">
        <v>0</v>
      </c>
      <c r="W54" s="2">
        <v>1666</v>
      </c>
      <c r="X54" s="2">
        <v>1365</v>
      </c>
      <c r="Y54" s="2">
        <v>1108</v>
      </c>
      <c r="Z54" s="2">
        <v>0</v>
      </c>
      <c r="AA54" s="2">
        <v>0</v>
      </c>
      <c r="AC54" s="2">
        <v>0</v>
      </c>
      <c r="AD54" s="2">
        <v>0</v>
      </c>
      <c r="AE54" s="2">
        <v>0</v>
      </c>
      <c r="AF54" s="2">
        <v>0</v>
      </c>
      <c r="AG54" s="2">
        <v>0</v>
      </c>
      <c r="AI54" s="2">
        <v>-1230</v>
      </c>
      <c r="AJ54" s="2">
        <v>-1004</v>
      </c>
      <c r="AK54" s="2">
        <v>-694</v>
      </c>
      <c r="AL54" s="2">
        <v>-368</v>
      </c>
      <c r="AM54" s="2">
        <v>0</v>
      </c>
    </row>
    <row r="55" spans="1:39">
      <c r="A55" s="335">
        <v>90161</v>
      </c>
      <c r="B55" s="328" t="s">
        <v>746</v>
      </c>
      <c r="C55" s="239">
        <v>3.57E-5</v>
      </c>
      <c r="E55" s="2">
        <v>17069</v>
      </c>
      <c r="F55" s="2">
        <v>4218</v>
      </c>
      <c r="G55" s="2">
        <v>8401</v>
      </c>
      <c r="H55" s="2">
        <v>984</v>
      </c>
      <c r="I55" s="2">
        <v>0</v>
      </c>
      <c r="K55" s="2">
        <v>5348</v>
      </c>
      <c r="L55" s="2">
        <v>5031</v>
      </c>
      <c r="M55" s="2">
        <v>4509</v>
      </c>
      <c r="N55" s="2">
        <v>1805</v>
      </c>
      <c r="O55" s="2">
        <v>0</v>
      </c>
      <c r="Q55" s="2">
        <v>5678</v>
      </c>
      <c r="R55" s="2">
        <v>-4884</v>
      </c>
      <c r="S55" s="2">
        <v>688</v>
      </c>
      <c r="T55" s="2">
        <v>896</v>
      </c>
      <c r="U55" s="2">
        <v>0</v>
      </c>
      <c r="W55" s="2">
        <v>6396</v>
      </c>
      <c r="X55" s="2">
        <v>5240</v>
      </c>
      <c r="Y55" s="2">
        <v>4254</v>
      </c>
      <c r="Z55" s="2">
        <v>0</v>
      </c>
      <c r="AA55" s="2">
        <v>0</v>
      </c>
      <c r="AC55" s="2">
        <v>1478</v>
      </c>
      <c r="AD55" s="2">
        <v>664</v>
      </c>
      <c r="AE55" s="2">
        <v>666</v>
      </c>
      <c r="AF55" s="2">
        <v>0</v>
      </c>
      <c r="AG55" s="2">
        <v>0</v>
      </c>
      <c r="AI55" s="2">
        <v>-1831</v>
      </c>
      <c r="AJ55" s="2">
        <v>-1833</v>
      </c>
      <c r="AK55" s="2">
        <v>-1716</v>
      </c>
      <c r="AL55" s="2">
        <v>-1717</v>
      </c>
      <c r="AM55" s="2">
        <v>0</v>
      </c>
    </row>
    <row r="56" spans="1:39">
      <c r="A56" s="335">
        <v>90201</v>
      </c>
      <c r="B56" s="328" t="s">
        <v>747</v>
      </c>
      <c r="C56" s="239">
        <v>1.2569E-3</v>
      </c>
      <c r="E56" s="2">
        <v>613501</v>
      </c>
      <c r="F56" s="2">
        <v>189876</v>
      </c>
      <c r="G56" s="2">
        <v>341991</v>
      </c>
      <c r="H56" s="2">
        <v>110773</v>
      </c>
      <c r="I56" s="2">
        <v>0</v>
      </c>
      <c r="K56" s="2">
        <v>188292</v>
      </c>
      <c r="L56" s="2">
        <v>177122</v>
      </c>
      <c r="M56" s="2">
        <v>158753</v>
      </c>
      <c r="N56" s="2">
        <v>63563</v>
      </c>
      <c r="O56" s="2">
        <v>0</v>
      </c>
      <c r="Q56" s="2">
        <v>199899</v>
      </c>
      <c r="R56" s="2">
        <v>-171950</v>
      </c>
      <c r="S56" s="2">
        <v>24234</v>
      </c>
      <c r="T56" s="2">
        <v>31541</v>
      </c>
      <c r="U56" s="2">
        <v>0</v>
      </c>
      <c r="W56" s="2">
        <v>225189</v>
      </c>
      <c r="X56" s="2">
        <v>184483</v>
      </c>
      <c r="Y56" s="2">
        <v>149768</v>
      </c>
      <c r="Z56" s="2">
        <v>0</v>
      </c>
      <c r="AA56" s="2">
        <v>0</v>
      </c>
      <c r="AC56" s="2">
        <v>15670</v>
      </c>
      <c r="AD56" s="2">
        <v>15670</v>
      </c>
      <c r="AE56" s="2">
        <v>15670</v>
      </c>
      <c r="AF56" s="2">
        <v>15669</v>
      </c>
      <c r="AG56" s="2">
        <v>0</v>
      </c>
      <c r="AI56" s="2">
        <v>-15549</v>
      </c>
      <c r="AJ56" s="2">
        <v>-15449</v>
      </c>
      <c r="AK56" s="2">
        <v>-6434</v>
      </c>
      <c r="AL56" s="2">
        <v>0</v>
      </c>
      <c r="AM56" s="2">
        <v>0</v>
      </c>
    </row>
    <row r="57" spans="1:39">
      <c r="A57" s="335">
        <v>90203</v>
      </c>
      <c r="B57" s="328" t="s">
        <v>3660</v>
      </c>
      <c r="C57" s="239">
        <v>2.0019999999999999E-4</v>
      </c>
      <c r="E57" s="2">
        <v>87836</v>
      </c>
      <c r="F57" s="2">
        <v>25358</v>
      </c>
      <c r="G57" s="2">
        <v>54516</v>
      </c>
      <c r="H57" s="2">
        <v>15883</v>
      </c>
      <c r="I57" s="2">
        <v>0</v>
      </c>
      <c r="K57" s="2">
        <v>29991</v>
      </c>
      <c r="L57" s="2">
        <v>28212</v>
      </c>
      <c r="M57" s="2">
        <v>25286</v>
      </c>
      <c r="N57" s="2">
        <v>10124</v>
      </c>
      <c r="O57" s="2">
        <v>0</v>
      </c>
      <c r="Q57" s="2">
        <v>31840</v>
      </c>
      <c r="R57" s="2">
        <v>-27388</v>
      </c>
      <c r="S57" s="2">
        <v>3860</v>
      </c>
      <c r="T57" s="2">
        <v>5024</v>
      </c>
      <c r="U57" s="2">
        <v>0</v>
      </c>
      <c r="W57" s="2">
        <v>35868</v>
      </c>
      <c r="X57" s="2">
        <v>29385</v>
      </c>
      <c r="Y57" s="2">
        <v>23855</v>
      </c>
      <c r="Z57" s="2">
        <v>0</v>
      </c>
      <c r="AA57" s="2">
        <v>0</v>
      </c>
      <c r="AC57" s="2">
        <v>1514</v>
      </c>
      <c r="AD57" s="2">
        <v>1514</v>
      </c>
      <c r="AE57" s="2">
        <v>1515</v>
      </c>
      <c r="AF57" s="2">
        <v>735</v>
      </c>
      <c r="AG57" s="2">
        <v>0</v>
      </c>
      <c r="AI57" s="2">
        <v>-11377</v>
      </c>
      <c r="AJ57" s="2">
        <v>-6365</v>
      </c>
      <c r="AK57" s="2">
        <v>0</v>
      </c>
      <c r="AL57" s="2">
        <v>0</v>
      </c>
      <c r="AM57" s="2">
        <v>0</v>
      </c>
    </row>
    <row r="58" spans="1:39">
      <c r="A58" s="335">
        <v>90205</v>
      </c>
      <c r="B58" s="328" t="s">
        <v>749</v>
      </c>
      <c r="C58" s="239">
        <v>3.04E-5</v>
      </c>
      <c r="E58" s="2">
        <v>14603</v>
      </c>
      <c r="F58" s="2">
        <v>4525</v>
      </c>
      <c r="G58" s="2">
        <v>8497</v>
      </c>
      <c r="H58" s="2">
        <v>2160</v>
      </c>
      <c r="I58" s="2">
        <v>0</v>
      </c>
      <c r="K58" s="2">
        <v>4554</v>
      </c>
      <c r="L58" s="2">
        <v>4284</v>
      </c>
      <c r="M58" s="2">
        <v>3840</v>
      </c>
      <c r="N58" s="2">
        <v>1537</v>
      </c>
      <c r="O58" s="2">
        <v>0</v>
      </c>
      <c r="Q58" s="2">
        <v>4835</v>
      </c>
      <c r="R58" s="2">
        <v>-4159</v>
      </c>
      <c r="S58" s="2">
        <v>586</v>
      </c>
      <c r="T58" s="2">
        <v>763</v>
      </c>
      <c r="U58" s="2">
        <v>0</v>
      </c>
      <c r="W58" s="2">
        <v>5447</v>
      </c>
      <c r="X58" s="2">
        <v>4462</v>
      </c>
      <c r="Y58" s="2">
        <v>3622</v>
      </c>
      <c r="Z58" s="2">
        <v>0</v>
      </c>
      <c r="AA58" s="2">
        <v>0</v>
      </c>
      <c r="AC58" s="2">
        <v>593</v>
      </c>
      <c r="AD58" s="2">
        <v>593</v>
      </c>
      <c r="AE58" s="2">
        <v>591</v>
      </c>
      <c r="AF58" s="2">
        <v>0</v>
      </c>
      <c r="AG58" s="2">
        <v>0</v>
      </c>
      <c r="AI58" s="2">
        <v>-826</v>
      </c>
      <c r="AJ58" s="2">
        <v>-655</v>
      </c>
      <c r="AK58" s="2">
        <v>-142</v>
      </c>
      <c r="AL58" s="2">
        <v>-140</v>
      </c>
      <c r="AM58" s="2">
        <v>0</v>
      </c>
    </row>
    <row r="59" spans="1:39">
      <c r="A59" s="335">
        <v>90206</v>
      </c>
      <c r="B59" s="328" t="s">
        <v>3661</v>
      </c>
      <c r="C59" s="239">
        <v>3.6160000000000001E-4</v>
      </c>
      <c r="E59" s="2">
        <v>158237</v>
      </c>
      <c r="F59" s="2">
        <v>38219</v>
      </c>
      <c r="G59" s="2">
        <v>83512</v>
      </c>
      <c r="H59" s="2">
        <v>16578</v>
      </c>
      <c r="I59" s="2">
        <v>0</v>
      </c>
      <c r="K59" s="2">
        <v>54170</v>
      </c>
      <c r="L59" s="2">
        <v>50957</v>
      </c>
      <c r="M59" s="2">
        <v>45672</v>
      </c>
      <c r="N59" s="2">
        <v>18286</v>
      </c>
      <c r="O59" s="2">
        <v>0</v>
      </c>
      <c r="Q59" s="2">
        <v>57509</v>
      </c>
      <c r="R59" s="2">
        <v>-49469</v>
      </c>
      <c r="S59" s="2">
        <v>6972</v>
      </c>
      <c r="T59" s="2">
        <v>9074</v>
      </c>
      <c r="U59" s="2">
        <v>0</v>
      </c>
      <c r="W59" s="2">
        <v>64785</v>
      </c>
      <c r="X59" s="2">
        <v>53074</v>
      </c>
      <c r="Y59" s="2">
        <v>43087</v>
      </c>
      <c r="Z59" s="2">
        <v>0</v>
      </c>
      <c r="AA59" s="2">
        <v>0</v>
      </c>
      <c r="AC59" s="2">
        <v>0</v>
      </c>
      <c r="AD59" s="2">
        <v>0</v>
      </c>
      <c r="AE59" s="2">
        <v>0</v>
      </c>
      <c r="AF59" s="2">
        <v>0</v>
      </c>
      <c r="AG59" s="2">
        <v>0</v>
      </c>
      <c r="AI59" s="2">
        <v>-18227</v>
      </c>
      <c r="AJ59" s="2">
        <v>-16343</v>
      </c>
      <c r="AK59" s="2">
        <v>-12219</v>
      </c>
      <c r="AL59" s="2">
        <v>-10782</v>
      </c>
      <c r="AM59" s="2">
        <v>0</v>
      </c>
    </row>
    <row r="60" spans="1:39">
      <c r="A60" s="335">
        <v>90211</v>
      </c>
      <c r="B60" s="328" t="s">
        <v>751</v>
      </c>
      <c r="C60" s="239">
        <v>1.5799999999999999E-4</v>
      </c>
      <c r="E60" s="2">
        <v>76580</v>
      </c>
      <c r="F60" s="2">
        <v>25976</v>
      </c>
      <c r="G60" s="2">
        <v>44793</v>
      </c>
      <c r="H60" s="2">
        <v>13132</v>
      </c>
      <c r="I60" s="2">
        <v>0</v>
      </c>
      <c r="K60" s="2">
        <v>23670</v>
      </c>
      <c r="L60" s="2">
        <v>22265</v>
      </c>
      <c r="M60" s="2">
        <v>19956</v>
      </c>
      <c r="N60" s="2">
        <v>7990</v>
      </c>
      <c r="O60" s="2">
        <v>0</v>
      </c>
      <c r="Q60" s="2">
        <v>25128</v>
      </c>
      <c r="R60" s="2">
        <v>-21615</v>
      </c>
      <c r="S60" s="2">
        <v>3046</v>
      </c>
      <c r="T60" s="2">
        <v>3965</v>
      </c>
      <c r="U60" s="2">
        <v>0</v>
      </c>
      <c r="W60" s="2">
        <v>28308</v>
      </c>
      <c r="X60" s="2">
        <v>23191</v>
      </c>
      <c r="Y60" s="2">
        <v>18827</v>
      </c>
      <c r="Z60" s="2">
        <v>0</v>
      </c>
      <c r="AA60" s="2">
        <v>0</v>
      </c>
      <c r="AC60" s="2">
        <v>2962</v>
      </c>
      <c r="AD60" s="2">
        <v>2962</v>
      </c>
      <c r="AE60" s="2">
        <v>2964</v>
      </c>
      <c r="AF60" s="2">
        <v>1177</v>
      </c>
      <c r="AG60" s="2">
        <v>0</v>
      </c>
      <c r="AI60" s="2">
        <v>-3488</v>
      </c>
      <c r="AJ60" s="2">
        <v>-827</v>
      </c>
      <c r="AK60" s="2">
        <v>0</v>
      </c>
      <c r="AL60" s="2">
        <v>0</v>
      </c>
      <c r="AM60" s="2">
        <v>0</v>
      </c>
    </row>
    <row r="61" spans="1:39">
      <c r="A61" s="335">
        <v>90301</v>
      </c>
      <c r="B61" s="328" t="s">
        <v>752</v>
      </c>
      <c r="C61" s="239">
        <v>7.339E-4</v>
      </c>
      <c r="E61" s="2">
        <v>354133</v>
      </c>
      <c r="F61" s="2">
        <v>108767</v>
      </c>
      <c r="G61" s="2">
        <v>192667</v>
      </c>
      <c r="H61" s="2">
        <v>55419</v>
      </c>
      <c r="I61" s="2">
        <v>0</v>
      </c>
      <c r="K61" s="2">
        <v>109943</v>
      </c>
      <c r="L61" s="2">
        <v>103421</v>
      </c>
      <c r="M61" s="2">
        <v>92695</v>
      </c>
      <c r="N61" s="2">
        <v>37114</v>
      </c>
      <c r="O61" s="2">
        <v>0</v>
      </c>
      <c r="Q61" s="2">
        <v>116720</v>
      </c>
      <c r="R61" s="2">
        <v>-100401</v>
      </c>
      <c r="S61" s="2">
        <v>14150</v>
      </c>
      <c r="T61" s="2">
        <v>18416</v>
      </c>
      <c r="U61" s="2">
        <v>0</v>
      </c>
      <c r="W61" s="2">
        <v>131487</v>
      </c>
      <c r="X61" s="2">
        <v>107719</v>
      </c>
      <c r="Y61" s="2">
        <v>87449</v>
      </c>
      <c r="Z61" s="2">
        <v>0</v>
      </c>
      <c r="AA61" s="2">
        <v>0</v>
      </c>
      <c r="AC61" s="2">
        <v>0</v>
      </c>
      <c r="AD61" s="2">
        <v>0</v>
      </c>
      <c r="AE61" s="2">
        <v>0</v>
      </c>
      <c r="AF61" s="2">
        <v>0</v>
      </c>
      <c r="AG61" s="2">
        <v>0</v>
      </c>
      <c r="AI61" s="2">
        <v>-4017</v>
      </c>
      <c r="AJ61" s="2">
        <v>-1972</v>
      </c>
      <c r="AK61" s="2">
        <v>-1627</v>
      </c>
      <c r="AL61" s="2">
        <v>-111</v>
      </c>
      <c r="AM61" s="2">
        <v>0</v>
      </c>
    </row>
    <row r="62" spans="1:39">
      <c r="A62" s="335">
        <v>90305</v>
      </c>
      <c r="B62" s="328" t="s">
        <v>753</v>
      </c>
      <c r="C62" s="239">
        <v>1.404E-4</v>
      </c>
      <c r="E62" s="2">
        <v>73852</v>
      </c>
      <c r="F62" s="2">
        <v>24742</v>
      </c>
      <c r="G62" s="2">
        <v>39803</v>
      </c>
      <c r="H62" s="2">
        <v>12854</v>
      </c>
      <c r="I62" s="2">
        <v>0</v>
      </c>
      <c r="K62" s="2">
        <v>21033</v>
      </c>
      <c r="L62" s="2">
        <v>19785</v>
      </c>
      <c r="M62" s="2">
        <v>17733</v>
      </c>
      <c r="N62" s="2">
        <v>7100</v>
      </c>
      <c r="O62" s="2">
        <v>0</v>
      </c>
      <c r="Q62" s="2">
        <v>22329</v>
      </c>
      <c r="R62" s="2">
        <v>-19207</v>
      </c>
      <c r="S62" s="2">
        <v>2707</v>
      </c>
      <c r="T62" s="2">
        <v>3523</v>
      </c>
      <c r="U62" s="2">
        <v>0</v>
      </c>
      <c r="W62" s="2">
        <v>25154</v>
      </c>
      <c r="X62" s="2">
        <v>20607</v>
      </c>
      <c r="Y62" s="2">
        <v>16730</v>
      </c>
      <c r="Z62" s="2">
        <v>0</v>
      </c>
      <c r="AA62" s="2">
        <v>0</v>
      </c>
      <c r="AC62" s="2">
        <v>5336</v>
      </c>
      <c r="AD62" s="2">
        <v>3557</v>
      </c>
      <c r="AE62" s="2">
        <v>2633</v>
      </c>
      <c r="AF62" s="2">
        <v>2231</v>
      </c>
      <c r="AG62" s="2">
        <v>0</v>
      </c>
      <c r="AI62" s="2">
        <v>0</v>
      </c>
      <c r="AJ62" s="2">
        <v>0</v>
      </c>
      <c r="AK62" s="2">
        <v>0</v>
      </c>
      <c r="AL62" s="2">
        <v>0</v>
      </c>
      <c r="AM62" s="2">
        <v>0</v>
      </c>
    </row>
    <row r="63" spans="1:39">
      <c r="A63" s="335">
        <v>90307</v>
      </c>
      <c r="B63" s="328" t="s">
        <v>754</v>
      </c>
      <c r="C63" s="239">
        <v>5.8000000000000004E-6</v>
      </c>
      <c r="E63" s="2">
        <v>3077</v>
      </c>
      <c r="F63" s="2">
        <v>1114</v>
      </c>
      <c r="G63" s="2">
        <v>1650</v>
      </c>
      <c r="H63" s="2">
        <v>561</v>
      </c>
      <c r="I63" s="2">
        <v>0</v>
      </c>
      <c r="K63" s="2">
        <v>869</v>
      </c>
      <c r="L63" s="2">
        <v>817</v>
      </c>
      <c r="M63" s="2">
        <v>733</v>
      </c>
      <c r="N63" s="2">
        <v>293</v>
      </c>
      <c r="O63" s="2">
        <v>0</v>
      </c>
      <c r="Q63" s="2">
        <v>922</v>
      </c>
      <c r="R63" s="2">
        <v>-793</v>
      </c>
      <c r="S63" s="2">
        <v>112</v>
      </c>
      <c r="T63" s="2">
        <v>146</v>
      </c>
      <c r="U63" s="2">
        <v>0</v>
      </c>
      <c r="W63" s="2">
        <v>1039</v>
      </c>
      <c r="X63" s="2">
        <v>851</v>
      </c>
      <c r="Y63" s="2">
        <v>691</v>
      </c>
      <c r="Z63" s="2">
        <v>0</v>
      </c>
      <c r="AA63" s="2">
        <v>0</v>
      </c>
      <c r="AC63" s="2">
        <v>255</v>
      </c>
      <c r="AD63" s="2">
        <v>247</v>
      </c>
      <c r="AE63" s="2">
        <v>122</v>
      </c>
      <c r="AF63" s="2">
        <v>122</v>
      </c>
      <c r="AG63" s="2">
        <v>0</v>
      </c>
      <c r="AI63" s="2">
        <v>-8</v>
      </c>
      <c r="AJ63" s="2">
        <v>-8</v>
      </c>
      <c r="AK63" s="2">
        <v>-8</v>
      </c>
      <c r="AL63" s="2">
        <v>0</v>
      </c>
      <c r="AM63" s="2">
        <v>0</v>
      </c>
    </row>
    <row r="64" spans="1:39">
      <c r="A64" s="335">
        <v>90401</v>
      </c>
      <c r="B64" s="328" t="s">
        <v>755</v>
      </c>
      <c r="C64" s="239">
        <v>1.2876000000000001E-3</v>
      </c>
      <c r="E64" s="2">
        <v>644596</v>
      </c>
      <c r="F64" s="2">
        <v>208414</v>
      </c>
      <c r="G64" s="2">
        <v>357837</v>
      </c>
      <c r="H64" s="2">
        <v>116797</v>
      </c>
      <c r="I64" s="2">
        <v>0</v>
      </c>
      <c r="K64" s="2">
        <v>192891</v>
      </c>
      <c r="L64" s="2">
        <v>181449</v>
      </c>
      <c r="M64" s="2">
        <v>162630</v>
      </c>
      <c r="N64" s="2">
        <v>65115</v>
      </c>
      <c r="O64" s="2">
        <v>0</v>
      </c>
      <c r="Q64" s="2">
        <v>204781</v>
      </c>
      <c r="R64" s="2">
        <v>-176150</v>
      </c>
      <c r="S64" s="2">
        <v>24826</v>
      </c>
      <c r="T64" s="2">
        <v>32311</v>
      </c>
      <c r="U64" s="2">
        <v>0</v>
      </c>
      <c r="W64" s="2">
        <v>230689</v>
      </c>
      <c r="X64" s="2">
        <v>188989</v>
      </c>
      <c r="Y64" s="2">
        <v>153427</v>
      </c>
      <c r="Z64" s="2">
        <v>0</v>
      </c>
      <c r="AA64" s="2">
        <v>0</v>
      </c>
      <c r="AC64" s="2">
        <v>21478</v>
      </c>
      <c r="AD64" s="2">
        <v>19370</v>
      </c>
      <c r="AE64" s="2">
        <v>19370</v>
      </c>
      <c r="AF64" s="2">
        <v>19371</v>
      </c>
      <c r="AG64" s="2">
        <v>0</v>
      </c>
      <c r="AI64" s="2">
        <v>-5243</v>
      </c>
      <c r="AJ64" s="2">
        <v>-5244</v>
      </c>
      <c r="AK64" s="2">
        <v>-2416</v>
      </c>
      <c r="AL64" s="2">
        <v>0</v>
      </c>
      <c r="AM64" s="2">
        <v>0</v>
      </c>
    </row>
    <row r="65" spans="1:39">
      <c r="A65" s="335">
        <v>90411</v>
      </c>
      <c r="B65" s="328" t="s">
        <v>756</v>
      </c>
      <c r="C65" s="239">
        <v>3.2929999999999998E-4</v>
      </c>
      <c r="E65" s="2">
        <v>143861</v>
      </c>
      <c r="F65" s="2">
        <v>39557</v>
      </c>
      <c r="G65" s="2">
        <v>79464</v>
      </c>
      <c r="H65" s="2">
        <v>19638</v>
      </c>
      <c r="I65" s="2">
        <v>0</v>
      </c>
      <c r="K65" s="2">
        <v>49331</v>
      </c>
      <c r="L65" s="2">
        <v>46405</v>
      </c>
      <c r="M65" s="2">
        <v>41592</v>
      </c>
      <c r="N65" s="2">
        <v>16653</v>
      </c>
      <c r="O65" s="2">
        <v>0</v>
      </c>
      <c r="Q65" s="2">
        <v>52372</v>
      </c>
      <c r="R65" s="2">
        <v>-45050</v>
      </c>
      <c r="S65" s="2">
        <v>6349</v>
      </c>
      <c r="T65" s="2">
        <v>8263</v>
      </c>
      <c r="U65" s="2">
        <v>0</v>
      </c>
      <c r="W65" s="2">
        <v>58998</v>
      </c>
      <c r="X65" s="2">
        <v>48333</v>
      </c>
      <c r="Y65" s="2">
        <v>39238</v>
      </c>
      <c r="Z65" s="2">
        <v>0</v>
      </c>
      <c r="AA65" s="2">
        <v>0</v>
      </c>
      <c r="AC65" s="2">
        <v>0</v>
      </c>
      <c r="AD65" s="2">
        <v>0</v>
      </c>
      <c r="AE65" s="2">
        <v>0</v>
      </c>
      <c r="AF65" s="2">
        <v>0</v>
      </c>
      <c r="AG65" s="2">
        <v>0</v>
      </c>
      <c r="AI65" s="2">
        <v>-16840</v>
      </c>
      <c r="AJ65" s="2">
        <v>-10131</v>
      </c>
      <c r="AK65" s="2">
        <v>-7715</v>
      </c>
      <c r="AL65" s="2">
        <v>-5278</v>
      </c>
      <c r="AM65" s="2">
        <v>0</v>
      </c>
    </row>
    <row r="66" spans="1:39">
      <c r="A66" s="335">
        <v>90413</v>
      </c>
      <c r="B66" s="328" t="s">
        <v>757</v>
      </c>
      <c r="C66" s="239">
        <v>3.4900000000000001E-5</v>
      </c>
      <c r="E66" s="2">
        <v>17965</v>
      </c>
      <c r="F66" s="2">
        <v>5875</v>
      </c>
      <c r="G66" s="2">
        <v>10078</v>
      </c>
      <c r="H66" s="2">
        <v>3042</v>
      </c>
      <c r="I66" s="2">
        <v>0</v>
      </c>
      <c r="K66" s="2">
        <v>5228</v>
      </c>
      <c r="L66" s="2">
        <v>4918</v>
      </c>
      <c r="M66" s="2">
        <v>4408</v>
      </c>
      <c r="N66" s="2">
        <v>1765</v>
      </c>
      <c r="O66" s="2">
        <v>0</v>
      </c>
      <c r="Q66" s="2">
        <v>5551</v>
      </c>
      <c r="R66" s="2">
        <v>-4774</v>
      </c>
      <c r="S66" s="2">
        <v>673</v>
      </c>
      <c r="T66" s="2">
        <v>876</v>
      </c>
      <c r="U66" s="2">
        <v>0</v>
      </c>
      <c r="W66" s="2">
        <v>6253</v>
      </c>
      <c r="X66" s="2">
        <v>5122</v>
      </c>
      <c r="Y66" s="2">
        <v>4159</v>
      </c>
      <c r="Z66" s="2">
        <v>0</v>
      </c>
      <c r="AA66" s="2">
        <v>0</v>
      </c>
      <c r="AC66" s="2">
        <v>1162</v>
      </c>
      <c r="AD66" s="2">
        <v>838</v>
      </c>
      <c r="AE66" s="2">
        <v>838</v>
      </c>
      <c r="AF66" s="2">
        <v>401</v>
      </c>
      <c r="AG66" s="2">
        <v>0</v>
      </c>
      <c r="AI66" s="2">
        <v>-229</v>
      </c>
      <c r="AJ66" s="2">
        <v>-229</v>
      </c>
      <c r="AK66" s="2">
        <v>0</v>
      </c>
      <c r="AL66" s="2">
        <v>0</v>
      </c>
      <c r="AM66" s="2">
        <v>0</v>
      </c>
    </row>
    <row r="67" spans="1:39">
      <c r="A67" s="335">
        <v>90417</v>
      </c>
      <c r="B67" s="328" t="s">
        <v>758</v>
      </c>
      <c r="C67" s="239">
        <v>1.06E-5</v>
      </c>
      <c r="E67" s="2">
        <v>6995</v>
      </c>
      <c r="F67" s="2">
        <v>3183</v>
      </c>
      <c r="G67" s="2">
        <v>3854</v>
      </c>
      <c r="H67" s="2">
        <v>1196</v>
      </c>
      <c r="I67" s="2">
        <v>0</v>
      </c>
      <c r="K67" s="2">
        <v>1588</v>
      </c>
      <c r="L67" s="2">
        <v>1494</v>
      </c>
      <c r="M67" s="2">
        <v>1339</v>
      </c>
      <c r="N67" s="2">
        <v>536</v>
      </c>
      <c r="O67" s="2">
        <v>0</v>
      </c>
      <c r="Q67" s="2">
        <v>1686</v>
      </c>
      <c r="R67" s="2">
        <v>-1450</v>
      </c>
      <c r="S67" s="2">
        <v>204</v>
      </c>
      <c r="T67" s="2">
        <v>266</v>
      </c>
      <c r="U67" s="2">
        <v>0</v>
      </c>
      <c r="W67" s="2">
        <v>1899</v>
      </c>
      <c r="X67" s="2">
        <v>1556</v>
      </c>
      <c r="Y67" s="2">
        <v>1263</v>
      </c>
      <c r="Z67" s="2">
        <v>0</v>
      </c>
      <c r="AA67" s="2">
        <v>0</v>
      </c>
      <c r="AC67" s="2">
        <v>1822</v>
      </c>
      <c r="AD67" s="2">
        <v>1583</v>
      </c>
      <c r="AE67" s="2">
        <v>1048</v>
      </c>
      <c r="AF67" s="2">
        <v>394</v>
      </c>
      <c r="AG67" s="2">
        <v>0</v>
      </c>
      <c r="AI67" s="2">
        <v>0</v>
      </c>
      <c r="AJ67" s="2">
        <v>0</v>
      </c>
      <c r="AK67" s="2">
        <v>0</v>
      </c>
      <c r="AL67" s="2">
        <v>0</v>
      </c>
      <c r="AM67" s="2">
        <v>0</v>
      </c>
    </row>
    <row r="68" spans="1:39">
      <c r="A68" s="335">
        <v>90421</v>
      </c>
      <c r="B68" s="328" t="s">
        <v>759</v>
      </c>
      <c r="C68" s="239">
        <v>1.98E-5</v>
      </c>
      <c r="E68" s="2">
        <v>7829</v>
      </c>
      <c r="F68" s="2">
        <v>1633</v>
      </c>
      <c r="G68" s="2">
        <v>4475</v>
      </c>
      <c r="H68" s="2">
        <v>1156</v>
      </c>
      <c r="I68" s="2">
        <v>0</v>
      </c>
      <c r="K68" s="2">
        <v>2966</v>
      </c>
      <c r="L68" s="2">
        <v>2790</v>
      </c>
      <c r="M68" s="2">
        <v>2501</v>
      </c>
      <c r="N68" s="2">
        <v>1001</v>
      </c>
      <c r="O68" s="2">
        <v>0</v>
      </c>
      <c r="Q68" s="2">
        <v>3149</v>
      </c>
      <c r="R68" s="2">
        <v>-2709</v>
      </c>
      <c r="S68" s="2">
        <v>382</v>
      </c>
      <c r="T68" s="2">
        <v>497</v>
      </c>
      <c r="U68" s="2">
        <v>0</v>
      </c>
      <c r="W68" s="2">
        <v>3547</v>
      </c>
      <c r="X68" s="2">
        <v>2906</v>
      </c>
      <c r="Y68" s="2">
        <v>2359</v>
      </c>
      <c r="Z68" s="2">
        <v>0</v>
      </c>
      <c r="AA68" s="2">
        <v>0</v>
      </c>
      <c r="AC68" s="2">
        <v>0</v>
      </c>
      <c r="AD68" s="2">
        <v>0</v>
      </c>
      <c r="AE68" s="2">
        <v>0</v>
      </c>
      <c r="AF68" s="2">
        <v>0</v>
      </c>
      <c r="AG68" s="2">
        <v>0</v>
      </c>
      <c r="AI68" s="2">
        <v>-1833</v>
      </c>
      <c r="AJ68" s="2">
        <v>-1354</v>
      </c>
      <c r="AK68" s="2">
        <v>-767</v>
      </c>
      <c r="AL68" s="2">
        <v>-342</v>
      </c>
      <c r="AM68" s="2">
        <v>0</v>
      </c>
    </row>
    <row r="69" spans="1:39">
      <c r="A69" s="335">
        <v>90431</v>
      </c>
      <c r="B69" s="328" t="s">
        <v>760</v>
      </c>
      <c r="C69" s="239">
        <v>4.8099999999999997E-5</v>
      </c>
      <c r="E69" s="2">
        <v>24238</v>
      </c>
      <c r="F69" s="2">
        <v>8404</v>
      </c>
      <c r="G69" s="2">
        <v>13025</v>
      </c>
      <c r="H69" s="2">
        <v>4288</v>
      </c>
      <c r="I69" s="2">
        <v>0</v>
      </c>
      <c r="K69" s="2">
        <v>7206</v>
      </c>
      <c r="L69" s="2">
        <v>6778</v>
      </c>
      <c r="M69" s="2">
        <v>6075</v>
      </c>
      <c r="N69" s="2">
        <v>2432</v>
      </c>
      <c r="O69" s="2">
        <v>0</v>
      </c>
      <c r="Q69" s="2">
        <v>7650</v>
      </c>
      <c r="R69" s="2">
        <v>-6580</v>
      </c>
      <c r="S69" s="2">
        <v>927</v>
      </c>
      <c r="T69" s="2">
        <v>1207</v>
      </c>
      <c r="U69" s="2">
        <v>0</v>
      </c>
      <c r="W69" s="2">
        <v>8618</v>
      </c>
      <c r="X69" s="2">
        <v>7060</v>
      </c>
      <c r="Y69" s="2">
        <v>5731</v>
      </c>
      <c r="Z69" s="2">
        <v>0</v>
      </c>
      <c r="AA69" s="2">
        <v>0</v>
      </c>
      <c r="AC69" s="2">
        <v>1507</v>
      </c>
      <c r="AD69" s="2">
        <v>1506</v>
      </c>
      <c r="AE69" s="2">
        <v>651</v>
      </c>
      <c r="AF69" s="2">
        <v>649</v>
      </c>
      <c r="AG69" s="2">
        <v>0</v>
      </c>
      <c r="AI69" s="2">
        <v>-743</v>
      </c>
      <c r="AJ69" s="2">
        <v>-360</v>
      </c>
      <c r="AK69" s="2">
        <v>-359</v>
      </c>
      <c r="AL69" s="2">
        <v>0</v>
      </c>
      <c r="AM69" s="2">
        <v>0</v>
      </c>
    </row>
    <row r="70" spans="1:39">
      <c r="A70" s="335">
        <v>90441</v>
      </c>
      <c r="B70" s="328" t="s">
        <v>761</v>
      </c>
      <c r="C70" s="239">
        <v>6.7000000000000002E-6</v>
      </c>
      <c r="E70" s="2">
        <v>3721</v>
      </c>
      <c r="F70" s="2">
        <v>1427</v>
      </c>
      <c r="G70" s="2">
        <v>2144</v>
      </c>
      <c r="H70" s="2">
        <v>724</v>
      </c>
      <c r="I70" s="2">
        <v>0</v>
      </c>
      <c r="K70" s="2">
        <v>1004</v>
      </c>
      <c r="L70" s="2">
        <v>944</v>
      </c>
      <c r="M70" s="2">
        <v>846</v>
      </c>
      <c r="N70" s="2">
        <v>339</v>
      </c>
      <c r="O70" s="2">
        <v>0</v>
      </c>
      <c r="Q70" s="2">
        <v>1066</v>
      </c>
      <c r="R70" s="2">
        <v>-917</v>
      </c>
      <c r="S70" s="2">
        <v>129</v>
      </c>
      <c r="T70" s="2">
        <v>168</v>
      </c>
      <c r="U70" s="2">
        <v>0</v>
      </c>
      <c r="W70" s="2">
        <v>1200</v>
      </c>
      <c r="X70" s="2">
        <v>983</v>
      </c>
      <c r="Y70" s="2">
        <v>798</v>
      </c>
      <c r="Z70" s="2">
        <v>0</v>
      </c>
      <c r="AA70" s="2">
        <v>0</v>
      </c>
      <c r="AC70" s="2">
        <v>451</v>
      </c>
      <c r="AD70" s="2">
        <v>417</v>
      </c>
      <c r="AE70" s="2">
        <v>371</v>
      </c>
      <c r="AF70" s="2">
        <v>217</v>
      </c>
      <c r="AG70" s="2">
        <v>0</v>
      </c>
      <c r="AI70" s="2">
        <v>0</v>
      </c>
      <c r="AJ70" s="2">
        <v>0</v>
      </c>
      <c r="AK70" s="2">
        <v>0</v>
      </c>
      <c r="AL70" s="2">
        <v>0</v>
      </c>
      <c r="AM70" s="2">
        <v>0</v>
      </c>
    </row>
    <row r="71" spans="1:39">
      <c r="A71" s="335">
        <v>90451</v>
      </c>
      <c r="B71" s="328" t="s">
        <v>762</v>
      </c>
      <c r="C71" s="239">
        <v>2.3099999999999999E-5</v>
      </c>
      <c r="E71" s="2">
        <v>12800</v>
      </c>
      <c r="F71" s="2">
        <v>4415</v>
      </c>
      <c r="G71" s="2">
        <v>7227</v>
      </c>
      <c r="H71" s="2">
        <v>2210</v>
      </c>
      <c r="I71" s="2">
        <v>0</v>
      </c>
      <c r="K71" s="2">
        <v>3461</v>
      </c>
      <c r="L71" s="2">
        <v>3255</v>
      </c>
      <c r="M71" s="2">
        <v>2918</v>
      </c>
      <c r="N71" s="2">
        <v>1168</v>
      </c>
      <c r="O71" s="2">
        <v>0</v>
      </c>
      <c r="Q71" s="2">
        <v>3674</v>
      </c>
      <c r="R71" s="2">
        <v>-3160</v>
      </c>
      <c r="S71" s="2">
        <v>445</v>
      </c>
      <c r="T71" s="2">
        <v>580</v>
      </c>
      <c r="U71" s="2">
        <v>0</v>
      </c>
      <c r="W71" s="2">
        <v>4139</v>
      </c>
      <c r="X71" s="2">
        <v>3391</v>
      </c>
      <c r="Y71" s="2">
        <v>2753</v>
      </c>
      <c r="Z71" s="2">
        <v>0</v>
      </c>
      <c r="AA71" s="2">
        <v>0</v>
      </c>
      <c r="AC71" s="2">
        <v>1705</v>
      </c>
      <c r="AD71" s="2">
        <v>1110</v>
      </c>
      <c r="AE71" s="2">
        <v>1111</v>
      </c>
      <c r="AF71" s="2">
        <v>462</v>
      </c>
      <c r="AG71" s="2">
        <v>0</v>
      </c>
      <c r="AI71" s="2">
        <v>-179</v>
      </c>
      <c r="AJ71" s="2">
        <v>-181</v>
      </c>
      <c r="AK71" s="2">
        <v>0</v>
      </c>
      <c r="AL71" s="2">
        <v>0</v>
      </c>
      <c r="AM71" s="2">
        <v>0</v>
      </c>
    </row>
    <row r="72" spans="1:39">
      <c r="A72" s="335">
        <v>90461</v>
      </c>
      <c r="B72" s="328" t="s">
        <v>763</v>
      </c>
      <c r="C72" s="239">
        <v>2.0999999999999998E-6</v>
      </c>
      <c r="E72" s="2">
        <v>-1298</v>
      </c>
      <c r="F72" s="2">
        <v>-1898</v>
      </c>
      <c r="G72" s="2">
        <v>-79</v>
      </c>
      <c r="H72" s="2">
        <v>-497</v>
      </c>
      <c r="I72" s="2">
        <v>0</v>
      </c>
      <c r="K72" s="2">
        <v>315</v>
      </c>
      <c r="L72" s="2">
        <v>296</v>
      </c>
      <c r="M72" s="2">
        <v>265</v>
      </c>
      <c r="N72" s="2">
        <v>106</v>
      </c>
      <c r="O72" s="2">
        <v>0</v>
      </c>
      <c r="Q72" s="2">
        <v>334</v>
      </c>
      <c r="R72" s="2">
        <v>-287</v>
      </c>
      <c r="S72" s="2">
        <v>40</v>
      </c>
      <c r="T72" s="2">
        <v>53</v>
      </c>
      <c r="U72" s="2">
        <v>0</v>
      </c>
      <c r="W72" s="2">
        <v>376</v>
      </c>
      <c r="X72" s="2">
        <v>308</v>
      </c>
      <c r="Y72" s="2">
        <v>250</v>
      </c>
      <c r="Z72" s="2">
        <v>0</v>
      </c>
      <c r="AA72" s="2">
        <v>0</v>
      </c>
      <c r="AC72" s="2">
        <v>23</v>
      </c>
      <c r="AD72" s="2">
        <v>23</v>
      </c>
      <c r="AE72" s="2">
        <v>21</v>
      </c>
      <c r="AF72" s="2">
        <v>0</v>
      </c>
      <c r="AG72" s="2">
        <v>0</v>
      </c>
      <c r="AI72" s="2">
        <v>-2346</v>
      </c>
      <c r="AJ72" s="2">
        <v>-2238</v>
      </c>
      <c r="AK72" s="2">
        <v>-655</v>
      </c>
      <c r="AL72" s="2">
        <v>-656</v>
      </c>
      <c r="AM72" s="2">
        <v>0</v>
      </c>
    </row>
    <row r="73" spans="1:39">
      <c r="A73" s="335">
        <v>90501</v>
      </c>
      <c r="B73" s="328" t="s">
        <v>764</v>
      </c>
      <c r="C73" s="239">
        <v>1.4587000000000001E-3</v>
      </c>
      <c r="E73" s="2">
        <v>740513</v>
      </c>
      <c r="F73" s="2">
        <v>248004</v>
      </c>
      <c r="G73" s="2">
        <v>407264</v>
      </c>
      <c r="H73" s="2">
        <v>132944</v>
      </c>
      <c r="I73" s="2">
        <v>0</v>
      </c>
      <c r="K73" s="2">
        <v>218523</v>
      </c>
      <c r="L73" s="2">
        <v>205560</v>
      </c>
      <c r="M73" s="2">
        <v>184241</v>
      </c>
      <c r="N73" s="2">
        <v>73768</v>
      </c>
      <c r="O73" s="2">
        <v>0</v>
      </c>
      <c r="Q73" s="2">
        <v>231993</v>
      </c>
      <c r="R73" s="2">
        <v>-199557</v>
      </c>
      <c r="S73" s="2">
        <v>28125</v>
      </c>
      <c r="T73" s="2">
        <v>36605</v>
      </c>
      <c r="U73" s="2">
        <v>0</v>
      </c>
      <c r="W73" s="2">
        <v>261344</v>
      </c>
      <c r="X73" s="2">
        <v>214102</v>
      </c>
      <c r="Y73" s="2">
        <v>173814</v>
      </c>
      <c r="Z73" s="2">
        <v>0</v>
      </c>
      <c r="AA73" s="2">
        <v>0</v>
      </c>
      <c r="AC73" s="2">
        <v>30140</v>
      </c>
      <c r="AD73" s="2">
        <v>29386</v>
      </c>
      <c r="AE73" s="2">
        <v>22571</v>
      </c>
      <c r="AF73" s="2">
        <v>22571</v>
      </c>
      <c r="AG73" s="2">
        <v>0</v>
      </c>
      <c r="AI73" s="2">
        <v>-1487</v>
      </c>
      <c r="AJ73" s="2">
        <v>-1487</v>
      </c>
      <c r="AK73" s="2">
        <v>-1487</v>
      </c>
      <c r="AL73" s="2">
        <v>0</v>
      </c>
      <c r="AM73" s="2">
        <v>0</v>
      </c>
    </row>
    <row r="74" spans="1:39">
      <c r="A74" s="335">
        <v>90507</v>
      </c>
      <c r="B74" s="328" t="s">
        <v>34</v>
      </c>
      <c r="C74" s="239">
        <v>3.4000000000000001E-6</v>
      </c>
      <c r="E74" s="2">
        <v>6496</v>
      </c>
      <c r="F74" s="2">
        <v>4244</v>
      </c>
      <c r="G74" s="2">
        <v>3270</v>
      </c>
      <c r="H74" s="2">
        <v>1092</v>
      </c>
      <c r="I74" s="2">
        <v>0</v>
      </c>
      <c r="K74" s="2">
        <v>509</v>
      </c>
      <c r="L74" s="2">
        <v>479</v>
      </c>
      <c r="M74" s="2">
        <v>429</v>
      </c>
      <c r="N74" s="2">
        <v>172</v>
      </c>
      <c r="O74" s="2">
        <v>0</v>
      </c>
      <c r="Q74" s="2">
        <v>541</v>
      </c>
      <c r="R74" s="2">
        <v>-465</v>
      </c>
      <c r="S74" s="2">
        <v>66</v>
      </c>
      <c r="T74" s="2">
        <v>85</v>
      </c>
      <c r="U74" s="2">
        <v>0</v>
      </c>
      <c r="W74" s="2">
        <v>609</v>
      </c>
      <c r="X74" s="2">
        <v>499</v>
      </c>
      <c r="Y74" s="2">
        <v>405</v>
      </c>
      <c r="Z74" s="2">
        <v>0</v>
      </c>
      <c r="AA74" s="2">
        <v>0</v>
      </c>
      <c r="AC74" s="2">
        <v>4837</v>
      </c>
      <c r="AD74" s="2">
        <v>3731</v>
      </c>
      <c r="AE74" s="2">
        <v>2370</v>
      </c>
      <c r="AF74" s="2">
        <v>835</v>
      </c>
      <c r="AG74" s="2">
        <v>0</v>
      </c>
      <c r="AI74" s="2">
        <v>0</v>
      </c>
      <c r="AJ74" s="2">
        <v>0</v>
      </c>
      <c r="AK74" s="2">
        <v>0</v>
      </c>
      <c r="AL74" s="2">
        <v>0</v>
      </c>
      <c r="AM74" s="2">
        <v>0</v>
      </c>
    </row>
    <row r="75" spans="1:39">
      <c r="A75" s="335">
        <v>90511</v>
      </c>
      <c r="B75" s="328" t="s">
        <v>765</v>
      </c>
      <c r="C75" s="239">
        <v>1.011E-4</v>
      </c>
      <c r="E75" s="2">
        <v>59537</v>
      </c>
      <c r="F75" s="2">
        <v>23748</v>
      </c>
      <c r="G75" s="2">
        <v>34193</v>
      </c>
      <c r="H75" s="2">
        <v>13020</v>
      </c>
      <c r="I75" s="2">
        <v>0</v>
      </c>
      <c r="K75" s="2">
        <v>15145</v>
      </c>
      <c r="L75" s="2">
        <v>14247</v>
      </c>
      <c r="M75" s="2">
        <v>12769</v>
      </c>
      <c r="N75" s="2">
        <v>5113</v>
      </c>
      <c r="O75" s="2">
        <v>0</v>
      </c>
      <c r="Q75" s="2">
        <v>16079</v>
      </c>
      <c r="R75" s="2">
        <v>-13831</v>
      </c>
      <c r="S75" s="2">
        <v>1949</v>
      </c>
      <c r="T75" s="2">
        <v>2537</v>
      </c>
      <c r="U75" s="2">
        <v>0</v>
      </c>
      <c r="W75" s="2">
        <v>18113</v>
      </c>
      <c r="X75" s="2">
        <v>14839</v>
      </c>
      <c r="Y75" s="2">
        <v>12047</v>
      </c>
      <c r="Z75" s="2">
        <v>0</v>
      </c>
      <c r="AA75" s="2">
        <v>0</v>
      </c>
      <c r="AC75" s="2">
        <v>10200</v>
      </c>
      <c r="AD75" s="2">
        <v>8493</v>
      </c>
      <c r="AE75" s="2">
        <v>7428</v>
      </c>
      <c r="AF75" s="2">
        <v>5370</v>
      </c>
      <c r="AG75" s="2">
        <v>0</v>
      </c>
      <c r="AI75" s="2">
        <v>0</v>
      </c>
      <c r="AJ75" s="2">
        <v>0</v>
      </c>
      <c r="AK75" s="2">
        <v>0</v>
      </c>
      <c r="AL75" s="2">
        <v>0</v>
      </c>
      <c r="AM75" s="2">
        <v>0</v>
      </c>
    </row>
    <row r="76" spans="1:39">
      <c r="A76" s="335">
        <v>90521</v>
      </c>
      <c r="B76" s="328" t="s">
        <v>766</v>
      </c>
      <c r="C76" s="239">
        <v>1.371E-4</v>
      </c>
      <c r="E76" s="2">
        <v>59177</v>
      </c>
      <c r="F76" s="2">
        <v>15341</v>
      </c>
      <c r="G76" s="2">
        <v>32569</v>
      </c>
      <c r="H76" s="2">
        <v>9867</v>
      </c>
      <c r="I76" s="2">
        <v>0</v>
      </c>
      <c r="K76" s="2">
        <v>20539</v>
      </c>
      <c r="L76" s="2">
        <v>19320</v>
      </c>
      <c r="M76" s="2">
        <v>17316</v>
      </c>
      <c r="N76" s="2">
        <v>6933</v>
      </c>
      <c r="O76" s="2">
        <v>0</v>
      </c>
      <c r="Q76" s="2">
        <v>21805</v>
      </c>
      <c r="R76" s="2">
        <v>-18756</v>
      </c>
      <c r="S76" s="2">
        <v>2643</v>
      </c>
      <c r="T76" s="2">
        <v>3440</v>
      </c>
      <c r="U76" s="2">
        <v>0</v>
      </c>
      <c r="W76" s="2">
        <v>24563</v>
      </c>
      <c r="X76" s="2">
        <v>20123</v>
      </c>
      <c r="Y76" s="2">
        <v>16336</v>
      </c>
      <c r="Z76" s="2">
        <v>0</v>
      </c>
      <c r="AA76" s="2">
        <v>0</v>
      </c>
      <c r="AC76" s="2">
        <v>0</v>
      </c>
      <c r="AD76" s="2">
        <v>0</v>
      </c>
      <c r="AE76" s="2">
        <v>0</v>
      </c>
      <c r="AF76" s="2">
        <v>0</v>
      </c>
      <c r="AG76" s="2">
        <v>0</v>
      </c>
      <c r="AI76" s="2">
        <v>-7730</v>
      </c>
      <c r="AJ76" s="2">
        <v>-5346</v>
      </c>
      <c r="AK76" s="2">
        <v>-3726</v>
      </c>
      <c r="AL76" s="2">
        <v>-506</v>
      </c>
      <c r="AM76" s="2">
        <v>0</v>
      </c>
    </row>
    <row r="77" spans="1:39">
      <c r="A77" s="335">
        <v>90601</v>
      </c>
      <c r="B77" s="328" t="s">
        <v>767</v>
      </c>
      <c r="C77" s="239">
        <v>1.1100999999999999E-3</v>
      </c>
      <c r="E77" s="2">
        <v>531793</v>
      </c>
      <c r="F77" s="2">
        <v>163504</v>
      </c>
      <c r="G77" s="2">
        <v>289139</v>
      </c>
      <c r="H77" s="2">
        <v>85748</v>
      </c>
      <c r="I77" s="2">
        <v>0</v>
      </c>
      <c r="K77" s="2">
        <v>166301</v>
      </c>
      <c r="L77" s="2">
        <v>156435</v>
      </c>
      <c r="M77" s="2">
        <v>140211</v>
      </c>
      <c r="N77" s="2">
        <v>56139</v>
      </c>
      <c r="O77" s="2">
        <v>0</v>
      </c>
      <c r="Q77" s="2">
        <v>176551</v>
      </c>
      <c r="R77" s="2">
        <v>-151867</v>
      </c>
      <c r="S77" s="2">
        <v>21404</v>
      </c>
      <c r="T77" s="2">
        <v>27857</v>
      </c>
      <c r="U77" s="2">
        <v>0</v>
      </c>
      <c r="W77" s="2">
        <v>198888</v>
      </c>
      <c r="X77" s="2">
        <v>162936</v>
      </c>
      <c r="Y77" s="2">
        <v>132276</v>
      </c>
      <c r="Z77" s="2">
        <v>0</v>
      </c>
      <c r="AA77" s="2">
        <v>0</v>
      </c>
      <c r="AC77" s="2">
        <v>2505</v>
      </c>
      <c r="AD77" s="2">
        <v>2504</v>
      </c>
      <c r="AE77" s="2">
        <v>1750</v>
      </c>
      <c r="AF77" s="2">
        <v>1752</v>
      </c>
      <c r="AG77" s="2">
        <v>0</v>
      </c>
      <c r="AI77" s="2">
        <v>-12452</v>
      </c>
      <c r="AJ77" s="2">
        <v>-6504</v>
      </c>
      <c r="AK77" s="2">
        <v>-6502</v>
      </c>
      <c r="AL77" s="2">
        <v>0</v>
      </c>
      <c r="AM77" s="2">
        <v>0</v>
      </c>
    </row>
    <row r="78" spans="1:39">
      <c r="A78" s="335">
        <v>90602</v>
      </c>
      <c r="B78" s="328" t="s">
        <v>259</v>
      </c>
      <c r="C78" s="239">
        <v>9.2999999999999997E-5</v>
      </c>
      <c r="E78" s="2">
        <v>65265</v>
      </c>
      <c r="F78" s="2">
        <v>25294</v>
      </c>
      <c r="G78" s="2">
        <v>34681</v>
      </c>
      <c r="H78" s="2">
        <v>14617</v>
      </c>
      <c r="I78" s="2">
        <v>0</v>
      </c>
      <c r="K78" s="2">
        <v>13932</v>
      </c>
      <c r="L78" s="2">
        <v>13106</v>
      </c>
      <c r="M78" s="2">
        <v>11746</v>
      </c>
      <c r="N78" s="2">
        <v>4703</v>
      </c>
      <c r="O78" s="2">
        <v>0</v>
      </c>
      <c r="Q78" s="2">
        <v>14791</v>
      </c>
      <c r="R78" s="2">
        <v>-12723</v>
      </c>
      <c r="S78" s="2">
        <v>1793</v>
      </c>
      <c r="T78" s="2">
        <v>2334</v>
      </c>
      <c r="U78" s="2">
        <v>0</v>
      </c>
      <c r="W78" s="2">
        <v>16662</v>
      </c>
      <c r="X78" s="2">
        <v>13650</v>
      </c>
      <c r="Y78" s="2">
        <v>11082</v>
      </c>
      <c r="Z78" s="2">
        <v>0</v>
      </c>
      <c r="AA78" s="2">
        <v>0</v>
      </c>
      <c r="AC78" s="2">
        <v>19880</v>
      </c>
      <c r="AD78" s="2">
        <v>11261</v>
      </c>
      <c r="AE78" s="2">
        <v>10060</v>
      </c>
      <c r="AF78" s="2">
        <v>7580</v>
      </c>
      <c r="AG78" s="2">
        <v>0</v>
      </c>
      <c r="AI78" s="2">
        <v>0</v>
      </c>
      <c r="AJ78" s="2">
        <v>0</v>
      </c>
      <c r="AK78" s="2">
        <v>0</v>
      </c>
      <c r="AL78" s="2">
        <v>0</v>
      </c>
      <c r="AM78" s="2">
        <v>0</v>
      </c>
    </row>
    <row r="79" spans="1:39">
      <c r="A79" s="335">
        <v>90605</v>
      </c>
      <c r="B79" s="328" t="s">
        <v>3662</v>
      </c>
      <c r="C79" s="239">
        <v>4.9799999999999998E-5</v>
      </c>
      <c r="E79" s="2">
        <v>31463</v>
      </c>
      <c r="F79" s="2">
        <v>13276</v>
      </c>
      <c r="G79" s="2">
        <v>17105</v>
      </c>
      <c r="H79" s="2">
        <v>6502</v>
      </c>
      <c r="I79" s="2">
        <v>0</v>
      </c>
      <c r="K79" s="2">
        <v>7460</v>
      </c>
      <c r="L79" s="2">
        <v>7018</v>
      </c>
      <c r="M79" s="2">
        <v>6290</v>
      </c>
      <c r="N79" s="2">
        <v>2518</v>
      </c>
      <c r="O79" s="2">
        <v>0</v>
      </c>
      <c r="Q79" s="2">
        <v>7920</v>
      </c>
      <c r="R79" s="2">
        <v>-6813</v>
      </c>
      <c r="S79" s="2">
        <v>960</v>
      </c>
      <c r="T79" s="2">
        <v>1250</v>
      </c>
      <c r="U79" s="2">
        <v>0</v>
      </c>
      <c r="W79" s="2">
        <v>8922</v>
      </c>
      <c r="X79" s="2">
        <v>7309</v>
      </c>
      <c r="Y79" s="2">
        <v>5934</v>
      </c>
      <c r="Z79" s="2">
        <v>0</v>
      </c>
      <c r="AA79" s="2">
        <v>0</v>
      </c>
      <c r="AC79" s="2">
        <v>7161</v>
      </c>
      <c r="AD79" s="2">
        <v>5762</v>
      </c>
      <c r="AE79" s="2">
        <v>3921</v>
      </c>
      <c r="AF79" s="2">
        <v>2734</v>
      </c>
      <c r="AG79" s="2">
        <v>0</v>
      </c>
      <c r="AI79" s="2">
        <v>0</v>
      </c>
      <c r="AJ79" s="2">
        <v>0</v>
      </c>
      <c r="AK79" s="2">
        <v>0</v>
      </c>
      <c r="AL79" s="2">
        <v>0</v>
      </c>
      <c r="AM79" s="2">
        <v>0</v>
      </c>
    </row>
    <row r="80" spans="1:39">
      <c r="A80" s="335">
        <v>90611</v>
      </c>
      <c r="B80" s="328" t="s">
        <v>769</v>
      </c>
      <c r="C80" s="239">
        <v>1.526E-4</v>
      </c>
      <c r="E80" s="2">
        <v>68865</v>
      </c>
      <c r="F80" s="2">
        <v>20026</v>
      </c>
      <c r="G80" s="2">
        <v>39515</v>
      </c>
      <c r="H80" s="2">
        <v>12790</v>
      </c>
      <c r="I80" s="2">
        <v>0</v>
      </c>
      <c r="K80" s="2">
        <v>22861</v>
      </c>
      <c r="L80" s="2">
        <v>21504</v>
      </c>
      <c r="M80" s="2">
        <v>19274</v>
      </c>
      <c r="N80" s="2">
        <v>7717</v>
      </c>
      <c r="O80" s="2">
        <v>0</v>
      </c>
      <c r="Q80" s="2">
        <v>24270</v>
      </c>
      <c r="R80" s="2">
        <v>-20876</v>
      </c>
      <c r="S80" s="2">
        <v>2942</v>
      </c>
      <c r="T80" s="2">
        <v>3829</v>
      </c>
      <c r="U80" s="2">
        <v>0</v>
      </c>
      <c r="W80" s="2">
        <v>27340</v>
      </c>
      <c r="X80" s="2">
        <v>22398</v>
      </c>
      <c r="Y80" s="2">
        <v>18183</v>
      </c>
      <c r="Z80" s="2">
        <v>0</v>
      </c>
      <c r="AA80" s="2">
        <v>0</v>
      </c>
      <c r="AC80" s="2">
        <v>1242</v>
      </c>
      <c r="AD80" s="2">
        <v>1242</v>
      </c>
      <c r="AE80" s="2">
        <v>1242</v>
      </c>
      <c r="AF80" s="2">
        <v>1244</v>
      </c>
      <c r="AG80" s="2">
        <v>0</v>
      </c>
      <c r="AI80" s="2">
        <v>-6848</v>
      </c>
      <c r="AJ80" s="2">
        <v>-4242</v>
      </c>
      <c r="AK80" s="2">
        <v>-2126</v>
      </c>
      <c r="AL80" s="2">
        <v>0</v>
      </c>
      <c r="AM80" s="2">
        <v>0</v>
      </c>
    </row>
    <row r="81" spans="1:39">
      <c r="A81" s="335">
        <v>90617</v>
      </c>
      <c r="B81" s="328" t="s">
        <v>770</v>
      </c>
      <c r="C81" s="239">
        <v>2.8600000000000001E-5</v>
      </c>
      <c r="E81" s="2">
        <v>16299</v>
      </c>
      <c r="F81" s="2">
        <v>6087</v>
      </c>
      <c r="G81" s="2">
        <v>8700</v>
      </c>
      <c r="H81" s="2">
        <v>2807</v>
      </c>
      <c r="I81" s="2">
        <v>0</v>
      </c>
      <c r="K81" s="2">
        <v>4284</v>
      </c>
      <c r="L81" s="2">
        <v>4030</v>
      </c>
      <c r="M81" s="2">
        <v>3612</v>
      </c>
      <c r="N81" s="2">
        <v>1446</v>
      </c>
      <c r="O81" s="2">
        <v>0</v>
      </c>
      <c r="Q81" s="2">
        <v>4549</v>
      </c>
      <c r="R81" s="2">
        <v>-3913</v>
      </c>
      <c r="S81" s="2">
        <v>551</v>
      </c>
      <c r="T81" s="2">
        <v>718</v>
      </c>
      <c r="U81" s="2">
        <v>0</v>
      </c>
      <c r="W81" s="2">
        <v>5124</v>
      </c>
      <c r="X81" s="2">
        <v>4198</v>
      </c>
      <c r="Y81" s="2">
        <v>3408</v>
      </c>
      <c r="Z81" s="2">
        <v>0</v>
      </c>
      <c r="AA81" s="2">
        <v>0</v>
      </c>
      <c r="AC81" s="2">
        <v>2342</v>
      </c>
      <c r="AD81" s="2">
        <v>1772</v>
      </c>
      <c r="AE81" s="2">
        <v>1129</v>
      </c>
      <c r="AF81" s="2">
        <v>643</v>
      </c>
      <c r="AG81" s="2">
        <v>0</v>
      </c>
      <c r="AI81" s="2">
        <v>0</v>
      </c>
      <c r="AJ81" s="2">
        <v>0</v>
      </c>
      <c r="AK81" s="2">
        <v>0</v>
      </c>
      <c r="AL81" s="2">
        <v>0</v>
      </c>
      <c r="AM81" s="2">
        <v>0</v>
      </c>
    </row>
    <row r="82" spans="1:39">
      <c r="A82" s="335">
        <v>90621</v>
      </c>
      <c r="B82" s="328" t="s">
        <v>771</v>
      </c>
      <c r="C82" s="239">
        <v>6.97E-5</v>
      </c>
      <c r="E82" s="2">
        <v>29825</v>
      </c>
      <c r="F82" s="2">
        <v>6978</v>
      </c>
      <c r="G82" s="2">
        <v>18315</v>
      </c>
      <c r="H82" s="2">
        <v>5826</v>
      </c>
      <c r="I82" s="2">
        <v>0</v>
      </c>
      <c r="K82" s="2">
        <v>10442</v>
      </c>
      <c r="L82" s="2">
        <v>9822</v>
      </c>
      <c r="M82" s="2">
        <v>8803</v>
      </c>
      <c r="N82" s="2">
        <v>3525</v>
      </c>
      <c r="O82" s="2">
        <v>0</v>
      </c>
      <c r="Q82" s="2">
        <v>11085</v>
      </c>
      <c r="R82" s="2">
        <v>-9535</v>
      </c>
      <c r="S82" s="2">
        <v>1344</v>
      </c>
      <c r="T82" s="2">
        <v>1749</v>
      </c>
      <c r="U82" s="2">
        <v>0</v>
      </c>
      <c r="W82" s="2">
        <v>12488</v>
      </c>
      <c r="X82" s="2">
        <v>10230</v>
      </c>
      <c r="Y82" s="2">
        <v>8305</v>
      </c>
      <c r="Z82" s="2">
        <v>0</v>
      </c>
      <c r="AA82" s="2">
        <v>0</v>
      </c>
      <c r="AC82" s="2">
        <v>552</v>
      </c>
      <c r="AD82" s="2">
        <v>552</v>
      </c>
      <c r="AE82" s="2">
        <v>552</v>
      </c>
      <c r="AF82" s="2">
        <v>552</v>
      </c>
      <c r="AG82" s="2">
        <v>0</v>
      </c>
      <c r="AI82" s="2">
        <v>-4742</v>
      </c>
      <c r="AJ82" s="2">
        <v>-4091</v>
      </c>
      <c r="AK82" s="2">
        <v>-689</v>
      </c>
      <c r="AL82" s="2">
        <v>0</v>
      </c>
      <c r="AM82" s="2">
        <v>0</v>
      </c>
    </row>
    <row r="83" spans="1:39">
      <c r="A83" s="335">
        <v>90631</v>
      </c>
      <c r="B83" s="328" t="s">
        <v>772</v>
      </c>
      <c r="C83" s="239">
        <v>3.6430000000000002E-4</v>
      </c>
      <c r="E83" s="2">
        <v>178815</v>
      </c>
      <c r="F83" s="2">
        <v>52312</v>
      </c>
      <c r="G83" s="2">
        <v>92417</v>
      </c>
      <c r="H83" s="2">
        <v>27591</v>
      </c>
      <c r="I83" s="2">
        <v>0</v>
      </c>
      <c r="K83" s="2">
        <v>54575</v>
      </c>
      <c r="L83" s="2">
        <v>51337</v>
      </c>
      <c r="M83" s="2">
        <v>46013</v>
      </c>
      <c r="N83" s="2">
        <v>18423</v>
      </c>
      <c r="O83" s="2">
        <v>0</v>
      </c>
      <c r="Q83" s="2">
        <v>57939</v>
      </c>
      <c r="R83" s="2">
        <v>-49838</v>
      </c>
      <c r="S83" s="2">
        <v>7024</v>
      </c>
      <c r="T83" s="2">
        <v>9142</v>
      </c>
      <c r="U83" s="2">
        <v>0</v>
      </c>
      <c r="W83" s="2">
        <v>65269</v>
      </c>
      <c r="X83" s="2">
        <v>53470</v>
      </c>
      <c r="Y83" s="2">
        <v>43409</v>
      </c>
      <c r="Z83" s="2">
        <v>0</v>
      </c>
      <c r="AA83" s="2">
        <v>0</v>
      </c>
      <c r="AC83" s="2">
        <v>5090</v>
      </c>
      <c r="AD83" s="2">
        <v>1401</v>
      </c>
      <c r="AE83" s="2">
        <v>27</v>
      </c>
      <c r="AF83" s="2">
        <v>26</v>
      </c>
      <c r="AG83" s="2">
        <v>0</v>
      </c>
      <c r="AI83" s="2">
        <v>-4058</v>
      </c>
      <c r="AJ83" s="2">
        <v>-4058</v>
      </c>
      <c r="AK83" s="2">
        <v>-4056</v>
      </c>
      <c r="AL83" s="2">
        <v>0</v>
      </c>
      <c r="AM83" s="2">
        <v>0</v>
      </c>
    </row>
    <row r="84" spans="1:39">
      <c r="A84" s="335">
        <v>90641</v>
      </c>
      <c r="B84" s="328" t="s">
        <v>773</v>
      </c>
      <c r="C84" s="239">
        <v>1.1800000000000001E-5</v>
      </c>
      <c r="E84" s="2">
        <v>5711</v>
      </c>
      <c r="F84" s="2">
        <v>1851</v>
      </c>
      <c r="G84" s="2">
        <v>3174</v>
      </c>
      <c r="H84" s="2">
        <v>921</v>
      </c>
      <c r="I84" s="2">
        <v>0</v>
      </c>
      <c r="K84" s="2">
        <v>1768</v>
      </c>
      <c r="L84" s="2">
        <v>1663</v>
      </c>
      <c r="M84" s="2">
        <v>1490</v>
      </c>
      <c r="N84" s="2">
        <v>597</v>
      </c>
      <c r="O84" s="2">
        <v>0</v>
      </c>
      <c r="Q84" s="2">
        <v>1877</v>
      </c>
      <c r="R84" s="2">
        <v>-1614</v>
      </c>
      <c r="S84" s="2">
        <v>228</v>
      </c>
      <c r="T84" s="2">
        <v>296</v>
      </c>
      <c r="U84" s="2">
        <v>0</v>
      </c>
      <c r="W84" s="2">
        <v>2114</v>
      </c>
      <c r="X84" s="2">
        <v>1732</v>
      </c>
      <c r="Y84" s="2">
        <v>1406</v>
      </c>
      <c r="Z84" s="2">
        <v>0</v>
      </c>
      <c r="AA84" s="2">
        <v>0</v>
      </c>
      <c r="AC84" s="2">
        <v>69</v>
      </c>
      <c r="AD84" s="2">
        <v>70</v>
      </c>
      <c r="AE84" s="2">
        <v>50</v>
      </c>
      <c r="AF84" s="2">
        <v>28</v>
      </c>
      <c r="AG84" s="2">
        <v>0</v>
      </c>
      <c r="AI84" s="2">
        <v>-117</v>
      </c>
      <c r="AJ84" s="2">
        <v>0</v>
      </c>
      <c r="AK84" s="2">
        <v>0</v>
      </c>
      <c r="AL84" s="2">
        <v>0</v>
      </c>
      <c r="AM84" s="2">
        <v>0</v>
      </c>
    </row>
    <row r="85" spans="1:39">
      <c r="A85" s="335">
        <v>90651</v>
      </c>
      <c r="B85" s="328" t="s">
        <v>774</v>
      </c>
      <c r="C85" s="239">
        <v>1.031E-4</v>
      </c>
      <c r="E85" s="2">
        <v>90545</v>
      </c>
      <c r="F85" s="2">
        <v>46023</v>
      </c>
      <c r="G85" s="2">
        <v>49143</v>
      </c>
      <c r="H85" s="2">
        <v>18386</v>
      </c>
      <c r="I85" s="2">
        <v>0</v>
      </c>
      <c r="K85" s="2">
        <v>15445</v>
      </c>
      <c r="L85" s="2">
        <v>14529</v>
      </c>
      <c r="M85" s="2">
        <v>13022</v>
      </c>
      <c r="N85" s="2">
        <v>5214</v>
      </c>
      <c r="O85" s="2">
        <v>0</v>
      </c>
      <c r="Q85" s="2">
        <v>16397</v>
      </c>
      <c r="R85" s="2">
        <v>-14105</v>
      </c>
      <c r="S85" s="2">
        <v>1988</v>
      </c>
      <c r="T85" s="2">
        <v>2587</v>
      </c>
      <c r="U85" s="2">
        <v>0</v>
      </c>
      <c r="W85" s="2">
        <v>18472</v>
      </c>
      <c r="X85" s="2">
        <v>15133</v>
      </c>
      <c r="Y85" s="2">
        <v>12285</v>
      </c>
      <c r="Z85" s="2">
        <v>0</v>
      </c>
      <c r="AA85" s="2">
        <v>0</v>
      </c>
      <c r="AC85" s="2">
        <v>40231</v>
      </c>
      <c r="AD85" s="2">
        <v>30466</v>
      </c>
      <c r="AE85" s="2">
        <v>21848</v>
      </c>
      <c r="AF85" s="2">
        <v>10585</v>
      </c>
      <c r="AG85" s="2">
        <v>0</v>
      </c>
      <c r="AI85" s="2">
        <v>0</v>
      </c>
      <c r="AJ85" s="2">
        <v>0</v>
      </c>
      <c r="AK85" s="2">
        <v>0</v>
      </c>
      <c r="AL85" s="2">
        <v>0</v>
      </c>
      <c r="AM85" s="2">
        <v>0</v>
      </c>
    </row>
    <row r="86" spans="1:39">
      <c r="A86" s="335">
        <v>90701</v>
      </c>
      <c r="B86" s="328" t="s">
        <v>775</v>
      </c>
      <c r="C86" s="239">
        <v>2.6227999999999998E-3</v>
      </c>
      <c r="E86" s="2">
        <v>1256451</v>
      </c>
      <c r="F86" s="2">
        <v>379965</v>
      </c>
      <c r="G86" s="2">
        <v>650327</v>
      </c>
      <c r="H86" s="2">
        <v>177023</v>
      </c>
      <c r="I86" s="2">
        <v>0</v>
      </c>
      <c r="K86" s="2">
        <v>392914</v>
      </c>
      <c r="L86" s="2">
        <v>369605</v>
      </c>
      <c r="M86" s="2">
        <v>331273</v>
      </c>
      <c r="N86" s="2">
        <v>132638</v>
      </c>
      <c r="O86" s="2">
        <v>0</v>
      </c>
      <c r="Q86" s="2">
        <v>417133</v>
      </c>
      <c r="R86" s="2">
        <v>-358812</v>
      </c>
      <c r="S86" s="2">
        <v>50570</v>
      </c>
      <c r="T86" s="2">
        <v>65817</v>
      </c>
      <c r="U86" s="2">
        <v>0</v>
      </c>
      <c r="W86" s="2">
        <v>469906</v>
      </c>
      <c r="X86" s="2">
        <v>384964</v>
      </c>
      <c r="Y86" s="2">
        <v>312525</v>
      </c>
      <c r="Z86" s="2">
        <v>0</v>
      </c>
      <c r="AA86" s="2">
        <v>0</v>
      </c>
      <c r="AC86" s="2">
        <v>28251</v>
      </c>
      <c r="AD86" s="2">
        <v>28249</v>
      </c>
      <c r="AE86" s="2">
        <v>0</v>
      </c>
      <c r="AF86" s="2">
        <v>0</v>
      </c>
      <c r="AG86" s="2">
        <v>0</v>
      </c>
      <c r="AI86" s="2">
        <v>-51753</v>
      </c>
      <c r="AJ86" s="2">
        <v>-44041</v>
      </c>
      <c r="AK86" s="2">
        <v>-44041</v>
      </c>
      <c r="AL86" s="2">
        <v>-21432</v>
      </c>
      <c r="AM86" s="2">
        <v>0</v>
      </c>
    </row>
    <row r="87" spans="1:39">
      <c r="A87" s="335">
        <v>90704</v>
      </c>
      <c r="B87" s="328" t="s">
        <v>776</v>
      </c>
      <c r="C87" s="239">
        <v>4.4299999999999999E-5</v>
      </c>
      <c r="E87" s="2">
        <v>30666</v>
      </c>
      <c r="F87" s="2">
        <v>14046</v>
      </c>
      <c r="G87" s="2">
        <v>17640</v>
      </c>
      <c r="H87" s="2">
        <v>7050</v>
      </c>
      <c r="I87" s="2">
        <v>0</v>
      </c>
      <c r="K87" s="2">
        <v>6636</v>
      </c>
      <c r="L87" s="2">
        <v>6243</v>
      </c>
      <c r="M87" s="2">
        <v>5595</v>
      </c>
      <c r="N87" s="2">
        <v>2240</v>
      </c>
      <c r="O87" s="2">
        <v>0</v>
      </c>
      <c r="Q87" s="2">
        <v>7046</v>
      </c>
      <c r="R87" s="2">
        <v>-6060</v>
      </c>
      <c r="S87" s="2">
        <v>854</v>
      </c>
      <c r="T87" s="2">
        <v>1112</v>
      </c>
      <c r="U87" s="2">
        <v>0</v>
      </c>
      <c r="W87" s="2">
        <v>7937</v>
      </c>
      <c r="X87" s="2">
        <v>6502</v>
      </c>
      <c r="Y87" s="2">
        <v>5279</v>
      </c>
      <c r="Z87" s="2">
        <v>0</v>
      </c>
      <c r="AA87" s="2">
        <v>0</v>
      </c>
      <c r="AC87" s="2">
        <v>9047</v>
      </c>
      <c r="AD87" s="2">
        <v>7361</v>
      </c>
      <c r="AE87" s="2">
        <v>5912</v>
      </c>
      <c r="AF87" s="2">
        <v>3698</v>
      </c>
      <c r="AG87" s="2">
        <v>0</v>
      </c>
      <c r="AI87" s="2">
        <v>0</v>
      </c>
      <c r="AJ87" s="2">
        <v>0</v>
      </c>
      <c r="AK87" s="2">
        <v>0</v>
      </c>
      <c r="AL87" s="2">
        <v>0</v>
      </c>
      <c r="AM87" s="2">
        <v>0</v>
      </c>
    </row>
    <row r="88" spans="1:39">
      <c r="A88" s="335">
        <v>90705</v>
      </c>
      <c r="B88" s="328" t="s">
        <v>777</v>
      </c>
      <c r="C88" s="239">
        <v>4.1199999999999999E-5</v>
      </c>
      <c r="E88" s="2">
        <v>24227</v>
      </c>
      <c r="F88" s="2">
        <v>9283</v>
      </c>
      <c r="G88" s="2">
        <v>11017</v>
      </c>
      <c r="H88" s="2">
        <v>5090</v>
      </c>
      <c r="I88" s="2">
        <v>0</v>
      </c>
      <c r="K88" s="2">
        <v>6172</v>
      </c>
      <c r="L88" s="2">
        <v>5806</v>
      </c>
      <c r="M88" s="2">
        <v>5204</v>
      </c>
      <c r="N88" s="2">
        <v>2084</v>
      </c>
      <c r="O88" s="2">
        <v>0</v>
      </c>
      <c r="Q88" s="2">
        <v>6552</v>
      </c>
      <c r="R88" s="2">
        <v>-5636</v>
      </c>
      <c r="S88" s="2">
        <v>794</v>
      </c>
      <c r="T88" s="2">
        <v>1034</v>
      </c>
      <c r="U88" s="2">
        <v>0</v>
      </c>
      <c r="W88" s="2">
        <v>7381</v>
      </c>
      <c r="X88" s="2">
        <v>6047</v>
      </c>
      <c r="Y88" s="2">
        <v>4909</v>
      </c>
      <c r="Z88" s="2">
        <v>0</v>
      </c>
      <c r="AA88" s="2">
        <v>0</v>
      </c>
      <c r="AC88" s="2">
        <v>5982</v>
      </c>
      <c r="AD88" s="2">
        <v>4926</v>
      </c>
      <c r="AE88" s="2">
        <v>1970</v>
      </c>
      <c r="AF88" s="2">
        <v>1972</v>
      </c>
      <c r="AG88" s="2">
        <v>0</v>
      </c>
      <c r="AI88" s="2">
        <v>-1860</v>
      </c>
      <c r="AJ88" s="2">
        <v>-1860</v>
      </c>
      <c r="AK88" s="2">
        <v>-1860</v>
      </c>
      <c r="AL88" s="2">
        <v>0</v>
      </c>
      <c r="AM88" s="2">
        <v>0</v>
      </c>
    </row>
    <row r="89" spans="1:39">
      <c r="A89" s="335">
        <v>90709</v>
      </c>
      <c r="B89" s="328" t="s">
        <v>778</v>
      </c>
      <c r="C89" s="239">
        <v>1.474E-4</v>
      </c>
      <c r="E89" s="2">
        <v>66719</v>
      </c>
      <c r="F89" s="2">
        <v>25854</v>
      </c>
      <c r="G89" s="2">
        <v>45124</v>
      </c>
      <c r="H89" s="2">
        <v>7485</v>
      </c>
      <c r="I89" s="2">
        <v>0</v>
      </c>
      <c r="K89" s="2">
        <v>22082</v>
      </c>
      <c r="L89" s="2">
        <v>20772</v>
      </c>
      <c r="M89" s="2">
        <v>18617</v>
      </c>
      <c r="N89" s="2">
        <v>7454</v>
      </c>
      <c r="O89" s="2">
        <v>0</v>
      </c>
      <c r="Q89" s="2">
        <v>23443</v>
      </c>
      <c r="R89" s="2">
        <v>-20165</v>
      </c>
      <c r="S89" s="2">
        <v>2842</v>
      </c>
      <c r="T89" s="2">
        <v>3699</v>
      </c>
      <c r="U89" s="2">
        <v>0</v>
      </c>
      <c r="W89" s="2">
        <v>26408</v>
      </c>
      <c r="X89" s="2">
        <v>21635</v>
      </c>
      <c r="Y89" s="2">
        <v>17564</v>
      </c>
      <c r="Z89" s="2">
        <v>0</v>
      </c>
      <c r="AA89" s="2">
        <v>0</v>
      </c>
      <c r="AC89" s="2">
        <v>9771</v>
      </c>
      <c r="AD89" s="2">
        <v>9771</v>
      </c>
      <c r="AE89" s="2">
        <v>9769</v>
      </c>
      <c r="AF89" s="2">
        <v>0</v>
      </c>
      <c r="AG89" s="2">
        <v>0</v>
      </c>
      <c r="AI89" s="2">
        <v>-14985</v>
      </c>
      <c r="AJ89" s="2">
        <v>-6159</v>
      </c>
      <c r="AK89" s="2">
        <v>-3668</v>
      </c>
      <c r="AL89" s="2">
        <v>-3668</v>
      </c>
      <c r="AM89" s="2">
        <v>0</v>
      </c>
    </row>
    <row r="90" spans="1:39">
      <c r="A90" s="335">
        <v>90711</v>
      </c>
      <c r="B90" s="328" t="s">
        <v>779</v>
      </c>
      <c r="C90" s="239">
        <v>1.5481E-3</v>
      </c>
      <c r="E90" s="2">
        <v>693215</v>
      </c>
      <c r="F90" s="2">
        <v>197255</v>
      </c>
      <c r="G90" s="2">
        <v>380743</v>
      </c>
      <c r="H90" s="2">
        <v>103111</v>
      </c>
      <c r="I90" s="2">
        <v>0</v>
      </c>
      <c r="K90" s="2">
        <v>231916</v>
      </c>
      <c r="L90" s="2">
        <v>218158</v>
      </c>
      <c r="M90" s="2">
        <v>195533</v>
      </c>
      <c r="N90" s="2">
        <v>78289</v>
      </c>
      <c r="O90" s="2">
        <v>0</v>
      </c>
      <c r="Q90" s="2">
        <v>246211</v>
      </c>
      <c r="R90" s="2">
        <v>-211788</v>
      </c>
      <c r="S90" s="2">
        <v>29849</v>
      </c>
      <c r="T90" s="2">
        <v>38848</v>
      </c>
      <c r="U90" s="2">
        <v>0</v>
      </c>
      <c r="W90" s="2">
        <v>277361</v>
      </c>
      <c r="X90" s="2">
        <v>227224</v>
      </c>
      <c r="Y90" s="2">
        <v>184467</v>
      </c>
      <c r="Z90" s="2">
        <v>0</v>
      </c>
      <c r="AA90" s="2">
        <v>0</v>
      </c>
      <c r="AC90" s="2">
        <v>0</v>
      </c>
      <c r="AD90" s="2">
        <v>0</v>
      </c>
      <c r="AE90" s="2">
        <v>0</v>
      </c>
      <c r="AF90" s="2">
        <v>0</v>
      </c>
      <c r="AG90" s="2">
        <v>0</v>
      </c>
      <c r="AI90" s="2">
        <v>-62273</v>
      </c>
      <c r="AJ90" s="2">
        <v>-36339</v>
      </c>
      <c r="AK90" s="2">
        <v>-29106</v>
      </c>
      <c r="AL90" s="2">
        <v>-14026</v>
      </c>
      <c r="AM90" s="2">
        <v>0</v>
      </c>
    </row>
    <row r="91" spans="1:39">
      <c r="A91" s="335">
        <v>90721</v>
      </c>
      <c r="B91" s="328" t="s">
        <v>780</v>
      </c>
      <c r="C91" s="239">
        <v>2.1399999999999998E-5</v>
      </c>
      <c r="E91" s="2">
        <v>8174</v>
      </c>
      <c r="F91" s="2">
        <v>1209</v>
      </c>
      <c r="G91" s="2">
        <v>4672</v>
      </c>
      <c r="H91" s="2">
        <v>573</v>
      </c>
      <c r="I91" s="2">
        <v>0</v>
      </c>
      <c r="K91" s="2">
        <v>3206</v>
      </c>
      <c r="L91" s="2">
        <v>3016</v>
      </c>
      <c r="M91" s="2">
        <v>2703</v>
      </c>
      <c r="N91" s="2">
        <v>1082</v>
      </c>
      <c r="O91" s="2">
        <v>0</v>
      </c>
      <c r="Q91" s="2">
        <v>3403</v>
      </c>
      <c r="R91" s="2">
        <v>-2928</v>
      </c>
      <c r="S91" s="2">
        <v>413</v>
      </c>
      <c r="T91" s="2">
        <v>537</v>
      </c>
      <c r="U91" s="2">
        <v>0</v>
      </c>
      <c r="W91" s="2">
        <v>3834</v>
      </c>
      <c r="X91" s="2">
        <v>3141</v>
      </c>
      <c r="Y91" s="2">
        <v>2550</v>
      </c>
      <c r="Z91" s="2">
        <v>0</v>
      </c>
      <c r="AA91" s="2">
        <v>0</v>
      </c>
      <c r="AC91" s="2">
        <v>53</v>
      </c>
      <c r="AD91" s="2">
        <v>53</v>
      </c>
      <c r="AE91" s="2">
        <v>51</v>
      </c>
      <c r="AF91" s="2">
        <v>0</v>
      </c>
      <c r="AG91" s="2">
        <v>0</v>
      </c>
      <c r="AI91" s="2">
        <v>-2322</v>
      </c>
      <c r="AJ91" s="2">
        <v>-2073</v>
      </c>
      <c r="AK91" s="2">
        <v>-1045</v>
      </c>
      <c r="AL91" s="2">
        <v>-1046</v>
      </c>
      <c r="AM91" s="2">
        <v>0</v>
      </c>
    </row>
    <row r="92" spans="1:39">
      <c r="A92" s="335">
        <v>90731</v>
      </c>
      <c r="B92" s="328" t="s">
        <v>781</v>
      </c>
      <c r="C92" s="239">
        <v>1.384E-4</v>
      </c>
      <c r="E92" s="2">
        <v>60432</v>
      </c>
      <c r="F92" s="2">
        <v>14437</v>
      </c>
      <c r="G92" s="2">
        <v>33222</v>
      </c>
      <c r="H92" s="2">
        <v>10291</v>
      </c>
      <c r="I92" s="2">
        <v>0</v>
      </c>
      <c r="K92" s="2">
        <v>20733</v>
      </c>
      <c r="L92" s="2">
        <v>19503</v>
      </c>
      <c r="M92" s="2">
        <v>17481</v>
      </c>
      <c r="N92" s="2">
        <v>6999</v>
      </c>
      <c r="O92" s="2">
        <v>0</v>
      </c>
      <c r="Q92" s="2">
        <v>22011</v>
      </c>
      <c r="R92" s="2">
        <v>-18934</v>
      </c>
      <c r="S92" s="2">
        <v>2668</v>
      </c>
      <c r="T92" s="2">
        <v>3473</v>
      </c>
      <c r="U92" s="2">
        <v>0</v>
      </c>
      <c r="W92" s="2">
        <v>24796</v>
      </c>
      <c r="X92" s="2">
        <v>20314</v>
      </c>
      <c r="Y92" s="2">
        <v>16491</v>
      </c>
      <c r="Z92" s="2">
        <v>0</v>
      </c>
      <c r="AA92" s="2">
        <v>0</v>
      </c>
      <c r="AC92" s="2">
        <v>0</v>
      </c>
      <c r="AD92" s="2">
        <v>0</v>
      </c>
      <c r="AE92" s="2">
        <v>0</v>
      </c>
      <c r="AF92" s="2">
        <v>0</v>
      </c>
      <c r="AG92" s="2">
        <v>0</v>
      </c>
      <c r="AI92" s="2">
        <v>-7108</v>
      </c>
      <c r="AJ92" s="2">
        <v>-6446</v>
      </c>
      <c r="AK92" s="2">
        <v>-3418</v>
      </c>
      <c r="AL92" s="2">
        <v>-181</v>
      </c>
      <c r="AM92" s="2">
        <v>0</v>
      </c>
    </row>
    <row r="93" spans="1:39">
      <c r="A93" s="335">
        <v>90741</v>
      </c>
      <c r="B93" s="328" t="s">
        <v>782</v>
      </c>
      <c r="C93" s="239">
        <v>1.38E-5</v>
      </c>
      <c r="E93" s="2">
        <v>7667</v>
      </c>
      <c r="F93" s="2">
        <v>2788</v>
      </c>
      <c r="G93" s="2">
        <v>4408</v>
      </c>
      <c r="H93" s="2">
        <v>797</v>
      </c>
      <c r="I93" s="2">
        <v>0</v>
      </c>
      <c r="K93" s="2">
        <v>2067</v>
      </c>
      <c r="L93" s="2">
        <v>1945</v>
      </c>
      <c r="M93" s="2">
        <v>1743</v>
      </c>
      <c r="N93" s="2">
        <v>698</v>
      </c>
      <c r="O93" s="2">
        <v>0</v>
      </c>
      <c r="Q93" s="2">
        <v>2195</v>
      </c>
      <c r="R93" s="2">
        <v>-1888</v>
      </c>
      <c r="S93" s="2">
        <v>266</v>
      </c>
      <c r="T93" s="2">
        <v>346</v>
      </c>
      <c r="U93" s="2">
        <v>0</v>
      </c>
      <c r="W93" s="2">
        <v>2472</v>
      </c>
      <c r="X93" s="2">
        <v>2026</v>
      </c>
      <c r="Y93" s="2">
        <v>1644</v>
      </c>
      <c r="Z93" s="2">
        <v>0</v>
      </c>
      <c r="AA93" s="2">
        <v>0</v>
      </c>
      <c r="AC93" s="2">
        <v>1232</v>
      </c>
      <c r="AD93" s="2">
        <v>1003</v>
      </c>
      <c r="AE93" s="2">
        <v>1002</v>
      </c>
      <c r="AF93" s="2">
        <v>0</v>
      </c>
      <c r="AG93" s="2">
        <v>0</v>
      </c>
      <c r="AI93" s="2">
        <v>-299</v>
      </c>
      <c r="AJ93" s="2">
        <v>-298</v>
      </c>
      <c r="AK93" s="2">
        <v>-247</v>
      </c>
      <c r="AL93" s="2">
        <v>-247</v>
      </c>
      <c r="AM93" s="2">
        <v>0</v>
      </c>
    </row>
    <row r="94" spans="1:39">
      <c r="A94" s="335">
        <v>90751</v>
      </c>
      <c r="B94" s="328" t="s">
        <v>783</v>
      </c>
      <c r="C94" s="239">
        <v>6.3E-5</v>
      </c>
      <c r="E94" s="2">
        <v>27048</v>
      </c>
      <c r="F94" s="2">
        <v>5759</v>
      </c>
      <c r="G94" s="2">
        <v>13203</v>
      </c>
      <c r="H94" s="2">
        <v>673</v>
      </c>
      <c r="I94" s="2">
        <v>0</v>
      </c>
      <c r="K94" s="2">
        <v>9438</v>
      </c>
      <c r="L94" s="2">
        <v>8878</v>
      </c>
      <c r="M94" s="2">
        <v>7957</v>
      </c>
      <c r="N94" s="2">
        <v>3186</v>
      </c>
      <c r="O94" s="2">
        <v>0</v>
      </c>
      <c r="Q94" s="2">
        <v>10020</v>
      </c>
      <c r="R94" s="2">
        <v>-8619</v>
      </c>
      <c r="S94" s="2">
        <v>1215</v>
      </c>
      <c r="T94" s="2">
        <v>1581</v>
      </c>
      <c r="U94" s="2">
        <v>0</v>
      </c>
      <c r="W94" s="2">
        <v>11287</v>
      </c>
      <c r="X94" s="2">
        <v>9247</v>
      </c>
      <c r="Y94" s="2">
        <v>7507</v>
      </c>
      <c r="Z94" s="2">
        <v>0</v>
      </c>
      <c r="AA94" s="2">
        <v>0</v>
      </c>
      <c r="AC94" s="2">
        <v>667</v>
      </c>
      <c r="AD94" s="2">
        <v>617</v>
      </c>
      <c r="AE94" s="2">
        <v>618</v>
      </c>
      <c r="AF94" s="2">
        <v>0</v>
      </c>
      <c r="AG94" s="2">
        <v>0</v>
      </c>
      <c r="AI94" s="2">
        <v>-4364</v>
      </c>
      <c r="AJ94" s="2">
        <v>-4364</v>
      </c>
      <c r="AK94" s="2">
        <v>-4094</v>
      </c>
      <c r="AL94" s="2">
        <v>-4094</v>
      </c>
      <c r="AM94" s="2">
        <v>0</v>
      </c>
    </row>
    <row r="95" spans="1:39">
      <c r="A95" s="335">
        <v>90801</v>
      </c>
      <c r="B95" s="328" t="s">
        <v>784</v>
      </c>
      <c r="C95" s="239">
        <v>1.2669999999999999E-3</v>
      </c>
      <c r="E95" s="2">
        <v>595969</v>
      </c>
      <c r="F95" s="2">
        <v>162192</v>
      </c>
      <c r="G95" s="2">
        <v>294335</v>
      </c>
      <c r="H95" s="2">
        <v>67390</v>
      </c>
      <c r="I95" s="2">
        <v>0</v>
      </c>
      <c r="K95" s="2">
        <v>189805</v>
      </c>
      <c r="L95" s="2">
        <v>178546</v>
      </c>
      <c r="M95" s="2">
        <v>160028</v>
      </c>
      <c r="N95" s="2">
        <v>64073</v>
      </c>
      <c r="O95" s="2">
        <v>0</v>
      </c>
      <c r="Q95" s="2">
        <v>201505</v>
      </c>
      <c r="R95" s="2">
        <v>-173332</v>
      </c>
      <c r="S95" s="2">
        <v>24429</v>
      </c>
      <c r="T95" s="2">
        <v>31794</v>
      </c>
      <c r="U95" s="2">
        <v>0</v>
      </c>
      <c r="W95" s="2">
        <v>226998</v>
      </c>
      <c r="X95" s="2">
        <v>185965</v>
      </c>
      <c r="Y95" s="2">
        <v>150972</v>
      </c>
      <c r="Z95" s="2">
        <v>0</v>
      </c>
      <c r="AA95" s="2">
        <v>0</v>
      </c>
      <c r="AC95" s="2">
        <v>18755</v>
      </c>
      <c r="AD95" s="2">
        <v>12107</v>
      </c>
      <c r="AE95" s="2">
        <v>0</v>
      </c>
      <c r="AF95" s="2">
        <v>0</v>
      </c>
      <c r="AG95" s="2">
        <v>0</v>
      </c>
      <c r="AI95" s="2">
        <v>-41094</v>
      </c>
      <c r="AJ95" s="2">
        <v>-41094</v>
      </c>
      <c r="AK95" s="2">
        <v>-41094</v>
      </c>
      <c r="AL95" s="2">
        <v>-28477</v>
      </c>
      <c r="AM95" s="2">
        <v>0</v>
      </c>
    </row>
    <row r="96" spans="1:39">
      <c r="A96" s="335">
        <v>90804</v>
      </c>
      <c r="B96" s="328" t="s">
        <v>785</v>
      </c>
      <c r="C96" s="239">
        <v>5.5999999999999997E-6</v>
      </c>
      <c r="E96" s="2">
        <v>2775</v>
      </c>
      <c r="F96" s="2">
        <v>724</v>
      </c>
      <c r="G96" s="2">
        <v>1349</v>
      </c>
      <c r="H96" s="2">
        <v>346</v>
      </c>
      <c r="I96" s="2">
        <v>0</v>
      </c>
      <c r="K96" s="2">
        <v>839</v>
      </c>
      <c r="L96" s="2">
        <v>789</v>
      </c>
      <c r="M96" s="2">
        <v>707</v>
      </c>
      <c r="N96" s="2">
        <v>283</v>
      </c>
      <c r="O96" s="2">
        <v>0</v>
      </c>
      <c r="Q96" s="2">
        <v>891</v>
      </c>
      <c r="R96" s="2">
        <v>-766</v>
      </c>
      <c r="S96" s="2">
        <v>108</v>
      </c>
      <c r="T96" s="2">
        <v>141</v>
      </c>
      <c r="U96" s="2">
        <v>0</v>
      </c>
      <c r="W96" s="2">
        <v>1003</v>
      </c>
      <c r="X96" s="2">
        <v>822</v>
      </c>
      <c r="Y96" s="2">
        <v>667</v>
      </c>
      <c r="Z96" s="2">
        <v>0</v>
      </c>
      <c r="AA96" s="2">
        <v>0</v>
      </c>
      <c r="AC96" s="2">
        <v>176</v>
      </c>
      <c r="AD96" s="2">
        <v>13</v>
      </c>
      <c r="AE96" s="2">
        <v>0</v>
      </c>
      <c r="AF96" s="2">
        <v>0</v>
      </c>
      <c r="AG96" s="2">
        <v>0</v>
      </c>
      <c r="AI96" s="2">
        <v>-134</v>
      </c>
      <c r="AJ96" s="2">
        <v>-134</v>
      </c>
      <c r="AK96" s="2">
        <v>-133</v>
      </c>
      <c r="AL96" s="2">
        <v>-78</v>
      </c>
      <c r="AM96" s="2">
        <v>0</v>
      </c>
    </row>
    <row r="97" spans="1:39">
      <c r="A97" s="335">
        <v>90805</v>
      </c>
      <c r="B97" s="328" t="s">
        <v>786</v>
      </c>
      <c r="C97" s="239">
        <v>6.5900000000000003E-5</v>
      </c>
      <c r="E97" s="2">
        <v>42449</v>
      </c>
      <c r="F97" s="2">
        <v>17897</v>
      </c>
      <c r="G97" s="2">
        <v>23576</v>
      </c>
      <c r="H97" s="2">
        <v>6830</v>
      </c>
      <c r="I97" s="2">
        <v>0</v>
      </c>
      <c r="K97" s="2">
        <v>9872</v>
      </c>
      <c r="L97" s="2">
        <v>9287</v>
      </c>
      <c r="M97" s="2">
        <v>8323</v>
      </c>
      <c r="N97" s="2">
        <v>3333</v>
      </c>
      <c r="O97" s="2">
        <v>0</v>
      </c>
      <c r="Q97" s="2">
        <v>10481</v>
      </c>
      <c r="R97" s="2">
        <v>-9015</v>
      </c>
      <c r="S97" s="2">
        <v>1271</v>
      </c>
      <c r="T97" s="2">
        <v>1654</v>
      </c>
      <c r="U97" s="2">
        <v>0</v>
      </c>
      <c r="W97" s="2">
        <v>11807</v>
      </c>
      <c r="X97" s="2">
        <v>9673</v>
      </c>
      <c r="Y97" s="2">
        <v>7852</v>
      </c>
      <c r="Z97" s="2">
        <v>0</v>
      </c>
      <c r="AA97" s="2">
        <v>0</v>
      </c>
      <c r="AC97" s="2">
        <v>10289</v>
      </c>
      <c r="AD97" s="2">
        <v>7952</v>
      </c>
      <c r="AE97" s="2">
        <v>6130</v>
      </c>
      <c r="AF97" s="2">
        <v>1843</v>
      </c>
      <c r="AG97" s="2">
        <v>0</v>
      </c>
      <c r="AI97" s="2">
        <v>0</v>
      </c>
      <c r="AJ97" s="2">
        <v>0</v>
      </c>
      <c r="AK97" s="2">
        <v>0</v>
      </c>
      <c r="AL97" s="2">
        <v>0</v>
      </c>
      <c r="AM97" s="2">
        <v>0</v>
      </c>
    </row>
    <row r="98" spans="1:39">
      <c r="A98" s="335">
        <v>90808</v>
      </c>
      <c r="B98" s="328" t="s">
        <v>3663</v>
      </c>
      <c r="C98" s="239">
        <v>1.395E-4</v>
      </c>
      <c r="E98" s="2">
        <v>78165</v>
      </c>
      <c r="F98" s="2">
        <v>31623</v>
      </c>
      <c r="G98" s="2">
        <v>46314</v>
      </c>
      <c r="H98" s="2">
        <v>20010</v>
      </c>
      <c r="I98" s="2">
        <v>0</v>
      </c>
      <c r="K98" s="2">
        <v>20898</v>
      </c>
      <c r="L98" s="2">
        <v>19658</v>
      </c>
      <c r="M98" s="2">
        <v>17620</v>
      </c>
      <c r="N98" s="2">
        <v>7055</v>
      </c>
      <c r="O98" s="2">
        <v>0</v>
      </c>
      <c r="Q98" s="2">
        <v>22186</v>
      </c>
      <c r="R98" s="2">
        <v>-19084</v>
      </c>
      <c r="S98" s="2">
        <v>2690</v>
      </c>
      <c r="T98" s="2">
        <v>3501</v>
      </c>
      <c r="U98" s="2">
        <v>0</v>
      </c>
      <c r="W98" s="2">
        <v>24993</v>
      </c>
      <c r="X98" s="2">
        <v>20475</v>
      </c>
      <c r="Y98" s="2">
        <v>16622</v>
      </c>
      <c r="Z98" s="2">
        <v>0</v>
      </c>
      <c r="AA98" s="2">
        <v>0</v>
      </c>
      <c r="AC98" s="2">
        <v>10645</v>
      </c>
      <c r="AD98" s="2">
        <v>10646</v>
      </c>
      <c r="AE98" s="2">
        <v>9455</v>
      </c>
      <c r="AF98" s="2">
        <v>9454</v>
      </c>
      <c r="AG98" s="2">
        <v>0</v>
      </c>
      <c r="AI98" s="2">
        <v>-557</v>
      </c>
      <c r="AJ98" s="2">
        <v>-72</v>
      </c>
      <c r="AK98" s="2">
        <v>-73</v>
      </c>
      <c r="AL98" s="2">
        <v>0</v>
      </c>
      <c r="AM98" s="2">
        <v>0</v>
      </c>
    </row>
    <row r="99" spans="1:39">
      <c r="A99" s="335">
        <v>90811</v>
      </c>
      <c r="B99" s="328" t="s">
        <v>788</v>
      </c>
      <c r="C99" s="239">
        <v>3.4900000000000001E-5</v>
      </c>
      <c r="E99" s="2">
        <v>13245</v>
      </c>
      <c r="F99" s="2">
        <v>1797</v>
      </c>
      <c r="G99" s="2">
        <v>7596</v>
      </c>
      <c r="H99" s="2">
        <v>1709</v>
      </c>
      <c r="I99" s="2">
        <v>0</v>
      </c>
      <c r="K99" s="2">
        <v>5228</v>
      </c>
      <c r="L99" s="2">
        <v>4918</v>
      </c>
      <c r="M99" s="2">
        <v>4408</v>
      </c>
      <c r="N99" s="2">
        <v>1765</v>
      </c>
      <c r="O99" s="2">
        <v>0</v>
      </c>
      <c r="Q99" s="2">
        <v>5551</v>
      </c>
      <c r="R99" s="2">
        <v>-4774</v>
      </c>
      <c r="S99" s="2">
        <v>673</v>
      </c>
      <c r="T99" s="2">
        <v>876</v>
      </c>
      <c r="U99" s="2">
        <v>0</v>
      </c>
      <c r="W99" s="2">
        <v>6253</v>
      </c>
      <c r="X99" s="2">
        <v>5122</v>
      </c>
      <c r="Y99" s="2">
        <v>4159</v>
      </c>
      <c r="Z99" s="2">
        <v>0</v>
      </c>
      <c r="AA99" s="2">
        <v>0</v>
      </c>
      <c r="AC99" s="2">
        <v>0</v>
      </c>
      <c r="AD99" s="2">
        <v>0</v>
      </c>
      <c r="AE99" s="2">
        <v>0</v>
      </c>
      <c r="AF99" s="2">
        <v>0</v>
      </c>
      <c r="AG99" s="2">
        <v>0</v>
      </c>
      <c r="AI99" s="2">
        <v>-3787</v>
      </c>
      <c r="AJ99" s="2">
        <v>-3469</v>
      </c>
      <c r="AK99" s="2">
        <v>-1644</v>
      </c>
      <c r="AL99" s="2">
        <v>-932</v>
      </c>
      <c r="AM99" s="2">
        <v>0</v>
      </c>
    </row>
    <row r="100" spans="1:39">
      <c r="A100" s="335">
        <v>90812</v>
      </c>
      <c r="B100" s="328" t="s">
        <v>789</v>
      </c>
      <c r="C100" s="239">
        <v>2.2100000000000001E-4</v>
      </c>
      <c r="E100" s="2">
        <v>104833</v>
      </c>
      <c r="F100" s="2">
        <v>33501</v>
      </c>
      <c r="G100" s="2">
        <v>56000</v>
      </c>
      <c r="H100" s="2">
        <v>15349</v>
      </c>
      <c r="I100" s="2">
        <v>0</v>
      </c>
      <c r="K100" s="2">
        <v>33107</v>
      </c>
      <c r="L100" s="2">
        <v>31143</v>
      </c>
      <c r="M100" s="2">
        <v>27913</v>
      </c>
      <c r="N100" s="2">
        <v>11176</v>
      </c>
      <c r="O100" s="2">
        <v>0</v>
      </c>
      <c r="Q100" s="2">
        <v>35148</v>
      </c>
      <c r="R100" s="2">
        <v>-30234</v>
      </c>
      <c r="S100" s="2">
        <v>4261</v>
      </c>
      <c r="T100" s="2">
        <v>5546</v>
      </c>
      <c r="U100" s="2">
        <v>0</v>
      </c>
      <c r="W100" s="2">
        <v>39595</v>
      </c>
      <c r="X100" s="2">
        <v>32437</v>
      </c>
      <c r="Y100" s="2">
        <v>26334</v>
      </c>
      <c r="Z100" s="2">
        <v>0</v>
      </c>
      <c r="AA100" s="2">
        <v>0</v>
      </c>
      <c r="AC100" s="2">
        <v>2664</v>
      </c>
      <c r="AD100" s="2">
        <v>2663</v>
      </c>
      <c r="AE100" s="2">
        <v>0</v>
      </c>
      <c r="AF100" s="2">
        <v>0</v>
      </c>
      <c r="AG100" s="2">
        <v>0</v>
      </c>
      <c r="AI100" s="2">
        <v>-5681</v>
      </c>
      <c r="AJ100" s="2">
        <v>-2508</v>
      </c>
      <c r="AK100" s="2">
        <v>-2508</v>
      </c>
      <c r="AL100" s="2">
        <v>-1373</v>
      </c>
      <c r="AM100" s="2">
        <v>0</v>
      </c>
    </row>
    <row r="101" spans="1:39">
      <c r="A101" s="335">
        <v>90813</v>
      </c>
      <c r="B101" s="328" t="s">
        <v>790</v>
      </c>
      <c r="C101" s="239">
        <v>4.6E-6</v>
      </c>
      <c r="E101" s="2">
        <v>1858</v>
      </c>
      <c r="F101" s="2">
        <v>368</v>
      </c>
      <c r="G101" s="2">
        <v>998</v>
      </c>
      <c r="H101" s="2">
        <v>232</v>
      </c>
      <c r="I101" s="2">
        <v>0</v>
      </c>
      <c r="K101" s="2">
        <v>689</v>
      </c>
      <c r="L101" s="2">
        <v>648</v>
      </c>
      <c r="M101" s="2">
        <v>581</v>
      </c>
      <c r="N101" s="2">
        <v>233</v>
      </c>
      <c r="O101" s="2">
        <v>0</v>
      </c>
      <c r="Q101" s="2">
        <v>732</v>
      </c>
      <c r="R101" s="2">
        <v>-629</v>
      </c>
      <c r="S101" s="2">
        <v>89</v>
      </c>
      <c r="T101" s="2">
        <v>115</v>
      </c>
      <c r="U101" s="2">
        <v>0</v>
      </c>
      <c r="W101" s="2">
        <v>824</v>
      </c>
      <c r="X101" s="2">
        <v>675</v>
      </c>
      <c r="Y101" s="2">
        <v>548</v>
      </c>
      <c r="Z101" s="2">
        <v>0</v>
      </c>
      <c r="AA101" s="2">
        <v>0</v>
      </c>
      <c r="AC101" s="2">
        <v>0</v>
      </c>
      <c r="AD101" s="2">
        <v>0</v>
      </c>
      <c r="AE101" s="2">
        <v>0</v>
      </c>
      <c r="AF101" s="2">
        <v>0</v>
      </c>
      <c r="AG101" s="2">
        <v>0</v>
      </c>
      <c r="AI101" s="2">
        <v>-387</v>
      </c>
      <c r="AJ101" s="2">
        <v>-326</v>
      </c>
      <c r="AK101" s="2">
        <v>-220</v>
      </c>
      <c r="AL101" s="2">
        <v>-116</v>
      </c>
      <c r="AM101" s="2">
        <v>0</v>
      </c>
    </row>
    <row r="102" spans="1:39">
      <c r="A102" s="335">
        <v>90861</v>
      </c>
      <c r="B102" s="328" t="s">
        <v>791</v>
      </c>
      <c r="C102" s="239">
        <v>8.4999999999999999E-6</v>
      </c>
      <c r="E102" s="2">
        <v>6620</v>
      </c>
      <c r="F102" s="2">
        <v>3546</v>
      </c>
      <c r="G102" s="2">
        <v>4257</v>
      </c>
      <c r="H102" s="2">
        <v>1492</v>
      </c>
      <c r="I102" s="2">
        <v>0</v>
      </c>
      <c r="K102" s="2">
        <v>1273</v>
      </c>
      <c r="L102" s="2">
        <v>1198</v>
      </c>
      <c r="M102" s="2">
        <v>1074</v>
      </c>
      <c r="N102" s="2">
        <v>430</v>
      </c>
      <c r="O102" s="2">
        <v>0</v>
      </c>
      <c r="Q102" s="2">
        <v>1352</v>
      </c>
      <c r="R102" s="2">
        <v>-1163</v>
      </c>
      <c r="S102" s="2">
        <v>164</v>
      </c>
      <c r="T102" s="2">
        <v>213</v>
      </c>
      <c r="U102" s="2">
        <v>0</v>
      </c>
      <c r="W102" s="2">
        <v>1523</v>
      </c>
      <c r="X102" s="2">
        <v>1248</v>
      </c>
      <c r="Y102" s="2">
        <v>1013</v>
      </c>
      <c r="Z102" s="2">
        <v>0</v>
      </c>
      <c r="AA102" s="2">
        <v>0</v>
      </c>
      <c r="AC102" s="2">
        <v>2472</v>
      </c>
      <c r="AD102" s="2">
        <v>2263</v>
      </c>
      <c r="AE102" s="2">
        <v>2006</v>
      </c>
      <c r="AF102" s="2">
        <v>849</v>
      </c>
      <c r="AG102" s="2">
        <v>0</v>
      </c>
      <c r="AI102" s="2">
        <v>0</v>
      </c>
      <c r="AJ102" s="2">
        <v>0</v>
      </c>
      <c r="AK102" s="2">
        <v>0</v>
      </c>
      <c r="AL102" s="2">
        <v>0</v>
      </c>
      <c r="AM102" s="2">
        <v>0</v>
      </c>
    </row>
    <row r="103" spans="1:39">
      <c r="A103" s="335">
        <v>90901</v>
      </c>
      <c r="B103" s="328" t="s">
        <v>792</v>
      </c>
      <c r="C103" s="239">
        <v>2.274E-3</v>
      </c>
      <c r="E103" s="2">
        <v>1125533</v>
      </c>
      <c r="F103" s="2">
        <v>367757</v>
      </c>
      <c r="G103" s="2">
        <v>622191</v>
      </c>
      <c r="H103" s="2">
        <v>193547</v>
      </c>
      <c r="I103" s="2">
        <v>0</v>
      </c>
      <c r="K103" s="2">
        <v>340661</v>
      </c>
      <c r="L103" s="2">
        <v>320452</v>
      </c>
      <c r="M103" s="2">
        <v>287218</v>
      </c>
      <c r="N103" s="2">
        <v>114998</v>
      </c>
      <c r="O103" s="2">
        <v>0</v>
      </c>
      <c r="Q103" s="2">
        <v>361659</v>
      </c>
      <c r="R103" s="2">
        <v>-311095</v>
      </c>
      <c r="S103" s="2">
        <v>43845</v>
      </c>
      <c r="T103" s="2">
        <v>57064</v>
      </c>
      <c r="U103" s="2">
        <v>0</v>
      </c>
      <c r="W103" s="2">
        <v>407414</v>
      </c>
      <c r="X103" s="2">
        <v>333769</v>
      </c>
      <c r="Y103" s="2">
        <v>270963</v>
      </c>
      <c r="Z103" s="2">
        <v>0</v>
      </c>
      <c r="AA103" s="2">
        <v>0</v>
      </c>
      <c r="AC103" s="2">
        <v>25948</v>
      </c>
      <c r="AD103" s="2">
        <v>25949</v>
      </c>
      <c r="AE103" s="2">
        <v>21485</v>
      </c>
      <c r="AF103" s="2">
        <v>21485</v>
      </c>
      <c r="AG103" s="2">
        <v>0</v>
      </c>
      <c r="AI103" s="2">
        <v>-10149</v>
      </c>
      <c r="AJ103" s="2">
        <v>-1318</v>
      </c>
      <c r="AK103" s="2">
        <v>-1320</v>
      </c>
      <c r="AL103" s="2">
        <v>0</v>
      </c>
      <c r="AM103" s="2">
        <v>0</v>
      </c>
    </row>
    <row r="104" spans="1:39">
      <c r="A104" s="335">
        <v>90911</v>
      </c>
      <c r="B104" s="328" t="s">
        <v>793</v>
      </c>
      <c r="C104" s="239">
        <v>3.8539999999999999E-4</v>
      </c>
      <c r="E104" s="2">
        <v>173780</v>
      </c>
      <c r="F104" s="2">
        <v>47969</v>
      </c>
      <c r="G104" s="2">
        <v>90147</v>
      </c>
      <c r="H104" s="2">
        <v>21326</v>
      </c>
      <c r="I104" s="2">
        <v>0</v>
      </c>
      <c r="K104" s="2">
        <v>57736</v>
      </c>
      <c r="L104" s="2">
        <v>54311</v>
      </c>
      <c r="M104" s="2">
        <v>48678</v>
      </c>
      <c r="N104" s="2">
        <v>19490</v>
      </c>
      <c r="O104" s="2">
        <v>0</v>
      </c>
      <c r="Q104" s="2">
        <v>61294</v>
      </c>
      <c r="R104" s="2">
        <v>-52725</v>
      </c>
      <c r="S104" s="2">
        <v>7431</v>
      </c>
      <c r="T104" s="2">
        <v>9671</v>
      </c>
      <c r="U104" s="2">
        <v>0</v>
      </c>
      <c r="W104" s="2">
        <v>69049</v>
      </c>
      <c r="X104" s="2">
        <v>56567</v>
      </c>
      <c r="Y104" s="2">
        <v>45923</v>
      </c>
      <c r="Z104" s="2">
        <v>0</v>
      </c>
      <c r="AA104" s="2">
        <v>0</v>
      </c>
      <c r="AC104" s="2">
        <v>1702</v>
      </c>
      <c r="AD104" s="2">
        <v>1700</v>
      </c>
      <c r="AE104" s="2">
        <v>0</v>
      </c>
      <c r="AF104" s="2">
        <v>0</v>
      </c>
      <c r="AG104" s="2">
        <v>0</v>
      </c>
      <c r="AI104" s="2">
        <v>-16001</v>
      </c>
      <c r="AJ104" s="2">
        <v>-11884</v>
      </c>
      <c r="AK104" s="2">
        <v>-11885</v>
      </c>
      <c r="AL104" s="2">
        <v>-7835</v>
      </c>
      <c r="AM104" s="2">
        <v>0</v>
      </c>
    </row>
    <row r="105" spans="1:39">
      <c r="A105" s="335">
        <v>90917</v>
      </c>
      <c r="B105" s="328" t="s">
        <v>794</v>
      </c>
      <c r="C105" s="239">
        <v>8.1000000000000004E-6</v>
      </c>
      <c r="E105" s="2">
        <v>3335</v>
      </c>
      <c r="F105" s="2">
        <v>229</v>
      </c>
      <c r="G105" s="2">
        <v>1281</v>
      </c>
      <c r="H105" s="2">
        <v>94</v>
      </c>
      <c r="I105" s="2">
        <v>0</v>
      </c>
      <c r="K105" s="2">
        <v>1213</v>
      </c>
      <c r="L105" s="2">
        <v>1141</v>
      </c>
      <c r="M105" s="2">
        <v>1023</v>
      </c>
      <c r="N105" s="2">
        <v>410</v>
      </c>
      <c r="O105" s="2">
        <v>0</v>
      </c>
      <c r="Q105" s="2">
        <v>1288</v>
      </c>
      <c r="R105" s="2">
        <v>-1108</v>
      </c>
      <c r="S105" s="2">
        <v>156</v>
      </c>
      <c r="T105" s="2">
        <v>203</v>
      </c>
      <c r="U105" s="2">
        <v>0</v>
      </c>
      <c r="W105" s="2">
        <v>1451</v>
      </c>
      <c r="X105" s="2">
        <v>1189</v>
      </c>
      <c r="Y105" s="2">
        <v>965</v>
      </c>
      <c r="Z105" s="2">
        <v>0</v>
      </c>
      <c r="AA105" s="2">
        <v>0</v>
      </c>
      <c r="AC105" s="2">
        <v>377</v>
      </c>
      <c r="AD105" s="2">
        <v>0</v>
      </c>
      <c r="AE105" s="2">
        <v>0</v>
      </c>
      <c r="AF105" s="2">
        <v>0</v>
      </c>
      <c r="AG105" s="2">
        <v>0</v>
      </c>
      <c r="AI105" s="2">
        <v>-994</v>
      </c>
      <c r="AJ105" s="2">
        <v>-993</v>
      </c>
      <c r="AK105" s="2">
        <v>-863</v>
      </c>
      <c r="AL105" s="2">
        <v>-519</v>
      </c>
      <c r="AM105" s="2">
        <v>0</v>
      </c>
    </row>
    <row r="106" spans="1:39">
      <c r="A106" s="335">
        <v>90918</v>
      </c>
      <c r="B106" s="328" t="s">
        <v>3664</v>
      </c>
      <c r="C106" s="239">
        <v>1.06E-5</v>
      </c>
      <c r="E106" s="2">
        <v>4271</v>
      </c>
      <c r="F106" s="2">
        <v>976</v>
      </c>
      <c r="G106" s="2">
        <v>2403</v>
      </c>
      <c r="H106" s="2">
        <v>606</v>
      </c>
      <c r="I106" s="2">
        <v>0</v>
      </c>
      <c r="K106" s="2">
        <v>1588</v>
      </c>
      <c r="L106" s="2">
        <v>1494</v>
      </c>
      <c r="M106" s="2">
        <v>1339</v>
      </c>
      <c r="N106" s="2">
        <v>536</v>
      </c>
      <c r="O106" s="2">
        <v>0</v>
      </c>
      <c r="Q106" s="2">
        <v>1686</v>
      </c>
      <c r="R106" s="2">
        <v>-1450</v>
      </c>
      <c r="S106" s="2">
        <v>204</v>
      </c>
      <c r="T106" s="2">
        <v>266</v>
      </c>
      <c r="U106" s="2">
        <v>0</v>
      </c>
      <c r="W106" s="2">
        <v>1899</v>
      </c>
      <c r="X106" s="2">
        <v>1556</v>
      </c>
      <c r="Y106" s="2">
        <v>1263</v>
      </c>
      <c r="Z106" s="2">
        <v>0</v>
      </c>
      <c r="AA106" s="2">
        <v>0</v>
      </c>
      <c r="AC106" s="2">
        <v>0</v>
      </c>
      <c r="AD106" s="2">
        <v>0</v>
      </c>
      <c r="AE106" s="2">
        <v>0</v>
      </c>
      <c r="AF106" s="2">
        <v>0</v>
      </c>
      <c r="AG106" s="2">
        <v>0</v>
      </c>
      <c r="AI106" s="2">
        <v>-902</v>
      </c>
      <c r="AJ106" s="2">
        <v>-624</v>
      </c>
      <c r="AK106" s="2">
        <v>-403</v>
      </c>
      <c r="AL106" s="2">
        <v>-196</v>
      </c>
      <c r="AM106" s="2">
        <v>0</v>
      </c>
    </row>
    <row r="107" spans="1:39">
      <c r="A107" s="335">
        <v>90921</v>
      </c>
      <c r="B107" s="328" t="s">
        <v>796</v>
      </c>
      <c r="C107" s="239">
        <v>1.2129999999999999E-4</v>
      </c>
      <c r="E107" s="2">
        <v>64041</v>
      </c>
      <c r="F107" s="2">
        <v>24746</v>
      </c>
      <c r="G107" s="2">
        <v>31479</v>
      </c>
      <c r="H107" s="2">
        <v>8800</v>
      </c>
      <c r="I107" s="2">
        <v>0</v>
      </c>
      <c r="K107" s="2">
        <v>18172</v>
      </c>
      <c r="L107" s="2">
        <v>17094</v>
      </c>
      <c r="M107" s="2">
        <v>15321</v>
      </c>
      <c r="N107" s="2">
        <v>6134</v>
      </c>
      <c r="O107" s="2">
        <v>0</v>
      </c>
      <c r="Q107" s="2">
        <v>19292</v>
      </c>
      <c r="R107" s="2">
        <v>-16594</v>
      </c>
      <c r="S107" s="2">
        <v>2339</v>
      </c>
      <c r="T107" s="2">
        <v>3044</v>
      </c>
      <c r="U107" s="2">
        <v>0</v>
      </c>
      <c r="W107" s="2">
        <v>21732</v>
      </c>
      <c r="X107" s="2">
        <v>17804</v>
      </c>
      <c r="Y107" s="2">
        <v>14454</v>
      </c>
      <c r="Z107" s="2">
        <v>0</v>
      </c>
      <c r="AA107" s="2">
        <v>0</v>
      </c>
      <c r="AC107" s="2">
        <v>7079</v>
      </c>
      <c r="AD107" s="2">
        <v>7078</v>
      </c>
      <c r="AE107" s="2">
        <v>0</v>
      </c>
      <c r="AF107" s="2">
        <v>0</v>
      </c>
      <c r="AG107" s="2">
        <v>0</v>
      </c>
      <c r="AI107" s="2">
        <v>-2234</v>
      </c>
      <c r="AJ107" s="2">
        <v>-636</v>
      </c>
      <c r="AK107" s="2">
        <v>-635</v>
      </c>
      <c r="AL107" s="2">
        <v>-378</v>
      </c>
      <c r="AM107" s="2">
        <v>0</v>
      </c>
    </row>
    <row r="108" spans="1:39">
      <c r="A108" s="335">
        <v>90931</v>
      </c>
      <c r="B108" s="328" t="s">
        <v>797</v>
      </c>
      <c r="C108" s="239">
        <v>3.7299999999999999E-5</v>
      </c>
      <c r="E108" s="2">
        <v>12858</v>
      </c>
      <c r="F108" s="2">
        <v>1672</v>
      </c>
      <c r="G108" s="2">
        <v>8298</v>
      </c>
      <c r="H108" s="2">
        <v>2169</v>
      </c>
      <c r="I108" s="2">
        <v>0</v>
      </c>
      <c r="K108" s="2">
        <v>5588</v>
      </c>
      <c r="L108" s="2">
        <v>5256</v>
      </c>
      <c r="M108" s="2">
        <v>4711</v>
      </c>
      <c r="N108" s="2">
        <v>1886</v>
      </c>
      <c r="O108" s="2">
        <v>0</v>
      </c>
      <c r="Q108" s="2">
        <v>5932</v>
      </c>
      <c r="R108" s="2">
        <v>-5103</v>
      </c>
      <c r="S108" s="2">
        <v>719</v>
      </c>
      <c r="T108" s="2">
        <v>936</v>
      </c>
      <c r="U108" s="2">
        <v>0</v>
      </c>
      <c r="W108" s="2">
        <v>6683</v>
      </c>
      <c r="X108" s="2">
        <v>5475</v>
      </c>
      <c r="Y108" s="2">
        <v>4445</v>
      </c>
      <c r="Z108" s="2">
        <v>0</v>
      </c>
      <c r="AA108" s="2">
        <v>0</v>
      </c>
      <c r="AC108" s="2">
        <v>0</v>
      </c>
      <c r="AD108" s="2">
        <v>0</v>
      </c>
      <c r="AE108" s="2">
        <v>0</v>
      </c>
      <c r="AF108" s="2">
        <v>0</v>
      </c>
      <c r="AG108" s="2">
        <v>0</v>
      </c>
      <c r="AI108" s="2">
        <v>-5345</v>
      </c>
      <c r="AJ108" s="2">
        <v>-3956</v>
      </c>
      <c r="AK108" s="2">
        <v>-1577</v>
      </c>
      <c r="AL108" s="2">
        <v>-653</v>
      </c>
      <c r="AM108" s="2">
        <v>0</v>
      </c>
    </row>
    <row r="109" spans="1:39">
      <c r="A109" s="335">
        <v>90941</v>
      </c>
      <c r="B109" s="328" t="s">
        <v>798</v>
      </c>
      <c r="C109" s="239">
        <v>8.5400000000000002E-5</v>
      </c>
      <c r="E109" s="2">
        <v>41214</v>
      </c>
      <c r="F109" s="2">
        <v>11917</v>
      </c>
      <c r="G109" s="2">
        <v>24440</v>
      </c>
      <c r="H109" s="2">
        <v>6414</v>
      </c>
      <c r="I109" s="2">
        <v>0</v>
      </c>
      <c r="K109" s="2">
        <v>12794</v>
      </c>
      <c r="L109" s="2">
        <v>12035</v>
      </c>
      <c r="M109" s="2">
        <v>10786</v>
      </c>
      <c r="N109" s="2">
        <v>4319</v>
      </c>
      <c r="O109" s="2">
        <v>0</v>
      </c>
      <c r="Q109" s="2">
        <v>13582</v>
      </c>
      <c r="R109" s="2">
        <v>-11683</v>
      </c>
      <c r="S109" s="2">
        <v>1647</v>
      </c>
      <c r="T109" s="2">
        <v>2143</v>
      </c>
      <c r="U109" s="2">
        <v>0</v>
      </c>
      <c r="W109" s="2">
        <v>15300</v>
      </c>
      <c r="X109" s="2">
        <v>12535</v>
      </c>
      <c r="Y109" s="2">
        <v>10176</v>
      </c>
      <c r="Z109" s="2">
        <v>0</v>
      </c>
      <c r="AA109" s="2">
        <v>0</v>
      </c>
      <c r="AC109" s="2">
        <v>2385</v>
      </c>
      <c r="AD109" s="2">
        <v>1877</v>
      </c>
      <c r="AE109" s="2">
        <v>1878</v>
      </c>
      <c r="AF109" s="2">
        <v>0</v>
      </c>
      <c r="AG109" s="2">
        <v>0</v>
      </c>
      <c r="AI109" s="2">
        <v>-2847</v>
      </c>
      <c r="AJ109" s="2">
        <v>-2847</v>
      </c>
      <c r="AK109" s="2">
        <v>-47</v>
      </c>
      <c r="AL109" s="2">
        <v>-48</v>
      </c>
      <c r="AM109" s="2">
        <v>0</v>
      </c>
    </row>
    <row r="110" spans="1:39">
      <c r="A110" s="335">
        <v>91001</v>
      </c>
      <c r="B110" s="328" t="s">
        <v>799</v>
      </c>
      <c r="C110" s="239">
        <v>7.2779999999999997E-3</v>
      </c>
      <c r="E110" s="2">
        <v>3533203</v>
      </c>
      <c r="F110" s="2">
        <v>1117483</v>
      </c>
      <c r="G110" s="2">
        <v>1976501</v>
      </c>
      <c r="H110" s="2">
        <v>637903</v>
      </c>
      <c r="I110" s="2">
        <v>0</v>
      </c>
      <c r="K110" s="2">
        <v>1090295</v>
      </c>
      <c r="L110" s="2">
        <v>1025616</v>
      </c>
      <c r="M110" s="2">
        <v>919248</v>
      </c>
      <c r="N110" s="2">
        <v>368056</v>
      </c>
      <c r="O110" s="2">
        <v>0</v>
      </c>
      <c r="Q110" s="2">
        <v>1157500</v>
      </c>
      <c r="R110" s="2">
        <v>-995667</v>
      </c>
      <c r="S110" s="2">
        <v>140327</v>
      </c>
      <c r="T110" s="2">
        <v>182634</v>
      </c>
      <c r="U110" s="2">
        <v>0</v>
      </c>
      <c r="W110" s="2">
        <v>1303941</v>
      </c>
      <c r="X110" s="2">
        <v>1068236</v>
      </c>
      <c r="Y110" s="2">
        <v>867225</v>
      </c>
      <c r="Z110" s="2">
        <v>0</v>
      </c>
      <c r="AA110" s="2">
        <v>0</v>
      </c>
      <c r="AC110" s="2">
        <v>87212</v>
      </c>
      <c r="AD110" s="2">
        <v>87212</v>
      </c>
      <c r="AE110" s="2">
        <v>87212</v>
      </c>
      <c r="AF110" s="2">
        <v>87213</v>
      </c>
      <c r="AG110" s="2">
        <v>0</v>
      </c>
      <c r="AI110" s="2">
        <v>-105745</v>
      </c>
      <c r="AJ110" s="2">
        <v>-67914</v>
      </c>
      <c r="AK110" s="2">
        <v>-37511</v>
      </c>
      <c r="AL110" s="2">
        <v>0</v>
      </c>
      <c r="AM110" s="2">
        <v>0</v>
      </c>
    </row>
    <row r="111" spans="1:39">
      <c r="A111" s="335">
        <v>91002</v>
      </c>
      <c r="B111" s="328" t="s">
        <v>800</v>
      </c>
      <c r="C111" s="239">
        <v>1.2939E-3</v>
      </c>
      <c r="E111" s="2">
        <v>712128</v>
      </c>
      <c r="F111" s="2">
        <v>284969</v>
      </c>
      <c r="G111" s="2">
        <v>423091</v>
      </c>
      <c r="H111" s="2">
        <v>143739</v>
      </c>
      <c r="I111" s="2">
        <v>0</v>
      </c>
      <c r="K111" s="2">
        <v>193835</v>
      </c>
      <c r="L111" s="2">
        <v>182336</v>
      </c>
      <c r="M111" s="2">
        <v>163426</v>
      </c>
      <c r="N111" s="2">
        <v>65434</v>
      </c>
      <c r="O111" s="2">
        <v>0</v>
      </c>
      <c r="Q111" s="2">
        <v>205783</v>
      </c>
      <c r="R111" s="2">
        <v>-177012</v>
      </c>
      <c r="S111" s="2">
        <v>24948</v>
      </c>
      <c r="T111" s="2">
        <v>32469</v>
      </c>
      <c r="U111" s="2">
        <v>0</v>
      </c>
      <c r="W111" s="2">
        <v>231818</v>
      </c>
      <c r="X111" s="2">
        <v>189913</v>
      </c>
      <c r="Y111" s="2">
        <v>154177</v>
      </c>
      <c r="Z111" s="2">
        <v>0</v>
      </c>
      <c r="AA111" s="2">
        <v>0</v>
      </c>
      <c r="AC111" s="2">
        <v>89732</v>
      </c>
      <c r="AD111" s="2">
        <v>89732</v>
      </c>
      <c r="AE111" s="2">
        <v>80540</v>
      </c>
      <c r="AF111" s="2">
        <v>45836</v>
      </c>
      <c r="AG111" s="2">
        <v>0</v>
      </c>
      <c r="AI111" s="2">
        <v>-9040</v>
      </c>
      <c r="AJ111" s="2">
        <v>0</v>
      </c>
      <c r="AK111" s="2">
        <v>0</v>
      </c>
      <c r="AL111" s="2">
        <v>0</v>
      </c>
      <c r="AM111" s="2">
        <v>0</v>
      </c>
    </row>
    <row r="112" spans="1:39">
      <c r="A112" s="335">
        <v>91003</v>
      </c>
      <c r="B112" s="328" t="s">
        <v>3665</v>
      </c>
      <c r="C112" s="239">
        <v>5.9570000000000001E-4</v>
      </c>
      <c r="E112" s="2">
        <v>291810</v>
      </c>
      <c r="F112" s="2">
        <v>99563</v>
      </c>
      <c r="G112" s="2">
        <v>165016</v>
      </c>
      <c r="H112" s="2">
        <v>57310</v>
      </c>
      <c r="I112" s="2">
        <v>0</v>
      </c>
      <c r="K112" s="2">
        <v>89240</v>
      </c>
      <c r="L112" s="2">
        <v>83946</v>
      </c>
      <c r="M112" s="2">
        <v>75240</v>
      </c>
      <c r="N112" s="2">
        <v>30125</v>
      </c>
      <c r="O112" s="2">
        <v>0</v>
      </c>
      <c r="Q112" s="2">
        <v>94741</v>
      </c>
      <c r="R112" s="2">
        <v>-81495</v>
      </c>
      <c r="S112" s="2">
        <v>11486</v>
      </c>
      <c r="T112" s="2">
        <v>14948</v>
      </c>
      <c r="U112" s="2">
        <v>0</v>
      </c>
      <c r="W112" s="2">
        <v>106727</v>
      </c>
      <c r="X112" s="2">
        <v>87434</v>
      </c>
      <c r="Y112" s="2">
        <v>70982</v>
      </c>
      <c r="Z112" s="2">
        <v>0</v>
      </c>
      <c r="AA112" s="2">
        <v>0</v>
      </c>
      <c r="AC112" s="2">
        <v>14609</v>
      </c>
      <c r="AD112" s="2">
        <v>14607</v>
      </c>
      <c r="AE112" s="2">
        <v>12235</v>
      </c>
      <c r="AF112" s="2">
        <v>12237</v>
      </c>
      <c r="AG112" s="2">
        <v>0</v>
      </c>
      <c r="AI112" s="2">
        <v>-13507</v>
      </c>
      <c r="AJ112" s="2">
        <v>-4929</v>
      </c>
      <c r="AK112" s="2">
        <v>-4927</v>
      </c>
      <c r="AL112" s="2">
        <v>0</v>
      </c>
      <c r="AM112" s="2">
        <v>0</v>
      </c>
    </row>
    <row r="113" spans="1:39">
      <c r="A113" s="335">
        <v>91004</v>
      </c>
      <c r="B113" s="328" t="s">
        <v>802</v>
      </c>
      <c r="C113" s="239">
        <v>3.3300000000000003E-5</v>
      </c>
      <c r="E113" s="2">
        <v>19289</v>
      </c>
      <c r="F113" s="2">
        <v>7745</v>
      </c>
      <c r="G113" s="2">
        <v>9800</v>
      </c>
      <c r="H113" s="2">
        <v>1678</v>
      </c>
      <c r="I113" s="2">
        <v>0</v>
      </c>
      <c r="K113" s="2">
        <v>4989</v>
      </c>
      <c r="L113" s="2">
        <v>4693</v>
      </c>
      <c r="M113" s="2">
        <v>4206</v>
      </c>
      <c r="N113" s="2">
        <v>1684</v>
      </c>
      <c r="O113" s="2">
        <v>0</v>
      </c>
      <c r="Q113" s="2">
        <v>5296</v>
      </c>
      <c r="R113" s="2">
        <v>-4556</v>
      </c>
      <c r="S113" s="2">
        <v>642</v>
      </c>
      <c r="T113" s="2">
        <v>836</v>
      </c>
      <c r="U113" s="2">
        <v>0</v>
      </c>
      <c r="W113" s="2">
        <v>5966</v>
      </c>
      <c r="X113" s="2">
        <v>4888</v>
      </c>
      <c r="Y113" s="2">
        <v>3968</v>
      </c>
      <c r="Z113" s="2">
        <v>0</v>
      </c>
      <c r="AA113" s="2">
        <v>0</v>
      </c>
      <c r="AC113" s="2">
        <v>3880</v>
      </c>
      <c r="AD113" s="2">
        <v>3562</v>
      </c>
      <c r="AE113" s="2">
        <v>1826</v>
      </c>
      <c r="AF113" s="2">
        <v>0</v>
      </c>
      <c r="AG113" s="2">
        <v>0</v>
      </c>
      <c r="AI113" s="2">
        <v>-842</v>
      </c>
      <c r="AJ113" s="2">
        <v>-842</v>
      </c>
      <c r="AK113" s="2">
        <v>-842</v>
      </c>
      <c r="AL113" s="2">
        <v>-842</v>
      </c>
      <c r="AM113" s="2">
        <v>0</v>
      </c>
    </row>
    <row r="114" spans="1:39">
      <c r="A114" s="335">
        <v>91006</v>
      </c>
      <c r="B114" s="328" t="s">
        <v>3666</v>
      </c>
      <c r="C114" s="239">
        <v>1.0489E-3</v>
      </c>
      <c r="E114" s="2">
        <v>490711</v>
      </c>
      <c r="F114" s="2">
        <v>141968</v>
      </c>
      <c r="G114" s="2">
        <v>263085</v>
      </c>
      <c r="H114" s="2">
        <v>68187</v>
      </c>
      <c r="I114" s="2">
        <v>0</v>
      </c>
      <c r="K114" s="2">
        <v>157133</v>
      </c>
      <c r="L114" s="2">
        <v>147811</v>
      </c>
      <c r="M114" s="2">
        <v>132481</v>
      </c>
      <c r="N114" s="2">
        <v>53044</v>
      </c>
      <c r="O114" s="2">
        <v>0</v>
      </c>
      <c r="Q114" s="2">
        <v>166818</v>
      </c>
      <c r="R114" s="2">
        <v>-143495</v>
      </c>
      <c r="S114" s="2">
        <v>20224</v>
      </c>
      <c r="T114" s="2">
        <v>26321</v>
      </c>
      <c r="U114" s="2">
        <v>0</v>
      </c>
      <c r="W114" s="2">
        <v>187923</v>
      </c>
      <c r="X114" s="2">
        <v>153953</v>
      </c>
      <c r="Y114" s="2">
        <v>124984</v>
      </c>
      <c r="Z114" s="2">
        <v>0</v>
      </c>
      <c r="AA114" s="2">
        <v>0</v>
      </c>
      <c r="AC114" s="2">
        <v>0</v>
      </c>
      <c r="AD114" s="2">
        <v>0</v>
      </c>
      <c r="AE114" s="2">
        <v>0</v>
      </c>
      <c r="AF114" s="2">
        <v>0</v>
      </c>
      <c r="AG114" s="2">
        <v>0</v>
      </c>
      <c r="AI114" s="2">
        <v>-21163</v>
      </c>
      <c r="AJ114" s="2">
        <v>-16301</v>
      </c>
      <c r="AK114" s="2">
        <v>-14604</v>
      </c>
      <c r="AL114" s="2">
        <v>-11178</v>
      </c>
      <c r="AM114" s="2">
        <v>0</v>
      </c>
    </row>
    <row r="115" spans="1:39">
      <c r="A115" s="335">
        <v>91007</v>
      </c>
      <c r="B115" s="328" t="s">
        <v>804</v>
      </c>
      <c r="C115" s="239">
        <v>1.0900000000000001E-5</v>
      </c>
      <c r="E115" s="2">
        <v>7636</v>
      </c>
      <c r="F115" s="2">
        <v>2735</v>
      </c>
      <c r="G115" s="2">
        <v>3450</v>
      </c>
      <c r="H115" s="2">
        <v>1370</v>
      </c>
      <c r="I115" s="2">
        <v>0</v>
      </c>
      <c r="K115" s="2">
        <v>1633</v>
      </c>
      <c r="L115" s="2">
        <v>1536</v>
      </c>
      <c r="M115" s="2">
        <v>1377</v>
      </c>
      <c r="N115" s="2">
        <v>551</v>
      </c>
      <c r="O115" s="2">
        <v>0</v>
      </c>
      <c r="Q115" s="2">
        <v>1734</v>
      </c>
      <c r="R115" s="2">
        <v>-1491</v>
      </c>
      <c r="S115" s="2">
        <v>210</v>
      </c>
      <c r="T115" s="2">
        <v>274</v>
      </c>
      <c r="U115" s="2">
        <v>0</v>
      </c>
      <c r="W115" s="2">
        <v>1953</v>
      </c>
      <c r="X115" s="2">
        <v>1600</v>
      </c>
      <c r="Y115" s="2">
        <v>1299</v>
      </c>
      <c r="Z115" s="2">
        <v>0</v>
      </c>
      <c r="AA115" s="2">
        <v>0</v>
      </c>
      <c r="AC115" s="2">
        <v>2316</v>
      </c>
      <c r="AD115" s="2">
        <v>1090</v>
      </c>
      <c r="AE115" s="2">
        <v>564</v>
      </c>
      <c r="AF115" s="2">
        <v>545</v>
      </c>
      <c r="AG115" s="2">
        <v>0</v>
      </c>
      <c r="AI115" s="2">
        <v>0</v>
      </c>
      <c r="AJ115" s="2">
        <v>0</v>
      </c>
      <c r="AK115" s="2">
        <v>0</v>
      </c>
      <c r="AL115" s="2">
        <v>0</v>
      </c>
      <c r="AM115" s="2">
        <v>0</v>
      </c>
    </row>
    <row r="116" spans="1:39">
      <c r="A116" s="335">
        <v>91008</v>
      </c>
      <c r="B116" s="328" t="s">
        <v>805</v>
      </c>
      <c r="C116" s="239">
        <v>1.474E-4</v>
      </c>
      <c r="E116" s="2">
        <v>84153</v>
      </c>
      <c r="F116" s="2">
        <v>31047</v>
      </c>
      <c r="G116" s="2">
        <v>46001</v>
      </c>
      <c r="H116" s="2">
        <v>13957</v>
      </c>
      <c r="I116" s="2">
        <v>0</v>
      </c>
      <c r="K116" s="2">
        <v>22082</v>
      </c>
      <c r="L116" s="2">
        <v>20772</v>
      </c>
      <c r="M116" s="2">
        <v>18617</v>
      </c>
      <c r="N116" s="2">
        <v>7454</v>
      </c>
      <c r="O116" s="2">
        <v>0</v>
      </c>
      <c r="Q116" s="2">
        <v>23443</v>
      </c>
      <c r="R116" s="2">
        <v>-20165</v>
      </c>
      <c r="S116" s="2">
        <v>2842</v>
      </c>
      <c r="T116" s="2">
        <v>3699</v>
      </c>
      <c r="U116" s="2">
        <v>0</v>
      </c>
      <c r="W116" s="2">
        <v>26408</v>
      </c>
      <c r="X116" s="2">
        <v>21635</v>
      </c>
      <c r="Y116" s="2">
        <v>17564</v>
      </c>
      <c r="Z116" s="2">
        <v>0</v>
      </c>
      <c r="AA116" s="2">
        <v>0</v>
      </c>
      <c r="AC116" s="2">
        <v>12220</v>
      </c>
      <c r="AD116" s="2">
        <v>8805</v>
      </c>
      <c r="AE116" s="2">
        <v>6978</v>
      </c>
      <c r="AF116" s="2">
        <v>2804</v>
      </c>
      <c r="AG116" s="2">
        <v>0</v>
      </c>
      <c r="AI116" s="2">
        <v>0</v>
      </c>
      <c r="AJ116" s="2">
        <v>0</v>
      </c>
      <c r="AK116" s="2">
        <v>0</v>
      </c>
      <c r="AL116" s="2">
        <v>0</v>
      </c>
      <c r="AM116" s="2">
        <v>0</v>
      </c>
    </row>
    <row r="117" spans="1:39">
      <c r="A117" s="335">
        <v>91009</v>
      </c>
      <c r="B117" s="328" t="s">
        <v>806</v>
      </c>
      <c r="C117" s="239">
        <v>8.3000000000000002E-6</v>
      </c>
      <c r="E117" s="2">
        <v>5757</v>
      </c>
      <c r="F117" s="2">
        <v>2039</v>
      </c>
      <c r="G117" s="2">
        <v>2511</v>
      </c>
      <c r="H117" s="2">
        <v>466</v>
      </c>
      <c r="I117" s="2">
        <v>0</v>
      </c>
      <c r="K117" s="2">
        <v>1243</v>
      </c>
      <c r="L117" s="2">
        <v>1170</v>
      </c>
      <c r="M117" s="2">
        <v>1048</v>
      </c>
      <c r="N117" s="2">
        <v>420</v>
      </c>
      <c r="O117" s="2">
        <v>0</v>
      </c>
      <c r="Q117" s="2">
        <v>1320</v>
      </c>
      <c r="R117" s="2">
        <v>-1135</v>
      </c>
      <c r="S117" s="2">
        <v>160</v>
      </c>
      <c r="T117" s="2">
        <v>208</v>
      </c>
      <c r="U117" s="2">
        <v>0</v>
      </c>
      <c r="W117" s="2">
        <v>1487</v>
      </c>
      <c r="X117" s="2">
        <v>1218</v>
      </c>
      <c r="Y117" s="2">
        <v>989</v>
      </c>
      <c r="Z117" s="2">
        <v>0</v>
      </c>
      <c r="AA117" s="2">
        <v>0</v>
      </c>
      <c r="AC117" s="2">
        <v>1867</v>
      </c>
      <c r="AD117" s="2">
        <v>946</v>
      </c>
      <c r="AE117" s="2">
        <v>474</v>
      </c>
      <c r="AF117" s="2">
        <v>0</v>
      </c>
      <c r="AG117" s="2">
        <v>0</v>
      </c>
      <c r="AI117" s="2">
        <v>-160</v>
      </c>
      <c r="AJ117" s="2">
        <v>-160</v>
      </c>
      <c r="AK117" s="2">
        <v>-160</v>
      </c>
      <c r="AL117" s="2">
        <v>-162</v>
      </c>
      <c r="AM117" s="2">
        <v>0</v>
      </c>
    </row>
    <row r="118" spans="1:39">
      <c r="A118" s="335">
        <v>91010</v>
      </c>
      <c r="B118" s="328" t="s">
        <v>807</v>
      </c>
      <c r="C118" s="239">
        <v>5.1E-5</v>
      </c>
      <c r="E118" s="2">
        <v>22835</v>
      </c>
      <c r="F118" s="2">
        <v>5731</v>
      </c>
      <c r="G118" s="2">
        <v>11184</v>
      </c>
      <c r="H118" s="2">
        <v>3220</v>
      </c>
      <c r="I118" s="2">
        <v>0</v>
      </c>
      <c r="K118" s="2">
        <v>7640</v>
      </c>
      <c r="L118" s="2">
        <v>7187</v>
      </c>
      <c r="M118" s="2">
        <v>6442</v>
      </c>
      <c r="N118" s="2">
        <v>2579</v>
      </c>
      <c r="O118" s="2">
        <v>0</v>
      </c>
      <c r="Q118" s="2">
        <v>8111</v>
      </c>
      <c r="R118" s="2">
        <v>-6977</v>
      </c>
      <c r="S118" s="2">
        <v>983</v>
      </c>
      <c r="T118" s="2">
        <v>1280</v>
      </c>
      <c r="U118" s="2">
        <v>0</v>
      </c>
      <c r="W118" s="2">
        <v>9137</v>
      </c>
      <c r="X118" s="2">
        <v>7486</v>
      </c>
      <c r="Y118" s="2">
        <v>6077</v>
      </c>
      <c r="Z118" s="2">
        <v>0</v>
      </c>
      <c r="AA118" s="2">
        <v>0</v>
      </c>
      <c r="AC118" s="2">
        <v>352</v>
      </c>
      <c r="AD118" s="2">
        <v>352</v>
      </c>
      <c r="AE118" s="2">
        <v>0</v>
      </c>
      <c r="AF118" s="2">
        <v>0</v>
      </c>
      <c r="AG118" s="2">
        <v>0</v>
      </c>
      <c r="AI118" s="2">
        <v>-2405</v>
      </c>
      <c r="AJ118" s="2">
        <v>-2317</v>
      </c>
      <c r="AK118" s="2">
        <v>-2318</v>
      </c>
      <c r="AL118" s="2">
        <v>-639</v>
      </c>
      <c r="AM118" s="2">
        <v>0</v>
      </c>
    </row>
    <row r="119" spans="1:39">
      <c r="A119" s="335">
        <v>91011</v>
      </c>
      <c r="B119" s="328" t="s">
        <v>808</v>
      </c>
      <c r="C119" s="239">
        <v>3.2009999999999997E-4</v>
      </c>
      <c r="E119" s="2">
        <v>157895</v>
      </c>
      <c r="F119" s="2">
        <v>47392</v>
      </c>
      <c r="G119" s="2">
        <v>78044</v>
      </c>
      <c r="H119" s="2">
        <v>17897</v>
      </c>
      <c r="I119" s="2">
        <v>0</v>
      </c>
      <c r="K119" s="2">
        <v>47953</v>
      </c>
      <c r="L119" s="2">
        <v>45108</v>
      </c>
      <c r="M119" s="2">
        <v>40430</v>
      </c>
      <c r="N119" s="2">
        <v>16188</v>
      </c>
      <c r="O119" s="2">
        <v>0</v>
      </c>
      <c r="Q119" s="2">
        <v>50909</v>
      </c>
      <c r="R119" s="2">
        <v>-43791</v>
      </c>
      <c r="S119" s="2">
        <v>6172</v>
      </c>
      <c r="T119" s="2">
        <v>8033</v>
      </c>
      <c r="U119" s="2">
        <v>0</v>
      </c>
      <c r="W119" s="2">
        <v>57350</v>
      </c>
      <c r="X119" s="2">
        <v>46983</v>
      </c>
      <c r="Y119" s="2">
        <v>38142</v>
      </c>
      <c r="Z119" s="2">
        <v>0</v>
      </c>
      <c r="AA119" s="2">
        <v>0</v>
      </c>
      <c r="AC119" s="2">
        <v>8382</v>
      </c>
      <c r="AD119" s="2">
        <v>5791</v>
      </c>
      <c r="AE119" s="2">
        <v>0</v>
      </c>
      <c r="AF119" s="2">
        <v>0</v>
      </c>
      <c r="AG119" s="2">
        <v>0</v>
      </c>
      <c r="AI119" s="2">
        <v>-6699</v>
      </c>
      <c r="AJ119" s="2">
        <v>-6699</v>
      </c>
      <c r="AK119" s="2">
        <v>-6700</v>
      </c>
      <c r="AL119" s="2">
        <v>-6324</v>
      </c>
      <c r="AM119" s="2">
        <v>0</v>
      </c>
    </row>
    <row r="120" spans="1:39">
      <c r="A120" s="335">
        <v>91012</v>
      </c>
      <c r="B120" s="328" t="s">
        <v>809</v>
      </c>
      <c r="C120" s="239">
        <v>1.4600000000000001E-5</v>
      </c>
      <c r="E120" s="2">
        <v>8336</v>
      </c>
      <c r="F120" s="2">
        <v>2621</v>
      </c>
      <c r="G120" s="2">
        <v>3595</v>
      </c>
      <c r="H120" s="2">
        <v>1606</v>
      </c>
      <c r="I120" s="2">
        <v>0</v>
      </c>
      <c r="K120" s="2">
        <v>2187</v>
      </c>
      <c r="L120" s="2">
        <v>2057</v>
      </c>
      <c r="M120" s="2">
        <v>1844</v>
      </c>
      <c r="N120" s="2">
        <v>738</v>
      </c>
      <c r="O120" s="2">
        <v>0</v>
      </c>
      <c r="Q120" s="2">
        <v>2322</v>
      </c>
      <c r="R120" s="2">
        <v>-1997</v>
      </c>
      <c r="S120" s="2">
        <v>282</v>
      </c>
      <c r="T120" s="2">
        <v>366</v>
      </c>
      <c r="U120" s="2">
        <v>0</v>
      </c>
      <c r="W120" s="2">
        <v>2616</v>
      </c>
      <c r="X120" s="2">
        <v>2143</v>
      </c>
      <c r="Y120" s="2">
        <v>1740</v>
      </c>
      <c r="Z120" s="2">
        <v>0</v>
      </c>
      <c r="AA120" s="2">
        <v>0</v>
      </c>
      <c r="AC120" s="2">
        <v>1987</v>
      </c>
      <c r="AD120" s="2">
        <v>1194</v>
      </c>
      <c r="AE120" s="2">
        <v>504</v>
      </c>
      <c r="AF120" s="2">
        <v>502</v>
      </c>
      <c r="AG120" s="2">
        <v>0</v>
      </c>
      <c r="AI120" s="2">
        <v>-776</v>
      </c>
      <c r="AJ120" s="2">
        <v>-776</v>
      </c>
      <c r="AK120" s="2">
        <v>-775</v>
      </c>
      <c r="AL120" s="2">
        <v>0</v>
      </c>
      <c r="AM120" s="2">
        <v>0</v>
      </c>
    </row>
    <row r="121" spans="1:39">
      <c r="A121" s="335">
        <v>91013</v>
      </c>
      <c r="B121" s="328" t="s">
        <v>810</v>
      </c>
      <c r="C121" s="239">
        <v>3.4999999999999997E-5</v>
      </c>
      <c r="E121" s="2">
        <v>35849</v>
      </c>
      <c r="F121" s="2">
        <v>19290</v>
      </c>
      <c r="G121" s="2">
        <v>19293</v>
      </c>
      <c r="H121" s="2">
        <v>8450</v>
      </c>
      <c r="I121" s="2">
        <v>0</v>
      </c>
      <c r="K121" s="2">
        <v>5243</v>
      </c>
      <c r="L121" s="2">
        <v>4932</v>
      </c>
      <c r="M121" s="2">
        <v>4421</v>
      </c>
      <c r="N121" s="2">
        <v>1770</v>
      </c>
      <c r="O121" s="2">
        <v>0</v>
      </c>
      <c r="Q121" s="2">
        <v>5566</v>
      </c>
      <c r="R121" s="2">
        <v>-4788</v>
      </c>
      <c r="S121" s="2">
        <v>675</v>
      </c>
      <c r="T121" s="2">
        <v>878</v>
      </c>
      <c r="U121" s="2">
        <v>0</v>
      </c>
      <c r="W121" s="2">
        <v>6271</v>
      </c>
      <c r="X121" s="2">
        <v>5137</v>
      </c>
      <c r="Y121" s="2">
        <v>4170</v>
      </c>
      <c r="Z121" s="2">
        <v>0</v>
      </c>
      <c r="AA121" s="2">
        <v>0</v>
      </c>
      <c r="AC121" s="2">
        <v>18769</v>
      </c>
      <c r="AD121" s="2">
        <v>14009</v>
      </c>
      <c r="AE121" s="2">
        <v>10027</v>
      </c>
      <c r="AF121" s="2">
        <v>5802</v>
      </c>
      <c r="AG121" s="2">
        <v>0</v>
      </c>
      <c r="AI121" s="2">
        <v>0</v>
      </c>
      <c r="AJ121" s="2">
        <v>0</v>
      </c>
      <c r="AK121" s="2">
        <v>0</v>
      </c>
      <c r="AL121" s="2">
        <v>0</v>
      </c>
      <c r="AM121" s="2">
        <v>0</v>
      </c>
    </row>
    <row r="122" spans="1:39">
      <c r="A122" s="335">
        <v>91014</v>
      </c>
      <c r="B122" s="328" t="s">
        <v>811</v>
      </c>
      <c r="C122" s="239">
        <v>1.7640000000000001E-4</v>
      </c>
      <c r="E122" s="2">
        <v>77502</v>
      </c>
      <c r="F122" s="2">
        <v>19846</v>
      </c>
      <c r="G122" s="2">
        <v>39599</v>
      </c>
      <c r="H122" s="2">
        <v>9888</v>
      </c>
      <c r="I122" s="2">
        <v>0</v>
      </c>
      <c r="K122" s="2">
        <v>26426</v>
      </c>
      <c r="L122" s="2">
        <v>24858</v>
      </c>
      <c r="M122" s="2">
        <v>22280</v>
      </c>
      <c r="N122" s="2">
        <v>8921</v>
      </c>
      <c r="O122" s="2">
        <v>0</v>
      </c>
      <c r="Q122" s="2">
        <v>28055</v>
      </c>
      <c r="R122" s="2">
        <v>-24132</v>
      </c>
      <c r="S122" s="2">
        <v>3401</v>
      </c>
      <c r="T122" s="2">
        <v>4427</v>
      </c>
      <c r="U122" s="2">
        <v>0</v>
      </c>
      <c r="W122" s="2">
        <v>31604</v>
      </c>
      <c r="X122" s="2">
        <v>25891</v>
      </c>
      <c r="Y122" s="2">
        <v>21019</v>
      </c>
      <c r="Z122" s="2">
        <v>0</v>
      </c>
      <c r="AA122" s="2">
        <v>0</v>
      </c>
      <c r="AC122" s="2">
        <v>328</v>
      </c>
      <c r="AD122" s="2">
        <v>330</v>
      </c>
      <c r="AE122" s="2">
        <v>0</v>
      </c>
      <c r="AF122" s="2">
        <v>0</v>
      </c>
      <c r="AG122" s="2">
        <v>0</v>
      </c>
      <c r="AI122" s="2">
        <v>-8911</v>
      </c>
      <c r="AJ122" s="2">
        <v>-7101</v>
      </c>
      <c r="AK122" s="2">
        <v>-7101</v>
      </c>
      <c r="AL122" s="2">
        <v>-3460</v>
      </c>
      <c r="AM122" s="2">
        <v>0</v>
      </c>
    </row>
    <row r="123" spans="1:39">
      <c r="A123" s="335">
        <v>91015</v>
      </c>
      <c r="B123" s="328" t="s">
        <v>1640</v>
      </c>
      <c r="C123" s="239">
        <v>1.8499999999999999E-5</v>
      </c>
      <c r="E123" s="2">
        <v>15764</v>
      </c>
      <c r="F123" s="2">
        <v>9528</v>
      </c>
      <c r="G123" s="2">
        <v>11637</v>
      </c>
      <c r="H123" s="2">
        <v>3071</v>
      </c>
      <c r="I123" s="2">
        <v>0</v>
      </c>
      <c r="K123" s="2">
        <v>2771</v>
      </c>
      <c r="L123" s="2">
        <v>2607</v>
      </c>
      <c r="M123" s="2">
        <v>2337</v>
      </c>
      <c r="N123" s="2">
        <v>936</v>
      </c>
      <c r="O123" s="2">
        <v>0</v>
      </c>
      <c r="Q123" s="2">
        <v>2942</v>
      </c>
      <c r="R123" s="2">
        <v>-2531</v>
      </c>
      <c r="S123" s="2">
        <v>357</v>
      </c>
      <c r="T123" s="2">
        <v>464</v>
      </c>
      <c r="U123" s="2">
        <v>0</v>
      </c>
      <c r="W123" s="2">
        <v>3314</v>
      </c>
      <c r="X123" s="2">
        <v>2715</v>
      </c>
      <c r="Y123" s="2">
        <v>2204</v>
      </c>
      <c r="Z123" s="2">
        <v>0</v>
      </c>
      <c r="AA123" s="2">
        <v>0</v>
      </c>
      <c r="AC123" s="2">
        <v>6737</v>
      </c>
      <c r="AD123" s="2">
        <v>6737</v>
      </c>
      <c r="AE123" s="2">
        <v>6739</v>
      </c>
      <c r="AF123" s="2">
        <v>1671</v>
      </c>
      <c r="AG123" s="2">
        <v>0</v>
      </c>
      <c r="AI123" s="2">
        <v>0</v>
      </c>
      <c r="AJ123" s="2">
        <v>0</v>
      </c>
      <c r="AK123" s="2">
        <v>0</v>
      </c>
      <c r="AL123" s="2">
        <v>0</v>
      </c>
      <c r="AM123" s="2">
        <v>0</v>
      </c>
    </row>
    <row r="124" spans="1:39">
      <c r="A124" s="335">
        <v>91017</v>
      </c>
      <c r="B124" s="328" t="s">
        <v>812</v>
      </c>
      <c r="C124" s="239">
        <v>2.4700000000000001E-5</v>
      </c>
      <c r="E124" s="2">
        <v>15062</v>
      </c>
      <c r="F124" s="2">
        <v>4935</v>
      </c>
      <c r="G124" s="2">
        <v>7265</v>
      </c>
      <c r="H124" s="2">
        <v>2415</v>
      </c>
      <c r="I124" s="2">
        <v>0</v>
      </c>
      <c r="K124" s="2">
        <v>3700</v>
      </c>
      <c r="L124" s="2">
        <v>3481</v>
      </c>
      <c r="M124" s="2">
        <v>3120</v>
      </c>
      <c r="N124" s="2">
        <v>1249</v>
      </c>
      <c r="O124" s="2">
        <v>0</v>
      </c>
      <c r="Q124" s="2">
        <v>3928</v>
      </c>
      <c r="R124" s="2">
        <v>-3379</v>
      </c>
      <c r="S124" s="2">
        <v>476</v>
      </c>
      <c r="T124" s="2">
        <v>620</v>
      </c>
      <c r="U124" s="2">
        <v>0</v>
      </c>
      <c r="W124" s="2">
        <v>4425</v>
      </c>
      <c r="X124" s="2">
        <v>3625</v>
      </c>
      <c r="Y124" s="2">
        <v>2943</v>
      </c>
      <c r="Z124" s="2">
        <v>0</v>
      </c>
      <c r="AA124" s="2">
        <v>0</v>
      </c>
      <c r="AC124" s="2">
        <v>3009</v>
      </c>
      <c r="AD124" s="2">
        <v>1208</v>
      </c>
      <c r="AE124" s="2">
        <v>726</v>
      </c>
      <c r="AF124" s="2">
        <v>546</v>
      </c>
      <c r="AG124" s="2">
        <v>0</v>
      </c>
      <c r="AI124" s="2">
        <v>0</v>
      </c>
      <c r="AJ124" s="2">
        <v>0</v>
      </c>
      <c r="AK124" s="2">
        <v>0</v>
      </c>
      <c r="AL124" s="2">
        <v>0</v>
      </c>
      <c r="AM124" s="2">
        <v>0</v>
      </c>
    </row>
    <row r="125" spans="1:39">
      <c r="A125" s="335">
        <v>91020</v>
      </c>
      <c r="B125" s="328" t="s">
        <v>813</v>
      </c>
      <c r="C125" s="239">
        <v>2.2900000000000001E-5</v>
      </c>
      <c r="E125" s="2">
        <v>11796</v>
      </c>
      <c r="F125" s="2">
        <v>3669</v>
      </c>
      <c r="G125" s="2">
        <v>5702</v>
      </c>
      <c r="H125" s="2">
        <v>325</v>
      </c>
      <c r="I125" s="2">
        <v>0</v>
      </c>
      <c r="K125" s="2">
        <v>3431</v>
      </c>
      <c r="L125" s="2">
        <v>3227</v>
      </c>
      <c r="M125" s="2">
        <v>2892</v>
      </c>
      <c r="N125" s="2">
        <v>1158</v>
      </c>
      <c r="O125" s="2">
        <v>0</v>
      </c>
      <c r="Q125" s="2">
        <v>3642</v>
      </c>
      <c r="R125" s="2">
        <v>-3133</v>
      </c>
      <c r="S125" s="2">
        <v>442</v>
      </c>
      <c r="T125" s="2">
        <v>575</v>
      </c>
      <c r="U125" s="2">
        <v>0</v>
      </c>
      <c r="W125" s="2">
        <v>4103</v>
      </c>
      <c r="X125" s="2">
        <v>3361</v>
      </c>
      <c r="Y125" s="2">
        <v>2729</v>
      </c>
      <c r="Z125" s="2">
        <v>0</v>
      </c>
      <c r="AA125" s="2">
        <v>0</v>
      </c>
      <c r="AC125" s="2">
        <v>2028</v>
      </c>
      <c r="AD125" s="2">
        <v>1622</v>
      </c>
      <c r="AE125" s="2">
        <v>1047</v>
      </c>
      <c r="AF125" s="2">
        <v>0</v>
      </c>
      <c r="AG125" s="2">
        <v>0</v>
      </c>
      <c r="AI125" s="2">
        <v>-1408</v>
      </c>
      <c r="AJ125" s="2">
        <v>-1408</v>
      </c>
      <c r="AK125" s="2">
        <v>-1408</v>
      </c>
      <c r="AL125" s="2">
        <v>-1408</v>
      </c>
      <c r="AM125" s="2">
        <v>0</v>
      </c>
    </row>
    <row r="126" spans="1:39">
      <c r="A126" s="335">
        <v>91021</v>
      </c>
      <c r="B126" s="328" t="s">
        <v>814</v>
      </c>
      <c r="C126" s="239">
        <v>9.2460000000000003E-4</v>
      </c>
      <c r="E126" s="2">
        <v>455425</v>
      </c>
      <c r="F126" s="2">
        <v>151821</v>
      </c>
      <c r="G126" s="2">
        <v>259814</v>
      </c>
      <c r="H126" s="2">
        <v>80885</v>
      </c>
      <c r="I126" s="2">
        <v>0</v>
      </c>
      <c r="K126" s="2">
        <v>138512</v>
      </c>
      <c r="L126" s="2">
        <v>130295</v>
      </c>
      <c r="M126" s="2">
        <v>116782</v>
      </c>
      <c r="N126" s="2">
        <v>46758</v>
      </c>
      <c r="O126" s="2">
        <v>0</v>
      </c>
      <c r="Q126" s="2">
        <v>147049</v>
      </c>
      <c r="R126" s="2">
        <v>-126490</v>
      </c>
      <c r="S126" s="2">
        <v>17827</v>
      </c>
      <c r="T126" s="2">
        <v>23202</v>
      </c>
      <c r="U126" s="2">
        <v>0</v>
      </c>
      <c r="W126" s="2">
        <v>165653</v>
      </c>
      <c r="X126" s="2">
        <v>135709</v>
      </c>
      <c r="Y126" s="2">
        <v>110173</v>
      </c>
      <c r="Z126" s="2">
        <v>0</v>
      </c>
      <c r="AA126" s="2">
        <v>0</v>
      </c>
      <c r="AC126" s="2">
        <v>15033</v>
      </c>
      <c r="AD126" s="2">
        <v>15033</v>
      </c>
      <c r="AE126" s="2">
        <v>15032</v>
      </c>
      <c r="AF126" s="2">
        <v>10925</v>
      </c>
      <c r="AG126" s="2">
        <v>0</v>
      </c>
      <c r="AI126" s="2">
        <v>-10822</v>
      </c>
      <c r="AJ126" s="2">
        <v>-2726</v>
      </c>
      <c r="AK126" s="2">
        <v>0</v>
      </c>
      <c r="AL126" s="2">
        <v>0</v>
      </c>
      <c r="AM126" s="2">
        <v>0</v>
      </c>
    </row>
    <row r="127" spans="1:39">
      <c r="A127" s="335">
        <v>91024</v>
      </c>
      <c r="B127" s="328" t="s">
        <v>815</v>
      </c>
      <c r="C127" s="239">
        <v>9.3599999999999998E-5</v>
      </c>
      <c r="E127" s="2">
        <v>54759</v>
      </c>
      <c r="F127" s="2">
        <v>20660</v>
      </c>
      <c r="G127" s="2">
        <v>30003</v>
      </c>
      <c r="H127" s="2">
        <v>8328</v>
      </c>
      <c r="I127" s="2">
        <v>0</v>
      </c>
      <c r="K127" s="2">
        <v>14022</v>
      </c>
      <c r="L127" s="2">
        <v>13190</v>
      </c>
      <c r="M127" s="2">
        <v>11822</v>
      </c>
      <c r="N127" s="2">
        <v>4733</v>
      </c>
      <c r="O127" s="2">
        <v>0</v>
      </c>
      <c r="Q127" s="2">
        <v>14886</v>
      </c>
      <c r="R127" s="2">
        <v>-12805</v>
      </c>
      <c r="S127" s="2">
        <v>1805</v>
      </c>
      <c r="T127" s="2">
        <v>2349</v>
      </c>
      <c r="U127" s="2">
        <v>0</v>
      </c>
      <c r="W127" s="2">
        <v>16770</v>
      </c>
      <c r="X127" s="2">
        <v>13738</v>
      </c>
      <c r="Y127" s="2">
        <v>11153</v>
      </c>
      <c r="Z127" s="2">
        <v>0</v>
      </c>
      <c r="AA127" s="2">
        <v>0</v>
      </c>
      <c r="AC127" s="2">
        <v>9081</v>
      </c>
      <c r="AD127" s="2">
        <v>6537</v>
      </c>
      <c r="AE127" s="2">
        <v>5223</v>
      </c>
      <c r="AF127" s="2">
        <v>1246</v>
      </c>
      <c r="AG127" s="2">
        <v>0</v>
      </c>
      <c r="AI127" s="2">
        <v>0</v>
      </c>
      <c r="AJ127" s="2">
        <v>0</v>
      </c>
      <c r="AK127" s="2">
        <v>0</v>
      </c>
      <c r="AL127" s="2">
        <v>0</v>
      </c>
      <c r="AM127" s="2">
        <v>0</v>
      </c>
    </row>
    <row r="128" spans="1:39">
      <c r="A128" s="335">
        <v>91026</v>
      </c>
      <c r="B128" s="328" t="s">
        <v>43</v>
      </c>
      <c r="C128" s="239">
        <v>3.1099999999999997E-5</v>
      </c>
      <c r="E128" s="2">
        <v>28455</v>
      </c>
      <c r="F128" s="2">
        <v>13574</v>
      </c>
      <c r="G128" s="2">
        <v>15997</v>
      </c>
      <c r="H128" s="2">
        <v>4453</v>
      </c>
      <c r="I128" s="2">
        <v>0</v>
      </c>
      <c r="K128" s="2">
        <v>4659</v>
      </c>
      <c r="L128" s="2">
        <v>4383</v>
      </c>
      <c r="M128" s="2">
        <v>3928</v>
      </c>
      <c r="N128" s="2">
        <v>1573</v>
      </c>
      <c r="O128" s="2">
        <v>0</v>
      </c>
      <c r="Q128" s="2">
        <v>4946</v>
      </c>
      <c r="R128" s="2">
        <v>-4255</v>
      </c>
      <c r="S128" s="2">
        <v>600</v>
      </c>
      <c r="T128" s="2">
        <v>780</v>
      </c>
      <c r="U128" s="2">
        <v>0</v>
      </c>
      <c r="W128" s="2">
        <v>5572</v>
      </c>
      <c r="X128" s="2">
        <v>4565</v>
      </c>
      <c r="Y128" s="2">
        <v>3706</v>
      </c>
      <c r="Z128" s="2">
        <v>0</v>
      </c>
      <c r="AA128" s="2">
        <v>0</v>
      </c>
      <c r="AC128" s="2">
        <v>13278</v>
      </c>
      <c r="AD128" s="2">
        <v>8881</v>
      </c>
      <c r="AE128" s="2">
        <v>7763</v>
      </c>
      <c r="AF128" s="2">
        <v>2100</v>
      </c>
      <c r="AG128" s="2">
        <v>0</v>
      </c>
      <c r="AI128" s="2">
        <v>0</v>
      </c>
      <c r="AJ128" s="2">
        <v>0</v>
      </c>
      <c r="AK128" s="2">
        <v>0</v>
      </c>
      <c r="AL128" s="2">
        <v>0</v>
      </c>
      <c r="AM128" s="2">
        <v>0</v>
      </c>
    </row>
    <row r="129" spans="1:39">
      <c r="A129" s="335">
        <v>91027</v>
      </c>
      <c r="B129" s="328" t="s">
        <v>2798</v>
      </c>
      <c r="C129" s="239">
        <v>1.7E-5</v>
      </c>
      <c r="E129" s="2">
        <v>14497</v>
      </c>
      <c r="F129" s="2">
        <v>7182</v>
      </c>
      <c r="G129" s="2">
        <v>7563</v>
      </c>
      <c r="H129" s="2">
        <v>2601</v>
      </c>
      <c r="I129" s="2">
        <v>0</v>
      </c>
      <c r="K129" s="2">
        <v>2547</v>
      </c>
      <c r="L129" s="2">
        <v>2396</v>
      </c>
      <c r="M129" s="2">
        <v>2147</v>
      </c>
      <c r="N129" s="2">
        <v>860</v>
      </c>
      <c r="O129" s="2">
        <v>0</v>
      </c>
      <c r="Q129" s="2">
        <v>2704</v>
      </c>
      <c r="R129" s="2">
        <v>-2326</v>
      </c>
      <c r="S129" s="2">
        <v>328</v>
      </c>
      <c r="T129" s="2">
        <v>427</v>
      </c>
      <c r="U129" s="2">
        <v>0</v>
      </c>
      <c r="W129" s="2">
        <v>3046</v>
      </c>
      <c r="X129" s="2">
        <v>2495</v>
      </c>
      <c r="Y129" s="2">
        <v>2026</v>
      </c>
      <c r="Z129" s="2">
        <v>0</v>
      </c>
      <c r="AA129" s="2">
        <v>0</v>
      </c>
      <c r="AC129" s="2">
        <v>6200</v>
      </c>
      <c r="AD129" s="2">
        <v>4617</v>
      </c>
      <c r="AE129" s="2">
        <v>3062</v>
      </c>
      <c r="AF129" s="2">
        <v>1314</v>
      </c>
      <c r="AG129" s="2">
        <v>0</v>
      </c>
      <c r="AI129" s="2">
        <v>0</v>
      </c>
      <c r="AJ129" s="2">
        <v>0</v>
      </c>
      <c r="AK129" s="2">
        <v>0</v>
      </c>
      <c r="AL129" s="2">
        <v>0</v>
      </c>
      <c r="AM129" s="2">
        <v>0</v>
      </c>
    </row>
    <row r="130" spans="1:39">
      <c r="A130" s="335">
        <v>91032</v>
      </c>
      <c r="B130" s="328" t="s">
        <v>817</v>
      </c>
      <c r="C130" s="239">
        <v>1.66E-5</v>
      </c>
      <c r="E130" s="2">
        <v>14779</v>
      </c>
      <c r="F130" s="2">
        <v>8336</v>
      </c>
      <c r="G130" s="2">
        <v>8745</v>
      </c>
      <c r="H130" s="2">
        <v>3622</v>
      </c>
      <c r="I130" s="2">
        <v>0</v>
      </c>
      <c r="K130" s="2">
        <v>2487</v>
      </c>
      <c r="L130" s="2">
        <v>2339</v>
      </c>
      <c r="M130" s="2">
        <v>2097</v>
      </c>
      <c r="N130" s="2">
        <v>839</v>
      </c>
      <c r="O130" s="2">
        <v>0</v>
      </c>
      <c r="Q130" s="2">
        <v>2640</v>
      </c>
      <c r="R130" s="2">
        <v>-2271</v>
      </c>
      <c r="S130" s="2">
        <v>320</v>
      </c>
      <c r="T130" s="2">
        <v>417</v>
      </c>
      <c r="U130" s="2">
        <v>0</v>
      </c>
      <c r="W130" s="2">
        <v>2974</v>
      </c>
      <c r="X130" s="2">
        <v>2436</v>
      </c>
      <c r="Y130" s="2">
        <v>1978</v>
      </c>
      <c r="Z130" s="2">
        <v>0</v>
      </c>
      <c r="AA130" s="2">
        <v>0</v>
      </c>
      <c r="AC130" s="2">
        <v>6678</v>
      </c>
      <c r="AD130" s="2">
        <v>5832</v>
      </c>
      <c r="AE130" s="2">
        <v>4350</v>
      </c>
      <c r="AF130" s="2">
        <v>2366</v>
      </c>
      <c r="AG130" s="2">
        <v>0</v>
      </c>
      <c r="AI130" s="2">
        <v>0</v>
      </c>
      <c r="AJ130" s="2">
        <v>0</v>
      </c>
      <c r="AK130" s="2">
        <v>0</v>
      </c>
      <c r="AL130" s="2">
        <v>0</v>
      </c>
      <c r="AM130" s="2">
        <v>0</v>
      </c>
    </row>
    <row r="131" spans="1:39">
      <c r="A131" s="335">
        <v>91041</v>
      </c>
      <c r="B131" s="328" t="s">
        <v>818</v>
      </c>
      <c r="C131" s="239">
        <v>4.3379999999999997E-4</v>
      </c>
      <c r="E131" s="2">
        <v>180869</v>
      </c>
      <c r="F131" s="2">
        <v>47304</v>
      </c>
      <c r="G131" s="2">
        <v>107665</v>
      </c>
      <c r="H131" s="2">
        <v>26766</v>
      </c>
      <c r="I131" s="2">
        <v>0</v>
      </c>
      <c r="K131" s="2">
        <v>64986</v>
      </c>
      <c r="L131" s="2">
        <v>61131</v>
      </c>
      <c r="M131" s="2">
        <v>54791</v>
      </c>
      <c r="N131" s="2">
        <v>21938</v>
      </c>
      <c r="O131" s="2">
        <v>0</v>
      </c>
      <c r="Q131" s="2">
        <v>68992</v>
      </c>
      <c r="R131" s="2">
        <v>-59346</v>
      </c>
      <c r="S131" s="2">
        <v>8364</v>
      </c>
      <c r="T131" s="2">
        <v>10886</v>
      </c>
      <c r="U131" s="2">
        <v>0</v>
      </c>
      <c r="W131" s="2">
        <v>77720</v>
      </c>
      <c r="X131" s="2">
        <v>63671</v>
      </c>
      <c r="Y131" s="2">
        <v>51690</v>
      </c>
      <c r="Z131" s="2">
        <v>0</v>
      </c>
      <c r="AA131" s="2">
        <v>0</v>
      </c>
      <c r="AC131" s="2">
        <v>0</v>
      </c>
      <c r="AD131" s="2">
        <v>0</v>
      </c>
      <c r="AE131" s="2">
        <v>0</v>
      </c>
      <c r="AF131" s="2">
        <v>0</v>
      </c>
      <c r="AG131" s="2">
        <v>0</v>
      </c>
      <c r="AI131" s="2">
        <v>-30829</v>
      </c>
      <c r="AJ131" s="2">
        <v>-18152</v>
      </c>
      <c r="AK131" s="2">
        <v>-7180</v>
      </c>
      <c r="AL131" s="2">
        <v>-6058</v>
      </c>
      <c r="AM131" s="2">
        <v>0</v>
      </c>
    </row>
    <row r="132" spans="1:39">
      <c r="A132" s="335">
        <v>91042</v>
      </c>
      <c r="B132" s="328" t="s">
        <v>819</v>
      </c>
      <c r="C132" s="239">
        <v>2.6259999999999999E-4</v>
      </c>
      <c r="E132" s="2">
        <v>128733</v>
      </c>
      <c r="F132" s="2">
        <v>42310</v>
      </c>
      <c r="G132" s="2">
        <v>69153</v>
      </c>
      <c r="H132" s="2">
        <v>16649</v>
      </c>
      <c r="I132" s="2">
        <v>0</v>
      </c>
      <c r="K132" s="2">
        <v>39339</v>
      </c>
      <c r="L132" s="2">
        <v>37006</v>
      </c>
      <c r="M132" s="2">
        <v>33168</v>
      </c>
      <c r="N132" s="2">
        <v>13280</v>
      </c>
      <c r="O132" s="2">
        <v>0</v>
      </c>
      <c r="Q132" s="2">
        <v>41764</v>
      </c>
      <c r="R132" s="2">
        <v>-35925</v>
      </c>
      <c r="S132" s="2">
        <v>5063</v>
      </c>
      <c r="T132" s="2">
        <v>6590</v>
      </c>
      <c r="U132" s="2">
        <v>0</v>
      </c>
      <c r="W132" s="2">
        <v>47048</v>
      </c>
      <c r="X132" s="2">
        <v>38543</v>
      </c>
      <c r="Y132" s="2">
        <v>31291</v>
      </c>
      <c r="Z132" s="2">
        <v>0</v>
      </c>
      <c r="AA132" s="2">
        <v>0</v>
      </c>
      <c r="AC132" s="2">
        <v>5905</v>
      </c>
      <c r="AD132" s="2">
        <v>5907</v>
      </c>
      <c r="AE132" s="2">
        <v>2852</v>
      </c>
      <c r="AF132" s="2">
        <v>0</v>
      </c>
      <c r="AG132" s="2">
        <v>0</v>
      </c>
      <c r="AI132" s="2">
        <v>-5323</v>
      </c>
      <c r="AJ132" s="2">
        <v>-3221</v>
      </c>
      <c r="AK132" s="2">
        <v>-3221</v>
      </c>
      <c r="AL132" s="2">
        <v>-3221</v>
      </c>
      <c r="AM132" s="2">
        <v>0</v>
      </c>
    </row>
    <row r="133" spans="1:39">
      <c r="A133" s="335">
        <v>91047</v>
      </c>
      <c r="B133" s="328" t="s">
        <v>820</v>
      </c>
      <c r="C133" s="239">
        <v>1.15E-5</v>
      </c>
      <c r="E133" s="2">
        <v>14525</v>
      </c>
      <c r="F133" s="2">
        <v>8438</v>
      </c>
      <c r="G133" s="2">
        <v>7688</v>
      </c>
      <c r="H133" s="2">
        <v>3247</v>
      </c>
      <c r="I133" s="2">
        <v>0</v>
      </c>
      <c r="K133" s="2">
        <v>1723</v>
      </c>
      <c r="L133" s="2">
        <v>1621</v>
      </c>
      <c r="M133" s="2">
        <v>1453</v>
      </c>
      <c r="N133" s="2">
        <v>582</v>
      </c>
      <c r="O133" s="2">
        <v>0</v>
      </c>
      <c r="Q133" s="2">
        <v>1829</v>
      </c>
      <c r="R133" s="2">
        <v>-1573</v>
      </c>
      <c r="S133" s="2">
        <v>222</v>
      </c>
      <c r="T133" s="2">
        <v>289</v>
      </c>
      <c r="U133" s="2">
        <v>0</v>
      </c>
      <c r="W133" s="2">
        <v>2060</v>
      </c>
      <c r="X133" s="2">
        <v>1688</v>
      </c>
      <c r="Y133" s="2">
        <v>1370</v>
      </c>
      <c r="Z133" s="2">
        <v>0</v>
      </c>
      <c r="AA133" s="2">
        <v>0</v>
      </c>
      <c r="AC133" s="2">
        <v>8913</v>
      </c>
      <c r="AD133" s="2">
        <v>6702</v>
      </c>
      <c r="AE133" s="2">
        <v>4643</v>
      </c>
      <c r="AF133" s="2">
        <v>2376</v>
      </c>
      <c r="AG133" s="2">
        <v>0</v>
      </c>
      <c r="AI133" s="2">
        <v>0</v>
      </c>
      <c r="AJ133" s="2">
        <v>0</v>
      </c>
      <c r="AK133" s="2">
        <v>0</v>
      </c>
      <c r="AL133" s="2">
        <v>0</v>
      </c>
      <c r="AM133" s="2">
        <v>0</v>
      </c>
    </row>
    <row r="134" spans="1:39">
      <c r="A134" s="335">
        <v>91051</v>
      </c>
      <c r="B134" s="328" t="s">
        <v>821</v>
      </c>
      <c r="C134" s="239">
        <v>6.2799999999999995E-5</v>
      </c>
      <c r="E134" s="2">
        <v>28529</v>
      </c>
      <c r="F134" s="2">
        <v>7878</v>
      </c>
      <c r="G134" s="2">
        <v>16640</v>
      </c>
      <c r="H134" s="2">
        <v>4479</v>
      </c>
      <c r="I134" s="2">
        <v>0</v>
      </c>
      <c r="K134" s="2">
        <v>9408</v>
      </c>
      <c r="L134" s="2">
        <v>8850</v>
      </c>
      <c r="M134" s="2">
        <v>7932</v>
      </c>
      <c r="N134" s="2">
        <v>3176</v>
      </c>
      <c r="O134" s="2">
        <v>0</v>
      </c>
      <c r="Q134" s="2">
        <v>9988</v>
      </c>
      <c r="R134" s="2">
        <v>-8591</v>
      </c>
      <c r="S134" s="2">
        <v>1211</v>
      </c>
      <c r="T134" s="2">
        <v>1576</v>
      </c>
      <c r="U134" s="2">
        <v>0</v>
      </c>
      <c r="W134" s="2">
        <v>11251</v>
      </c>
      <c r="X134" s="2">
        <v>9218</v>
      </c>
      <c r="Y134" s="2">
        <v>7483</v>
      </c>
      <c r="Z134" s="2">
        <v>0</v>
      </c>
      <c r="AA134" s="2">
        <v>0</v>
      </c>
      <c r="AC134" s="2">
        <v>291</v>
      </c>
      <c r="AD134" s="2">
        <v>291</v>
      </c>
      <c r="AE134" s="2">
        <v>289</v>
      </c>
      <c r="AF134" s="2">
        <v>0</v>
      </c>
      <c r="AG134" s="2">
        <v>0</v>
      </c>
      <c r="AI134" s="2">
        <v>-2409</v>
      </c>
      <c r="AJ134" s="2">
        <v>-1890</v>
      </c>
      <c r="AK134" s="2">
        <v>-275</v>
      </c>
      <c r="AL134" s="2">
        <v>-273</v>
      </c>
      <c r="AM134" s="2">
        <v>0</v>
      </c>
    </row>
    <row r="135" spans="1:39">
      <c r="A135" s="335">
        <v>91057</v>
      </c>
      <c r="B135" s="328" t="s">
        <v>822</v>
      </c>
      <c r="C135" s="239">
        <v>1.5699999999999999E-5</v>
      </c>
      <c r="E135" s="2">
        <v>10719</v>
      </c>
      <c r="F135" s="2">
        <v>4820</v>
      </c>
      <c r="G135" s="2">
        <v>6108</v>
      </c>
      <c r="H135" s="2">
        <v>2466</v>
      </c>
      <c r="I135" s="2">
        <v>0</v>
      </c>
      <c r="K135" s="2">
        <v>2352</v>
      </c>
      <c r="L135" s="2">
        <v>2212</v>
      </c>
      <c r="M135" s="2">
        <v>1983</v>
      </c>
      <c r="N135" s="2">
        <v>794</v>
      </c>
      <c r="O135" s="2">
        <v>0</v>
      </c>
      <c r="Q135" s="2">
        <v>2497</v>
      </c>
      <c r="R135" s="2">
        <v>-2148</v>
      </c>
      <c r="S135" s="2">
        <v>303</v>
      </c>
      <c r="T135" s="2">
        <v>394</v>
      </c>
      <c r="U135" s="2">
        <v>0</v>
      </c>
      <c r="W135" s="2">
        <v>2813</v>
      </c>
      <c r="X135" s="2">
        <v>2304</v>
      </c>
      <c r="Y135" s="2">
        <v>1871</v>
      </c>
      <c r="Z135" s="2">
        <v>0</v>
      </c>
      <c r="AA135" s="2">
        <v>0</v>
      </c>
      <c r="AC135" s="2">
        <v>3057</v>
      </c>
      <c r="AD135" s="2">
        <v>2452</v>
      </c>
      <c r="AE135" s="2">
        <v>1951</v>
      </c>
      <c r="AF135" s="2">
        <v>1278</v>
      </c>
      <c r="AG135" s="2">
        <v>0</v>
      </c>
      <c r="AI135" s="2">
        <v>0</v>
      </c>
      <c r="AJ135" s="2">
        <v>0</v>
      </c>
      <c r="AK135" s="2">
        <v>0</v>
      </c>
      <c r="AL135" s="2">
        <v>0</v>
      </c>
      <c r="AM135" s="2">
        <v>0</v>
      </c>
    </row>
    <row r="136" spans="1:39">
      <c r="A136" s="335">
        <v>91061</v>
      </c>
      <c r="B136" s="328" t="s">
        <v>823</v>
      </c>
      <c r="C136" s="239">
        <v>3.8039999999999998E-4</v>
      </c>
      <c r="E136" s="2">
        <v>185334</v>
      </c>
      <c r="F136" s="2">
        <v>54150</v>
      </c>
      <c r="G136" s="2">
        <v>95089</v>
      </c>
      <c r="H136" s="2">
        <v>29787</v>
      </c>
      <c r="I136" s="2">
        <v>0</v>
      </c>
      <c r="K136" s="2">
        <v>56987</v>
      </c>
      <c r="L136" s="2">
        <v>53606</v>
      </c>
      <c r="M136" s="2">
        <v>48046</v>
      </c>
      <c r="N136" s="2">
        <v>19237</v>
      </c>
      <c r="O136" s="2">
        <v>0</v>
      </c>
      <c r="Q136" s="2">
        <v>60499</v>
      </c>
      <c r="R136" s="2">
        <v>-52041</v>
      </c>
      <c r="S136" s="2">
        <v>7334</v>
      </c>
      <c r="T136" s="2">
        <v>9546</v>
      </c>
      <c r="U136" s="2">
        <v>0</v>
      </c>
      <c r="W136" s="2">
        <v>68153</v>
      </c>
      <c r="X136" s="2">
        <v>55834</v>
      </c>
      <c r="Y136" s="2">
        <v>45327</v>
      </c>
      <c r="Z136" s="2">
        <v>0</v>
      </c>
      <c r="AA136" s="2">
        <v>0</v>
      </c>
      <c r="AC136" s="2">
        <v>6315</v>
      </c>
      <c r="AD136" s="2">
        <v>3371</v>
      </c>
      <c r="AE136" s="2">
        <v>1002</v>
      </c>
      <c r="AF136" s="2">
        <v>1004</v>
      </c>
      <c r="AG136" s="2">
        <v>0</v>
      </c>
      <c r="AI136" s="2">
        <v>-6620</v>
      </c>
      <c r="AJ136" s="2">
        <v>-6620</v>
      </c>
      <c r="AK136" s="2">
        <v>-6620</v>
      </c>
      <c r="AL136" s="2">
        <v>0</v>
      </c>
      <c r="AM136" s="2">
        <v>0</v>
      </c>
    </row>
    <row r="137" spans="1:39">
      <c r="A137" s="335">
        <v>91067</v>
      </c>
      <c r="B137" s="328" t="s">
        <v>824</v>
      </c>
      <c r="C137" s="239">
        <v>1.6200000000000001E-5</v>
      </c>
      <c r="E137" s="2">
        <v>8634</v>
      </c>
      <c r="F137" s="2">
        <v>2853</v>
      </c>
      <c r="G137" s="2">
        <v>4796</v>
      </c>
      <c r="H137" s="2">
        <v>1346</v>
      </c>
      <c r="I137" s="2">
        <v>0</v>
      </c>
      <c r="K137" s="2">
        <v>2427</v>
      </c>
      <c r="L137" s="2">
        <v>2283</v>
      </c>
      <c r="M137" s="2">
        <v>2046</v>
      </c>
      <c r="N137" s="2">
        <v>819</v>
      </c>
      <c r="O137" s="2">
        <v>0</v>
      </c>
      <c r="Q137" s="2">
        <v>2576</v>
      </c>
      <c r="R137" s="2">
        <v>-2216</v>
      </c>
      <c r="S137" s="2">
        <v>312</v>
      </c>
      <c r="T137" s="2">
        <v>407</v>
      </c>
      <c r="U137" s="2">
        <v>0</v>
      </c>
      <c r="W137" s="2">
        <v>2902</v>
      </c>
      <c r="X137" s="2">
        <v>2378</v>
      </c>
      <c r="Y137" s="2">
        <v>1930</v>
      </c>
      <c r="Z137" s="2">
        <v>0</v>
      </c>
      <c r="AA137" s="2">
        <v>0</v>
      </c>
      <c r="AC137" s="2">
        <v>831</v>
      </c>
      <c r="AD137" s="2">
        <v>509</v>
      </c>
      <c r="AE137" s="2">
        <v>508</v>
      </c>
      <c r="AF137" s="2">
        <v>120</v>
      </c>
      <c r="AG137" s="2">
        <v>0</v>
      </c>
      <c r="AI137" s="2">
        <v>-102</v>
      </c>
      <c r="AJ137" s="2">
        <v>-101</v>
      </c>
      <c r="AK137" s="2">
        <v>0</v>
      </c>
      <c r="AL137" s="2">
        <v>0</v>
      </c>
      <c r="AM137" s="2">
        <v>0</v>
      </c>
    </row>
    <row r="138" spans="1:39">
      <c r="A138" s="335">
        <v>91071</v>
      </c>
      <c r="B138" s="328" t="s">
        <v>3667</v>
      </c>
      <c r="C138" s="239">
        <v>2.4489999999999999E-4</v>
      </c>
      <c r="E138" s="2">
        <v>113453</v>
      </c>
      <c r="F138" s="2">
        <v>31355</v>
      </c>
      <c r="G138" s="2">
        <v>64196</v>
      </c>
      <c r="H138" s="2">
        <v>18074</v>
      </c>
      <c r="I138" s="2">
        <v>0</v>
      </c>
      <c r="K138" s="2">
        <v>36688</v>
      </c>
      <c r="L138" s="2">
        <v>34511</v>
      </c>
      <c r="M138" s="2">
        <v>30932</v>
      </c>
      <c r="N138" s="2">
        <v>12385</v>
      </c>
      <c r="O138" s="2">
        <v>0</v>
      </c>
      <c r="Q138" s="2">
        <v>38949</v>
      </c>
      <c r="R138" s="2">
        <v>-33504</v>
      </c>
      <c r="S138" s="2">
        <v>4722</v>
      </c>
      <c r="T138" s="2">
        <v>6146</v>
      </c>
      <c r="U138" s="2">
        <v>0</v>
      </c>
      <c r="W138" s="2">
        <v>43877</v>
      </c>
      <c r="X138" s="2">
        <v>35945</v>
      </c>
      <c r="Y138" s="2">
        <v>29182</v>
      </c>
      <c r="Z138" s="2">
        <v>0</v>
      </c>
      <c r="AA138" s="2">
        <v>0</v>
      </c>
      <c r="AC138" s="2">
        <v>0</v>
      </c>
      <c r="AD138" s="2">
        <v>0</v>
      </c>
      <c r="AE138" s="2">
        <v>0</v>
      </c>
      <c r="AF138" s="2">
        <v>0</v>
      </c>
      <c r="AG138" s="2">
        <v>0</v>
      </c>
      <c r="AI138" s="2">
        <v>-6061</v>
      </c>
      <c r="AJ138" s="2">
        <v>-5597</v>
      </c>
      <c r="AK138" s="2">
        <v>-640</v>
      </c>
      <c r="AL138" s="2">
        <v>-457</v>
      </c>
      <c r="AM138" s="2">
        <v>0</v>
      </c>
    </row>
    <row r="139" spans="1:39">
      <c r="A139" s="335">
        <v>91077</v>
      </c>
      <c r="B139" s="328" t="s">
        <v>826</v>
      </c>
      <c r="C139" s="239">
        <v>5.9000000000000003E-6</v>
      </c>
      <c r="E139" s="2">
        <v>4045</v>
      </c>
      <c r="F139" s="2">
        <v>1918</v>
      </c>
      <c r="G139" s="2">
        <v>2334</v>
      </c>
      <c r="H139" s="2">
        <v>1042</v>
      </c>
      <c r="I139" s="2">
        <v>0</v>
      </c>
      <c r="K139" s="2">
        <v>884</v>
      </c>
      <c r="L139" s="2">
        <v>831</v>
      </c>
      <c r="M139" s="2">
        <v>745</v>
      </c>
      <c r="N139" s="2">
        <v>298</v>
      </c>
      <c r="O139" s="2">
        <v>0</v>
      </c>
      <c r="Q139" s="2">
        <v>938</v>
      </c>
      <c r="R139" s="2">
        <v>-807</v>
      </c>
      <c r="S139" s="2">
        <v>114</v>
      </c>
      <c r="T139" s="2">
        <v>148</v>
      </c>
      <c r="U139" s="2">
        <v>0</v>
      </c>
      <c r="W139" s="2">
        <v>1057</v>
      </c>
      <c r="X139" s="2">
        <v>866</v>
      </c>
      <c r="Y139" s="2">
        <v>703</v>
      </c>
      <c r="Z139" s="2">
        <v>0</v>
      </c>
      <c r="AA139" s="2">
        <v>0</v>
      </c>
      <c r="AC139" s="2">
        <v>1166</v>
      </c>
      <c r="AD139" s="2">
        <v>1028</v>
      </c>
      <c r="AE139" s="2">
        <v>772</v>
      </c>
      <c r="AF139" s="2">
        <v>596</v>
      </c>
      <c r="AG139" s="2">
        <v>0</v>
      </c>
      <c r="AI139" s="2">
        <v>0</v>
      </c>
      <c r="AJ139" s="2">
        <v>0</v>
      </c>
      <c r="AK139" s="2">
        <v>0</v>
      </c>
      <c r="AL139" s="2">
        <v>0</v>
      </c>
      <c r="AM139" s="2">
        <v>0</v>
      </c>
    </row>
    <row r="140" spans="1:39">
      <c r="A140" s="335">
        <v>91081</v>
      </c>
      <c r="B140" s="328" t="s">
        <v>827</v>
      </c>
      <c r="C140" s="239">
        <v>4.2739999999999998E-4</v>
      </c>
      <c r="E140" s="2">
        <v>217591</v>
      </c>
      <c r="F140" s="2">
        <v>73251</v>
      </c>
      <c r="G140" s="2">
        <v>121797</v>
      </c>
      <c r="H140" s="2">
        <v>36204</v>
      </c>
      <c r="I140" s="2">
        <v>0</v>
      </c>
      <c r="K140" s="2">
        <v>64028</v>
      </c>
      <c r="L140" s="2">
        <v>60229</v>
      </c>
      <c r="M140" s="2">
        <v>53983</v>
      </c>
      <c r="N140" s="2">
        <v>21614</v>
      </c>
      <c r="O140" s="2">
        <v>0</v>
      </c>
      <c r="Q140" s="2">
        <v>67974</v>
      </c>
      <c r="R140" s="2">
        <v>-58470</v>
      </c>
      <c r="S140" s="2">
        <v>8241</v>
      </c>
      <c r="T140" s="2">
        <v>10725</v>
      </c>
      <c r="U140" s="2">
        <v>0</v>
      </c>
      <c r="W140" s="2">
        <v>76574</v>
      </c>
      <c r="X140" s="2">
        <v>62732</v>
      </c>
      <c r="Y140" s="2">
        <v>50928</v>
      </c>
      <c r="Z140" s="2">
        <v>0</v>
      </c>
      <c r="AA140" s="2">
        <v>0</v>
      </c>
      <c r="AC140" s="2">
        <v>9015</v>
      </c>
      <c r="AD140" s="2">
        <v>8760</v>
      </c>
      <c r="AE140" s="2">
        <v>8645</v>
      </c>
      <c r="AF140" s="2">
        <v>3865</v>
      </c>
      <c r="AG140" s="2">
        <v>0</v>
      </c>
      <c r="AI140" s="2">
        <v>0</v>
      </c>
      <c r="AJ140" s="2">
        <v>0</v>
      </c>
      <c r="AK140" s="2">
        <v>0</v>
      </c>
      <c r="AL140" s="2">
        <v>0</v>
      </c>
      <c r="AM140" s="2">
        <v>0</v>
      </c>
    </row>
    <row r="141" spans="1:39">
      <c r="A141" s="335">
        <v>91091</v>
      </c>
      <c r="B141" s="328" t="s">
        <v>828</v>
      </c>
      <c r="C141" s="239">
        <v>5.4540000000000003E-4</v>
      </c>
      <c r="E141" s="2">
        <v>255972</v>
      </c>
      <c r="F141" s="2">
        <v>73504</v>
      </c>
      <c r="G141" s="2">
        <v>144176</v>
      </c>
      <c r="H141" s="2">
        <v>48076</v>
      </c>
      <c r="I141" s="2">
        <v>0</v>
      </c>
      <c r="K141" s="2">
        <v>81705</v>
      </c>
      <c r="L141" s="2">
        <v>76858</v>
      </c>
      <c r="M141" s="2">
        <v>68887</v>
      </c>
      <c r="N141" s="2">
        <v>27581</v>
      </c>
      <c r="O141" s="2">
        <v>0</v>
      </c>
      <c r="Q141" s="2">
        <v>86741</v>
      </c>
      <c r="R141" s="2">
        <v>-74613</v>
      </c>
      <c r="S141" s="2">
        <v>10516</v>
      </c>
      <c r="T141" s="2">
        <v>13686</v>
      </c>
      <c r="U141" s="2">
        <v>0</v>
      </c>
      <c r="W141" s="2">
        <v>97715</v>
      </c>
      <c r="X141" s="2">
        <v>80052</v>
      </c>
      <c r="Y141" s="2">
        <v>64988</v>
      </c>
      <c r="Z141" s="2">
        <v>0</v>
      </c>
      <c r="AA141" s="2">
        <v>0</v>
      </c>
      <c r="AC141" s="2">
        <v>6809</v>
      </c>
      <c r="AD141" s="2">
        <v>6809</v>
      </c>
      <c r="AE141" s="2">
        <v>6809</v>
      </c>
      <c r="AF141" s="2">
        <v>6809</v>
      </c>
      <c r="AG141" s="2">
        <v>0</v>
      </c>
      <c r="AI141" s="2">
        <v>-16998</v>
      </c>
      <c r="AJ141" s="2">
        <v>-15602</v>
      </c>
      <c r="AK141" s="2">
        <v>-7024</v>
      </c>
      <c r="AL141" s="2">
        <v>0</v>
      </c>
      <c r="AM141" s="2">
        <v>0</v>
      </c>
    </row>
    <row r="142" spans="1:39">
      <c r="A142" s="335">
        <v>91101</v>
      </c>
      <c r="B142" s="328" t="s">
        <v>829</v>
      </c>
      <c r="C142" s="239">
        <v>1.32874E-2</v>
      </c>
      <c r="E142" s="2">
        <v>6139749</v>
      </c>
      <c r="F142" s="2">
        <v>1735439</v>
      </c>
      <c r="G142" s="2">
        <v>3332694</v>
      </c>
      <c r="H142" s="2">
        <v>869328</v>
      </c>
      <c r="I142" s="2">
        <v>0</v>
      </c>
      <c r="K142" s="2">
        <v>1990546</v>
      </c>
      <c r="L142" s="2">
        <v>1872460</v>
      </c>
      <c r="M142" s="2">
        <v>1678265</v>
      </c>
      <c r="N142" s="2">
        <v>671957</v>
      </c>
      <c r="O142" s="2">
        <v>0</v>
      </c>
      <c r="Q142" s="2">
        <v>2113241</v>
      </c>
      <c r="R142" s="2">
        <v>-1817783</v>
      </c>
      <c r="S142" s="2">
        <v>256194</v>
      </c>
      <c r="T142" s="2">
        <v>333434</v>
      </c>
      <c r="U142" s="2">
        <v>0</v>
      </c>
      <c r="W142" s="2">
        <v>2380597</v>
      </c>
      <c r="X142" s="2">
        <v>1950271</v>
      </c>
      <c r="Y142" s="2">
        <v>1583287</v>
      </c>
      <c r="Z142" s="2">
        <v>0</v>
      </c>
      <c r="AA142" s="2">
        <v>0</v>
      </c>
      <c r="AC142" s="2">
        <v>0</v>
      </c>
      <c r="AD142" s="2">
        <v>0</v>
      </c>
      <c r="AE142" s="2">
        <v>0</v>
      </c>
      <c r="AF142" s="2">
        <v>0</v>
      </c>
      <c r="AG142" s="2">
        <v>0</v>
      </c>
      <c r="AI142" s="2">
        <v>-344635</v>
      </c>
      <c r="AJ142" s="2">
        <v>-269509</v>
      </c>
      <c r="AK142" s="2">
        <v>-185052</v>
      </c>
      <c r="AL142" s="2">
        <v>-136063</v>
      </c>
      <c r="AM142" s="2">
        <v>0</v>
      </c>
    </row>
    <row r="143" spans="1:39">
      <c r="A143" s="335">
        <v>91102</v>
      </c>
      <c r="B143" s="328" t="s">
        <v>830</v>
      </c>
      <c r="C143" s="239">
        <v>3.279E-4</v>
      </c>
      <c r="E143" s="2">
        <v>169172</v>
      </c>
      <c r="F143" s="2">
        <v>54624</v>
      </c>
      <c r="G143" s="2">
        <v>86545</v>
      </c>
      <c r="H143" s="2">
        <v>24855</v>
      </c>
      <c r="I143" s="2">
        <v>0</v>
      </c>
      <c r="K143" s="2">
        <v>49122</v>
      </c>
      <c r="L143" s="2">
        <v>46208</v>
      </c>
      <c r="M143" s="2">
        <v>41415</v>
      </c>
      <c r="N143" s="2">
        <v>16582</v>
      </c>
      <c r="O143" s="2">
        <v>0</v>
      </c>
      <c r="Q143" s="2">
        <v>52150</v>
      </c>
      <c r="R143" s="2">
        <v>-44858</v>
      </c>
      <c r="S143" s="2">
        <v>6322</v>
      </c>
      <c r="T143" s="2">
        <v>8228</v>
      </c>
      <c r="U143" s="2">
        <v>0</v>
      </c>
      <c r="W143" s="2">
        <v>58747</v>
      </c>
      <c r="X143" s="2">
        <v>48128</v>
      </c>
      <c r="Y143" s="2">
        <v>39072</v>
      </c>
      <c r="Z143" s="2">
        <v>0</v>
      </c>
      <c r="AA143" s="2">
        <v>0</v>
      </c>
      <c r="AC143" s="2">
        <v>9461</v>
      </c>
      <c r="AD143" s="2">
        <v>5454</v>
      </c>
      <c r="AE143" s="2">
        <v>45</v>
      </c>
      <c r="AF143" s="2">
        <v>45</v>
      </c>
      <c r="AG143" s="2">
        <v>0</v>
      </c>
      <c r="AI143" s="2">
        <v>-308</v>
      </c>
      <c r="AJ143" s="2">
        <v>-308</v>
      </c>
      <c r="AK143" s="2">
        <v>-309</v>
      </c>
      <c r="AL143" s="2">
        <v>0</v>
      </c>
      <c r="AM143" s="2">
        <v>0</v>
      </c>
    </row>
    <row r="144" spans="1:39">
      <c r="A144" s="335">
        <v>91104</v>
      </c>
      <c r="B144" s="328" t="s">
        <v>831</v>
      </c>
      <c r="C144" s="239">
        <v>1.66E-5</v>
      </c>
      <c r="E144" s="2">
        <v>12025</v>
      </c>
      <c r="F144" s="2">
        <v>6256</v>
      </c>
      <c r="G144" s="2">
        <v>7799</v>
      </c>
      <c r="H144" s="2">
        <v>3935</v>
      </c>
      <c r="I144" s="2">
        <v>0</v>
      </c>
      <c r="K144" s="2">
        <v>2487</v>
      </c>
      <c r="L144" s="2">
        <v>2339</v>
      </c>
      <c r="M144" s="2">
        <v>2097</v>
      </c>
      <c r="N144" s="2">
        <v>839</v>
      </c>
      <c r="O144" s="2">
        <v>0</v>
      </c>
      <c r="Q144" s="2">
        <v>2640</v>
      </c>
      <c r="R144" s="2">
        <v>-2271</v>
      </c>
      <c r="S144" s="2">
        <v>320</v>
      </c>
      <c r="T144" s="2">
        <v>417</v>
      </c>
      <c r="U144" s="2">
        <v>0</v>
      </c>
      <c r="W144" s="2">
        <v>2974</v>
      </c>
      <c r="X144" s="2">
        <v>2436</v>
      </c>
      <c r="Y144" s="2">
        <v>1978</v>
      </c>
      <c r="Z144" s="2">
        <v>0</v>
      </c>
      <c r="AA144" s="2">
        <v>0</v>
      </c>
      <c r="AC144" s="2">
        <v>3924</v>
      </c>
      <c r="AD144" s="2">
        <v>3752</v>
      </c>
      <c r="AE144" s="2">
        <v>3404</v>
      </c>
      <c r="AF144" s="2">
        <v>2679</v>
      </c>
      <c r="AG144" s="2">
        <v>0</v>
      </c>
      <c r="AI144" s="2">
        <v>0</v>
      </c>
      <c r="AJ144" s="2">
        <v>0</v>
      </c>
      <c r="AK144" s="2">
        <v>0</v>
      </c>
      <c r="AL144" s="2">
        <v>0</v>
      </c>
      <c r="AM144" s="2">
        <v>0</v>
      </c>
    </row>
    <row r="145" spans="1:39">
      <c r="A145" s="335">
        <v>91107</v>
      </c>
      <c r="B145" s="328" t="s">
        <v>3668</v>
      </c>
      <c r="C145" s="239">
        <v>5.4500000000000003E-5</v>
      </c>
      <c r="E145" s="2">
        <v>30946</v>
      </c>
      <c r="F145" s="2">
        <v>10869</v>
      </c>
      <c r="G145" s="2">
        <v>15770</v>
      </c>
      <c r="H145" s="2">
        <v>6215</v>
      </c>
      <c r="I145" s="2">
        <v>0</v>
      </c>
      <c r="K145" s="2">
        <v>8164</v>
      </c>
      <c r="L145" s="2">
        <v>7680</v>
      </c>
      <c r="M145" s="2">
        <v>6884</v>
      </c>
      <c r="N145" s="2">
        <v>2756</v>
      </c>
      <c r="O145" s="2">
        <v>0</v>
      </c>
      <c r="Q145" s="2">
        <v>8668</v>
      </c>
      <c r="R145" s="2">
        <v>-7456</v>
      </c>
      <c r="S145" s="2">
        <v>1051</v>
      </c>
      <c r="T145" s="2">
        <v>1368</v>
      </c>
      <c r="U145" s="2">
        <v>0</v>
      </c>
      <c r="W145" s="2">
        <v>9764</v>
      </c>
      <c r="X145" s="2">
        <v>7999</v>
      </c>
      <c r="Y145" s="2">
        <v>6494</v>
      </c>
      <c r="Z145" s="2">
        <v>0</v>
      </c>
      <c r="AA145" s="2">
        <v>0</v>
      </c>
      <c r="AC145" s="2">
        <v>5103</v>
      </c>
      <c r="AD145" s="2">
        <v>3399</v>
      </c>
      <c r="AE145" s="2">
        <v>2092</v>
      </c>
      <c r="AF145" s="2">
        <v>2091</v>
      </c>
      <c r="AG145" s="2">
        <v>0</v>
      </c>
      <c r="AI145" s="2">
        <v>-753</v>
      </c>
      <c r="AJ145" s="2">
        <v>-753</v>
      </c>
      <c r="AK145" s="2">
        <v>-751</v>
      </c>
      <c r="AL145" s="2">
        <v>0</v>
      </c>
      <c r="AM145" s="2">
        <v>0</v>
      </c>
    </row>
    <row r="146" spans="1:39">
      <c r="A146" s="335">
        <v>91108</v>
      </c>
      <c r="B146" s="328" t="s">
        <v>3669</v>
      </c>
      <c r="C146" s="239">
        <v>1.1929E-3</v>
      </c>
      <c r="E146" s="2">
        <v>611560</v>
      </c>
      <c r="F146" s="2">
        <v>202832</v>
      </c>
      <c r="G146" s="2">
        <v>333422</v>
      </c>
      <c r="H146" s="2">
        <v>101847</v>
      </c>
      <c r="I146" s="2">
        <v>0</v>
      </c>
      <c r="K146" s="2">
        <v>178705</v>
      </c>
      <c r="L146" s="2">
        <v>168103</v>
      </c>
      <c r="M146" s="2">
        <v>150669</v>
      </c>
      <c r="N146" s="2">
        <v>60326</v>
      </c>
      <c r="O146" s="2">
        <v>0</v>
      </c>
      <c r="Q146" s="2">
        <v>189720</v>
      </c>
      <c r="R146" s="2">
        <v>-163195</v>
      </c>
      <c r="S146" s="2">
        <v>23000</v>
      </c>
      <c r="T146" s="2">
        <v>29935</v>
      </c>
      <c r="U146" s="2">
        <v>0</v>
      </c>
      <c r="W146" s="2">
        <v>213722</v>
      </c>
      <c r="X146" s="2">
        <v>175089</v>
      </c>
      <c r="Y146" s="2">
        <v>142142</v>
      </c>
      <c r="Z146" s="2">
        <v>0</v>
      </c>
      <c r="AA146" s="2">
        <v>0</v>
      </c>
      <c r="AC146" s="2">
        <v>29413</v>
      </c>
      <c r="AD146" s="2">
        <v>22835</v>
      </c>
      <c r="AE146" s="2">
        <v>17611</v>
      </c>
      <c r="AF146" s="2">
        <v>11586</v>
      </c>
      <c r="AG146" s="2">
        <v>0</v>
      </c>
      <c r="AI146" s="2">
        <v>0</v>
      </c>
      <c r="AJ146" s="2">
        <v>0</v>
      </c>
      <c r="AK146" s="2">
        <v>0</v>
      </c>
      <c r="AL146" s="2">
        <v>0</v>
      </c>
      <c r="AM146" s="2">
        <v>0</v>
      </c>
    </row>
    <row r="147" spans="1:39">
      <c r="A147" s="335">
        <v>91109</v>
      </c>
      <c r="B147" s="328" t="s">
        <v>2785</v>
      </c>
      <c r="C147" s="239">
        <v>9.8300000000000004E-5</v>
      </c>
      <c r="E147" s="2">
        <v>50031</v>
      </c>
      <c r="F147" s="2">
        <v>17001</v>
      </c>
      <c r="G147" s="2">
        <v>27068</v>
      </c>
      <c r="H147" s="2">
        <v>7631</v>
      </c>
      <c r="I147" s="2">
        <v>0</v>
      </c>
      <c r="K147" s="2">
        <v>14726</v>
      </c>
      <c r="L147" s="2">
        <v>13852</v>
      </c>
      <c r="M147" s="2">
        <v>12416</v>
      </c>
      <c r="N147" s="2">
        <v>4971</v>
      </c>
      <c r="O147" s="2">
        <v>0</v>
      </c>
      <c r="Q147" s="2">
        <v>15634</v>
      </c>
      <c r="R147" s="2">
        <v>-13448</v>
      </c>
      <c r="S147" s="2">
        <v>1895</v>
      </c>
      <c r="T147" s="2">
        <v>2467</v>
      </c>
      <c r="U147" s="2">
        <v>0</v>
      </c>
      <c r="W147" s="2">
        <v>17612</v>
      </c>
      <c r="X147" s="2">
        <v>14428</v>
      </c>
      <c r="Y147" s="2">
        <v>11713</v>
      </c>
      <c r="Z147" s="2">
        <v>0</v>
      </c>
      <c r="AA147" s="2">
        <v>0</v>
      </c>
      <c r="AC147" s="2">
        <v>2167</v>
      </c>
      <c r="AD147" s="2">
        <v>2169</v>
      </c>
      <c r="AE147" s="2">
        <v>1044</v>
      </c>
      <c r="AF147" s="2">
        <v>193</v>
      </c>
      <c r="AG147" s="2">
        <v>0</v>
      </c>
      <c r="AI147" s="2">
        <v>-108</v>
      </c>
      <c r="AJ147" s="2">
        <v>0</v>
      </c>
      <c r="AK147" s="2">
        <v>0</v>
      </c>
      <c r="AL147" s="2">
        <v>0</v>
      </c>
      <c r="AM147" s="2">
        <v>0</v>
      </c>
    </row>
    <row r="148" spans="1:39">
      <c r="A148" s="335">
        <v>91111</v>
      </c>
      <c r="B148" s="328" t="s">
        <v>835</v>
      </c>
      <c r="C148" s="239">
        <v>1.973E-4</v>
      </c>
      <c r="E148" s="2">
        <v>96106</v>
      </c>
      <c r="F148" s="2">
        <v>28028</v>
      </c>
      <c r="G148" s="2">
        <v>48566</v>
      </c>
      <c r="H148" s="2">
        <v>10107</v>
      </c>
      <c r="I148" s="2">
        <v>0</v>
      </c>
      <c r="K148" s="2">
        <v>29557</v>
      </c>
      <c r="L148" s="2">
        <v>27804</v>
      </c>
      <c r="M148" s="2">
        <v>24920</v>
      </c>
      <c r="N148" s="2">
        <v>9978</v>
      </c>
      <c r="O148" s="2">
        <v>0</v>
      </c>
      <c r="Q148" s="2">
        <v>31379</v>
      </c>
      <c r="R148" s="2">
        <v>-26992</v>
      </c>
      <c r="S148" s="2">
        <v>3804</v>
      </c>
      <c r="T148" s="2">
        <v>4951</v>
      </c>
      <c r="U148" s="2">
        <v>0</v>
      </c>
      <c r="W148" s="2">
        <v>35349</v>
      </c>
      <c r="X148" s="2">
        <v>28959</v>
      </c>
      <c r="Y148" s="2">
        <v>23510</v>
      </c>
      <c r="Z148" s="2">
        <v>0</v>
      </c>
      <c r="AA148" s="2">
        <v>0</v>
      </c>
      <c r="AC148" s="2">
        <v>4645</v>
      </c>
      <c r="AD148" s="2">
        <v>3081</v>
      </c>
      <c r="AE148" s="2">
        <v>1156</v>
      </c>
      <c r="AF148" s="2">
        <v>0</v>
      </c>
      <c r="AG148" s="2">
        <v>0</v>
      </c>
      <c r="AI148" s="2">
        <v>-4824</v>
      </c>
      <c r="AJ148" s="2">
        <v>-4824</v>
      </c>
      <c r="AK148" s="2">
        <v>-4824</v>
      </c>
      <c r="AL148" s="2">
        <v>-4822</v>
      </c>
      <c r="AM148" s="2">
        <v>0</v>
      </c>
    </row>
    <row r="149" spans="1:39">
      <c r="A149" s="335">
        <v>91120</v>
      </c>
      <c r="B149" s="328" t="s">
        <v>3670</v>
      </c>
      <c r="C149" s="239">
        <v>1.807E-4</v>
      </c>
      <c r="E149" s="2">
        <v>92497</v>
      </c>
      <c r="F149" s="2">
        <v>32380</v>
      </c>
      <c r="G149" s="2">
        <v>53842</v>
      </c>
      <c r="H149" s="2">
        <v>22400</v>
      </c>
      <c r="I149" s="2">
        <v>0</v>
      </c>
      <c r="K149" s="2">
        <v>27070</v>
      </c>
      <c r="L149" s="2">
        <v>25464</v>
      </c>
      <c r="M149" s="2">
        <v>22823</v>
      </c>
      <c r="N149" s="2">
        <v>9138</v>
      </c>
      <c r="O149" s="2">
        <v>0</v>
      </c>
      <c r="Q149" s="2">
        <v>28739</v>
      </c>
      <c r="R149" s="2">
        <v>-24721</v>
      </c>
      <c r="S149" s="2">
        <v>3484</v>
      </c>
      <c r="T149" s="2">
        <v>4534</v>
      </c>
      <c r="U149" s="2">
        <v>0</v>
      </c>
      <c r="W149" s="2">
        <v>32375</v>
      </c>
      <c r="X149" s="2">
        <v>26522</v>
      </c>
      <c r="Y149" s="2">
        <v>21532</v>
      </c>
      <c r="Z149" s="2">
        <v>0</v>
      </c>
      <c r="AA149" s="2">
        <v>0</v>
      </c>
      <c r="AC149" s="2">
        <v>8727</v>
      </c>
      <c r="AD149" s="2">
        <v>8727</v>
      </c>
      <c r="AE149" s="2">
        <v>8727</v>
      </c>
      <c r="AF149" s="2">
        <v>8728</v>
      </c>
      <c r="AG149" s="2">
        <v>0</v>
      </c>
      <c r="AI149" s="2">
        <v>-4414</v>
      </c>
      <c r="AJ149" s="2">
        <v>-3612</v>
      </c>
      <c r="AK149" s="2">
        <v>-2724</v>
      </c>
      <c r="AL149" s="2">
        <v>0</v>
      </c>
      <c r="AM149" s="2">
        <v>0</v>
      </c>
    </row>
    <row r="150" spans="1:39">
      <c r="A150" s="335">
        <v>91121</v>
      </c>
      <c r="B150" s="328" t="s">
        <v>837</v>
      </c>
      <c r="C150" s="239">
        <v>1.03844E-2</v>
      </c>
      <c r="E150" s="2">
        <v>4856004</v>
      </c>
      <c r="F150" s="2">
        <v>1457738</v>
      </c>
      <c r="G150" s="2">
        <v>2668171</v>
      </c>
      <c r="H150" s="2">
        <v>724857</v>
      </c>
      <c r="I150" s="2">
        <v>0</v>
      </c>
      <c r="K150" s="2">
        <v>1555656</v>
      </c>
      <c r="L150" s="2">
        <v>1463370</v>
      </c>
      <c r="M150" s="2">
        <v>1311602</v>
      </c>
      <c r="N150" s="2">
        <v>525149</v>
      </c>
      <c r="O150" s="2">
        <v>0</v>
      </c>
      <c r="Q150" s="2">
        <v>1651545</v>
      </c>
      <c r="R150" s="2">
        <v>-1420638</v>
      </c>
      <c r="S150" s="2">
        <v>200222</v>
      </c>
      <c r="T150" s="2">
        <v>260586</v>
      </c>
      <c r="U150" s="2">
        <v>0</v>
      </c>
      <c r="W150" s="2">
        <v>1860490</v>
      </c>
      <c r="X150" s="2">
        <v>1524181</v>
      </c>
      <c r="Y150" s="2">
        <v>1237374</v>
      </c>
      <c r="Z150" s="2">
        <v>0</v>
      </c>
      <c r="AA150" s="2">
        <v>0</v>
      </c>
      <c r="AC150" s="2">
        <v>0</v>
      </c>
      <c r="AD150" s="2">
        <v>0</v>
      </c>
      <c r="AE150" s="2">
        <v>0</v>
      </c>
      <c r="AF150" s="2">
        <v>0</v>
      </c>
      <c r="AG150" s="2">
        <v>0</v>
      </c>
      <c r="AI150" s="2">
        <v>-211687</v>
      </c>
      <c r="AJ150" s="2">
        <v>-109175</v>
      </c>
      <c r="AK150" s="2">
        <v>-81027</v>
      </c>
      <c r="AL150" s="2">
        <v>-60878</v>
      </c>
      <c r="AM150" s="2">
        <v>0</v>
      </c>
    </row>
    <row r="151" spans="1:39">
      <c r="A151" s="335">
        <v>91127</v>
      </c>
      <c r="B151" s="328" t="s">
        <v>838</v>
      </c>
      <c r="C151" s="239">
        <v>2.7989999999999997E-4</v>
      </c>
      <c r="E151" s="2">
        <v>154118</v>
      </c>
      <c r="F151" s="2">
        <v>55488</v>
      </c>
      <c r="G151" s="2">
        <v>84913</v>
      </c>
      <c r="H151" s="2">
        <v>25090</v>
      </c>
      <c r="I151" s="2">
        <v>0</v>
      </c>
      <c r="K151" s="2">
        <v>41931</v>
      </c>
      <c r="L151" s="2">
        <v>39444</v>
      </c>
      <c r="M151" s="2">
        <v>35353</v>
      </c>
      <c r="N151" s="2">
        <v>14155</v>
      </c>
      <c r="O151" s="2">
        <v>0</v>
      </c>
      <c r="Q151" s="2">
        <v>44516</v>
      </c>
      <c r="R151" s="2">
        <v>-38292</v>
      </c>
      <c r="S151" s="2">
        <v>5397</v>
      </c>
      <c r="T151" s="2">
        <v>7024</v>
      </c>
      <c r="U151" s="2">
        <v>0</v>
      </c>
      <c r="W151" s="2">
        <v>50147</v>
      </c>
      <c r="X151" s="2">
        <v>41083</v>
      </c>
      <c r="Y151" s="2">
        <v>33352</v>
      </c>
      <c r="Z151" s="2">
        <v>0</v>
      </c>
      <c r="AA151" s="2">
        <v>0</v>
      </c>
      <c r="AC151" s="2">
        <v>17524</v>
      </c>
      <c r="AD151" s="2">
        <v>13253</v>
      </c>
      <c r="AE151" s="2">
        <v>10811</v>
      </c>
      <c r="AF151" s="2">
        <v>3911</v>
      </c>
      <c r="AG151" s="2">
        <v>0</v>
      </c>
      <c r="AI151" s="2">
        <v>0</v>
      </c>
      <c r="AJ151" s="2">
        <v>0</v>
      </c>
      <c r="AK151" s="2">
        <v>0</v>
      </c>
      <c r="AL151" s="2">
        <v>0</v>
      </c>
      <c r="AM151" s="2">
        <v>0</v>
      </c>
    </row>
    <row r="152" spans="1:39">
      <c r="A152" s="335">
        <v>91128</v>
      </c>
      <c r="B152" s="328" t="s">
        <v>839</v>
      </c>
      <c r="C152" s="239">
        <v>4.6710000000000002E-4</v>
      </c>
      <c r="E152" s="2">
        <v>221771</v>
      </c>
      <c r="F152" s="2">
        <v>63859</v>
      </c>
      <c r="G152" s="2">
        <v>115043</v>
      </c>
      <c r="H152" s="2">
        <v>29532</v>
      </c>
      <c r="I152" s="2">
        <v>0</v>
      </c>
      <c r="K152" s="2">
        <v>69975</v>
      </c>
      <c r="L152" s="2">
        <v>65824</v>
      </c>
      <c r="M152" s="2">
        <v>58997</v>
      </c>
      <c r="N152" s="2">
        <v>23622</v>
      </c>
      <c r="O152" s="2">
        <v>0</v>
      </c>
      <c r="Q152" s="2">
        <v>74288</v>
      </c>
      <c r="R152" s="2">
        <v>-63902</v>
      </c>
      <c r="S152" s="2">
        <v>9006</v>
      </c>
      <c r="T152" s="2">
        <v>11721</v>
      </c>
      <c r="U152" s="2">
        <v>0</v>
      </c>
      <c r="W152" s="2">
        <v>83687</v>
      </c>
      <c r="X152" s="2">
        <v>68559</v>
      </c>
      <c r="Y152" s="2">
        <v>55658</v>
      </c>
      <c r="Z152" s="2">
        <v>0</v>
      </c>
      <c r="AA152" s="2">
        <v>0</v>
      </c>
      <c r="AC152" s="2">
        <v>2440</v>
      </c>
      <c r="AD152" s="2">
        <v>1997</v>
      </c>
      <c r="AE152" s="2">
        <v>0</v>
      </c>
      <c r="AF152" s="2">
        <v>0</v>
      </c>
      <c r="AG152" s="2">
        <v>0</v>
      </c>
      <c r="AI152" s="2">
        <v>-8619</v>
      </c>
      <c r="AJ152" s="2">
        <v>-8619</v>
      </c>
      <c r="AK152" s="2">
        <v>-8618</v>
      </c>
      <c r="AL152" s="2">
        <v>-5811</v>
      </c>
      <c r="AM152" s="2">
        <v>0</v>
      </c>
    </row>
    <row r="153" spans="1:39">
      <c r="A153" s="335">
        <v>91138</v>
      </c>
      <c r="B153" s="328" t="s">
        <v>3671</v>
      </c>
      <c r="C153" s="239">
        <v>4.8010000000000001E-4</v>
      </c>
      <c r="E153" s="2">
        <v>163599</v>
      </c>
      <c r="F153" s="2">
        <v>18128</v>
      </c>
      <c r="G153" s="2">
        <v>85693</v>
      </c>
      <c r="H153" s="2">
        <v>28226</v>
      </c>
      <c r="I153" s="2">
        <v>0</v>
      </c>
      <c r="K153" s="2">
        <v>71922</v>
      </c>
      <c r="L153" s="2">
        <v>67656</v>
      </c>
      <c r="M153" s="2">
        <v>60639</v>
      </c>
      <c r="N153" s="2">
        <v>24279</v>
      </c>
      <c r="O153" s="2">
        <v>0</v>
      </c>
      <c r="Q153" s="2">
        <v>76356</v>
      </c>
      <c r="R153" s="2">
        <v>-65680</v>
      </c>
      <c r="S153" s="2">
        <v>9257</v>
      </c>
      <c r="T153" s="2">
        <v>12048</v>
      </c>
      <c r="U153" s="2">
        <v>0</v>
      </c>
      <c r="W153" s="2">
        <v>86016</v>
      </c>
      <c r="X153" s="2">
        <v>70467</v>
      </c>
      <c r="Y153" s="2">
        <v>57207</v>
      </c>
      <c r="Z153" s="2">
        <v>0</v>
      </c>
      <c r="AA153" s="2">
        <v>0</v>
      </c>
      <c r="AC153" s="2">
        <v>0</v>
      </c>
      <c r="AD153" s="2">
        <v>0</v>
      </c>
      <c r="AE153" s="2">
        <v>0</v>
      </c>
      <c r="AF153" s="2">
        <v>0</v>
      </c>
      <c r="AG153" s="2">
        <v>0</v>
      </c>
      <c r="AI153" s="2">
        <v>-70695</v>
      </c>
      <c r="AJ153" s="2">
        <v>-54315</v>
      </c>
      <c r="AK153" s="2">
        <v>-41410</v>
      </c>
      <c r="AL153" s="2">
        <v>-8101</v>
      </c>
      <c r="AM153" s="2">
        <v>0</v>
      </c>
    </row>
    <row r="154" spans="1:39">
      <c r="A154" s="335">
        <v>91141</v>
      </c>
      <c r="B154" s="328" t="s">
        <v>841</v>
      </c>
      <c r="C154" s="239">
        <v>6.3610000000000001E-4</v>
      </c>
      <c r="E154" s="2">
        <v>298986</v>
      </c>
      <c r="F154" s="2">
        <v>95444</v>
      </c>
      <c r="G154" s="2">
        <v>170296</v>
      </c>
      <c r="H154" s="2">
        <v>55865</v>
      </c>
      <c r="I154" s="2">
        <v>0</v>
      </c>
      <c r="K154" s="2">
        <v>95292</v>
      </c>
      <c r="L154" s="2">
        <v>89639</v>
      </c>
      <c r="M154" s="2">
        <v>80343</v>
      </c>
      <c r="N154" s="2">
        <v>32168</v>
      </c>
      <c r="O154" s="2">
        <v>0</v>
      </c>
      <c r="Q154" s="2">
        <v>101166</v>
      </c>
      <c r="R154" s="2">
        <v>-87022</v>
      </c>
      <c r="S154" s="2">
        <v>12265</v>
      </c>
      <c r="T154" s="2">
        <v>15962</v>
      </c>
      <c r="U154" s="2">
        <v>0</v>
      </c>
      <c r="W154" s="2">
        <v>113965</v>
      </c>
      <c r="X154" s="2">
        <v>93364</v>
      </c>
      <c r="Y154" s="2">
        <v>75796</v>
      </c>
      <c r="Z154" s="2">
        <v>0</v>
      </c>
      <c r="AA154" s="2">
        <v>0</v>
      </c>
      <c r="AC154" s="2">
        <v>7734</v>
      </c>
      <c r="AD154" s="2">
        <v>7734</v>
      </c>
      <c r="AE154" s="2">
        <v>7734</v>
      </c>
      <c r="AF154" s="2">
        <v>7735</v>
      </c>
      <c r="AG154" s="2">
        <v>0</v>
      </c>
      <c r="AI154" s="2">
        <v>-19171</v>
      </c>
      <c r="AJ154" s="2">
        <v>-8271</v>
      </c>
      <c r="AK154" s="2">
        <v>-5842</v>
      </c>
      <c r="AL154" s="2">
        <v>0</v>
      </c>
      <c r="AM154" s="2">
        <v>0</v>
      </c>
    </row>
    <row r="155" spans="1:39">
      <c r="A155" s="335">
        <v>91147</v>
      </c>
      <c r="B155" s="328" t="s">
        <v>842</v>
      </c>
      <c r="C155" s="239">
        <v>2.5400000000000001E-5</v>
      </c>
      <c r="E155" s="2">
        <v>13500</v>
      </c>
      <c r="F155" s="2">
        <v>4525</v>
      </c>
      <c r="G155" s="2">
        <v>7026</v>
      </c>
      <c r="H155" s="2">
        <v>1786</v>
      </c>
      <c r="I155" s="2">
        <v>0</v>
      </c>
      <c r="K155" s="2">
        <v>3805</v>
      </c>
      <c r="L155" s="2">
        <v>3579</v>
      </c>
      <c r="M155" s="2">
        <v>3208</v>
      </c>
      <c r="N155" s="2">
        <v>1285</v>
      </c>
      <c r="O155" s="2">
        <v>0</v>
      </c>
      <c r="Q155" s="2">
        <v>4040</v>
      </c>
      <c r="R155" s="2">
        <v>-3475</v>
      </c>
      <c r="S155" s="2">
        <v>490</v>
      </c>
      <c r="T155" s="2">
        <v>637</v>
      </c>
      <c r="U155" s="2">
        <v>0</v>
      </c>
      <c r="W155" s="2">
        <v>4551</v>
      </c>
      <c r="X155" s="2">
        <v>3728</v>
      </c>
      <c r="Y155" s="2">
        <v>3027</v>
      </c>
      <c r="Z155" s="2">
        <v>0</v>
      </c>
      <c r="AA155" s="2">
        <v>0</v>
      </c>
      <c r="AC155" s="2">
        <v>1239</v>
      </c>
      <c r="AD155" s="2">
        <v>828</v>
      </c>
      <c r="AE155" s="2">
        <v>436</v>
      </c>
      <c r="AF155" s="2">
        <v>0</v>
      </c>
      <c r="AG155" s="2">
        <v>0</v>
      </c>
      <c r="AI155" s="2">
        <v>-135</v>
      </c>
      <c r="AJ155" s="2">
        <v>-135</v>
      </c>
      <c r="AK155" s="2">
        <v>-135</v>
      </c>
      <c r="AL155" s="2">
        <v>-136</v>
      </c>
      <c r="AM155" s="2">
        <v>0</v>
      </c>
    </row>
    <row r="156" spans="1:39">
      <c r="A156" s="335">
        <v>91151</v>
      </c>
      <c r="B156" s="328" t="s">
        <v>843</v>
      </c>
      <c r="C156" s="239">
        <v>5.8460000000000001E-4</v>
      </c>
      <c r="E156" s="2">
        <v>249042</v>
      </c>
      <c r="F156" s="2">
        <v>61061</v>
      </c>
      <c r="G156" s="2">
        <v>131153</v>
      </c>
      <c r="H156" s="2">
        <v>30229</v>
      </c>
      <c r="I156" s="2">
        <v>0</v>
      </c>
      <c r="K156" s="2">
        <v>87577</v>
      </c>
      <c r="L156" s="2">
        <v>82382</v>
      </c>
      <c r="M156" s="2">
        <v>73838</v>
      </c>
      <c r="N156" s="2">
        <v>29564</v>
      </c>
      <c r="O156" s="2">
        <v>0</v>
      </c>
      <c r="Q156" s="2">
        <v>92975</v>
      </c>
      <c r="R156" s="2">
        <v>-79976</v>
      </c>
      <c r="S156" s="2">
        <v>11272</v>
      </c>
      <c r="T156" s="2">
        <v>14670</v>
      </c>
      <c r="U156" s="2">
        <v>0</v>
      </c>
      <c r="W156" s="2">
        <v>104738</v>
      </c>
      <c r="X156" s="2">
        <v>85805</v>
      </c>
      <c r="Y156" s="2">
        <v>69659</v>
      </c>
      <c r="Z156" s="2">
        <v>0</v>
      </c>
      <c r="AA156" s="2">
        <v>0</v>
      </c>
      <c r="AC156" s="2">
        <v>0</v>
      </c>
      <c r="AD156" s="2">
        <v>0</v>
      </c>
      <c r="AE156" s="2">
        <v>0</v>
      </c>
      <c r="AF156" s="2">
        <v>0</v>
      </c>
      <c r="AG156" s="2">
        <v>0</v>
      </c>
      <c r="AI156" s="2">
        <v>-36248</v>
      </c>
      <c r="AJ156" s="2">
        <v>-27150</v>
      </c>
      <c r="AK156" s="2">
        <v>-23616</v>
      </c>
      <c r="AL156" s="2">
        <v>-14005</v>
      </c>
      <c r="AM156" s="2">
        <v>0</v>
      </c>
    </row>
    <row r="157" spans="1:39">
      <c r="A157" s="335">
        <v>91154</v>
      </c>
      <c r="B157" s="328" t="s">
        <v>3672</v>
      </c>
      <c r="C157" s="239">
        <v>2.0999999999999999E-5</v>
      </c>
      <c r="E157" s="2">
        <v>10106</v>
      </c>
      <c r="F157" s="2">
        <v>2579</v>
      </c>
      <c r="G157" s="2">
        <v>4085</v>
      </c>
      <c r="H157" s="2">
        <v>657</v>
      </c>
      <c r="I157" s="2">
        <v>0</v>
      </c>
      <c r="K157" s="2">
        <v>3146</v>
      </c>
      <c r="L157" s="2">
        <v>2959</v>
      </c>
      <c r="M157" s="2">
        <v>2652</v>
      </c>
      <c r="N157" s="2">
        <v>1062</v>
      </c>
      <c r="O157" s="2">
        <v>0</v>
      </c>
      <c r="Q157" s="2">
        <v>3340</v>
      </c>
      <c r="R157" s="2">
        <v>-2873</v>
      </c>
      <c r="S157" s="2">
        <v>405</v>
      </c>
      <c r="T157" s="2">
        <v>527</v>
      </c>
      <c r="U157" s="2">
        <v>0</v>
      </c>
      <c r="W157" s="2">
        <v>3762</v>
      </c>
      <c r="X157" s="2">
        <v>3082</v>
      </c>
      <c r="Y157" s="2">
        <v>2502</v>
      </c>
      <c r="Z157" s="2">
        <v>0</v>
      </c>
      <c r="AA157" s="2">
        <v>0</v>
      </c>
      <c r="AC157" s="2">
        <v>1334</v>
      </c>
      <c r="AD157" s="2">
        <v>887</v>
      </c>
      <c r="AE157" s="2">
        <v>0</v>
      </c>
      <c r="AF157" s="2">
        <v>0</v>
      </c>
      <c r="AG157" s="2">
        <v>0</v>
      </c>
      <c r="AI157" s="2">
        <v>-1476</v>
      </c>
      <c r="AJ157" s="2">
        <v>-1476</v>
      </c>
      <c r="AK157" s="2">
        <v>-1474</v>
      </c>
      <c r="AL157" s="2">
        <v>-932</v>
      </c>
      <c r="AM157" s="2">
        <v>0</v>
      </c>
    </row>
    <row r="158" spans="1:39">
      <c r="A158" s="335">
        <v>91161</v>
      </c>
      <c r="B158" s="328" t="s">
        <v>845</v>
      </c>
      <c r="C158" s="239">
        <v>1.0509999999999999E-4</v>
      </c>
      <c r="E158" s="2">
        <v>51472</v>
      </c>
      <c r="F158" s="2">
        <v>16580</v>
      </c>
      <c r="G158" s="2">
        <v>28490</v>
      </c>
      <c r="H158" s="2">
        <v>10805</v>
      </c>
      <c r="I158" s="2">
        <v>0</v>
      </c>
      <c r="K158" s="2">
        <v>15745</v>
      </c>
      <c r="L158" s="2">
        <v>14811</v>
      </c>
      <c r="M158" s="2">
        <v>13275</v>
      </c>
      <c r="N158" s="2">
        <v>5315</v>
      </c>
      <c r="O158" s="2">
        <v>0</v>
      </c>
      <c r="Q158" s="2">
        <v>16715</v>
      </c>
      <c r="R158" s="2">
        <v>-14378</v>
      </c>
      <c r="S158" s="2">
        <v>2026</v>
      </c>
      <c r="T158" s="2">
        <v>2637</v>
      </c>
      <c r="U158" s="2">
        <v>0</v>
      </c>
      <c r="W158" s="2">
        <v>18830</v>
      </c>
      <c r="X158" s="2">
        <v>15426</v>
      </c>
      <c r="Y158" s="2">
        <v>12523</v>
      </c>
      <c r="Z158" s="2">
        <v>0</v>
      </c>
      <c r="AA158" s="2">
        <v>0</v>
      </c>
      <c r="AC158" s="2">
        <v>2905</v>
      </c>
      <c r="AD158" s="2">
        <v>2905</v>
      </c>
      <c r="AE158" s="2">
        <v>2851</v>
      </c>
      <c r="AF158" s="2">
        <v>2853</v>
      </c>
      <c r="AG158" s="2">
        <v>0</v>
      </c>
      <c r="AI158" s="2">
        <v>-2723</v>
      </c>
      <c r="AJ158" s="2">
        <v>-2184</v>
      </c>
      <c r="AK158" s="2">
        <v>-2185</v>
      </c>
      <c r="AL158" s="2">
        <v>0</v>
      </c>
      <c r="AM158" s="2">
        <v>0</v>
      </c>
    </row>
    <row r="159" spans="1:39">
      <c r="A159" s="335">
        <v>91171</v>
      </c>
      <c r="B159" s="328" t="s">
        <v>846</v>
      </c>
      <c r="C159" s="239">
        <v>2.6820000000000001E-4</v>
      </c>
      <c r="E159" s="2">
        <v>127521</v>
      </c>
      <c r="F159" s="2">
        <v>39363</v>
      </c>
      <c r="G159" s="2">
        <v>79281</v>
      </c>
      <c r="H159" s="2">
        <v>22491</v>
      </c>
      <c r="I159" s="2">
        <v>0</v>
      </c>
      <c r="K159" s="2">
        <v>40178</v>
      </c>
      <c r="L159" s="2">
        <v>37795</v>
      </c>
      <c r="M159" s="2">
        <v>33875</v>
      </c>
      <c r="N159" s="2">
        <v>13563</v>
      </c>
      <c r="O159" s="2">
        <v>0</v>
      </c>
      <c r="Q159" s="2">
        <v>42655</v>
      </c>
      <c r="R159" s="2">
        <v>-36691</v>
      </c>
      <c r="S159" s="2">
        <v>5171</v>
      </c>
      <c r="T159" s="2">
        <v>6730</v>
      </c>
      <c r="U159" s="2">
        <v>0</v>
      </c>
      <c r="W159" s="2">
        <v>48051</v>
      </c>
      <c r="X159" s="2">
        <v>39365</v>
      </c>
      <c r="Y159" s="2">
        <v>31958</v>
      </c>
      <c r="Z159" s="2">
        <v>0</v>
      </c>
      <c r="AA159" s="2">
        <v>0</v>
      </c>
      <c r="AC159" s="2">
        <v>8275</v>
      </c>
      <c r="AD159" s="2">
        <v>8275</v>
      </c>
      <c r="AE159" s="2">
        <v>8277</v>
      </c>
      <c r="AF159" s="2">
        <v>2198</v>
      </c>
      <c r="AG159" s="2">
        <v>0</v>
      </c>
      <c r="AI159" s="2">
        <v>-11638</v>
      </c>
      <c r="AJ159" s="2">
        <v>-9381</v>
      </c>
      <c r="AK159" s="2">
        <v>0</v>
      </c>
      <c r="AL159" s="2">
        <v>0</v>
      </c>
      <c r="AM159" s="2">
        <v>0</v>
      </c>
    </row>
    <row r="160" spans="1:39">
      <c r="A160" s="335">
        <v>91201</v>
      </c>
      <c r="B160" s="328" t="s">
        <v>847</v>
      </c>
      <c r="C160" s="239">
        <v>2.2897999999999998E-3</v>
      </c>
      <c r="E160" s="2">
        <v>1070100</v>
      </c>
      <c r="F160" s="2">
        <v>302879</v>
      </c>
      <c r="G160" s="2">
        <v>583765</v>
      </c>
      <c r="H160" s="2">
        <v>165957</v>
      </c>
      <c r="I160" s="2">
        <v>0</v>
      </c>
      <c r="K160" s="2">
        <v>343028</v>
      </c>
      <c r="L160" s="2">
        <v>322679</v>
      </c>
      <c r="M160" s="2">
        <v>289213</v>
      </c>
      <c r="N160" s="2">
        <v>115797</v>
      </c>
      <c r="O160" s="2">
        <v>0</v>
      </c>
      <c r="Q160" s="2">
        <v>364172</v>
      </c>
      <c r="R160" s="2">
        <v>-313256</v>
      </c>
      <c r="S160" s="2">
        <v>44150</v>
      </c>
      <c r="T160" s="2">
        <v>57460</v>
      </c>
      <c r="U160" s="2">
        <v>0</v>
      </c>
      <c r="W160" s="2">
        <v>410245</v>
      </c>
      <c r="X160" s="2">
        <v>336088</v>
      </c>
      <c r="Y160" s="2">
        <v>272846</v>
      </c>
      <c r="Z160" s="2">
        <v>0</v>
      </c>
      <c r="AA160" s="2">
        <v>0</v>
      </c>
      <c r="AC160" s="2">
        <v>0</v>
      </c>
      <c r="AD160" s="2">
        <v>0</v>
      </c>
      <c r="AE160" s="2">
        <v>0</v>
      </c>
      <c r="AF160" s="2">
        <v>0</v>
      </c>
      <c r="AG160" s="2">
        <v>0</v>
      </c>
      <c r="AI160" s="2">
        <v>-47345</v>
      </c>
      <c r="AJ160" s="2">
        <v>-42632</v>
      </c>
      <c r="AK160" s="2">
        <v>-22444</v>
      </c>
      <c r="AL160" s="2">
        <v>-7300</v>
      </c>
      <c r="AM160" s="2">
        <v>0</v>
      </c>
    </row>
    <row r="161" spans="1:39">
      <c r="A161" s="335">
        <v>91202</v>
      </c>
      <c r="B161" s="328" t="s">
        <v>3673</v>
      </c>
      <c r="C161" s="239">
        <v>1.752E-4</v>
      </c>
      <c r="E161" s="2">
        <v>87426</v>
      </c>
      <c r="F161" s="2">
        <v>25378</v>
      </c>
      <c r="G161" s="2">
        <v>43175</v>
      </c>
      <c r="H161" s="2">
        <v>9066</v>
      </c>
      <c r="I161" s="2">
        <v>0</v>
      </c>
      <c r="K161" s="2">
        <v>26246</v>
      </c>
      <c r="L161" s="2">
        <v>24689</v>
      </c>
      <c r="M161" s="2">
        <v>22129</v>
      </c>
      <c r="N161" s="2">
        <v>8860</v>
      </c>
      <c r="O161" s="2">
        <v>0</v>
      </c>
      <c r="Q161" s="2">
        <v>27864</v>
      </c>
      <c r="R161" s="2">
        <v>-23968</v>
      </c>
      <c r="S161" s="2">
        <v>3378</v>
      </c>
      <c r="T161" s="2">
        <v>4396</v>
      </c>
      <c r="U161" s="2">
        <v>0</v>
      </c>
      <c r="W161" s="2">
        <v>31389</v>
      </c>
      <c r="X161" s="2">
        <v>25715</v>
      </c>
      <c r="Y161" s="2">
        <v>20876</v>
      </c>
      <c r="Z161" s="2">
        <v>0</v>
      </c>
      <c r="AA161" s="2">
        <v>0</v>
      </c>
      <c r="AC161" s="2">
        <v>6115</v>
      </c>
      <c r="AD161" s="2">
        <v>3130</v>
      </c>
      <c r="AE161" s="2">
        <v>980</v>
      </c>
      <c r="AF161" s="2">
        <v>0</v>
      </c>
      <c r="AG161" s="2">
        <v>0</v>
      </c>
      <c r="AI161" s="2">
        <v>-4188</v>
      </c>
      <c r="AJ161" s="2">
        <v>-4188</v>
      </c>
      <c r="AK161" s="2">
        <v>-4188</v>
      </c>
      <c r="AL161" s="2">
        <v>-4190</v>
      </c>
      <c r="AM161" s="2">
        <v>0</v>
      </c>
    </row>
    <row r="162" spans="1:39">
      <c r="A162" s="335">
        <v>91203</v>
      </c>
      <c r="B162" s="328" t="s">
        <v>3674</v>
      </c>
      <c r="C162" s="239">
        <v>2.2670000000000001E-4</v>
      </c>
      <c r="E162" s="2">
        <v>125551</v>
      </c>
      <c r="F162" s="2">
        <v>45550</v>
      </c>
      <c r="G162" s="2">
        <v>70312</v>
      </c>
      <c r="H162" s="2">
        <v>20646</v>
      </c>
      <c r="I162" s="2">
        <v>0</v>
      </c>
      <c r="K162" s="2">
        <v>33961</v>
      </c>
      <c r="L162" s="2">
        <v>31947</v>
      </c>
      <c r="M162" s="2">
        <v>28633</v>
      </c>
      <c r="N162" s="2">
        <v>11464</v>
      </c>
      <c r="O162" s="2">
        <v>0</v>
      </c>
      <c r="Q162" s="2">
        <v>36055</v>
      </c>
      <c r="R162" s="2">
        <v>-31014</v>
      </c>
      <c r="S162" s="2">
        <v>4371</v>
      </c>
      <c r="T162" s="2">
        <v>5689</v>
      </c>
      <c r="U162" s="2">
        <v>0</v>
      </c>
      <c r="W162" s="2">
        <v>40616</v>
      </c>
      <c r="X162" s="2">
        <v>33274</v>
      </c>
      <c r="Y162" s="2">
        <v>27013</v>
      </c>
      <c r="Z162" s="2">
        <v>0</v>
      </c>
      <c r="AA162" s="2">
        <v>0</v>
      </c>
      <c r="AC162" s="2">
        <v>14919</v>
      </c>
      <c r="AD162" s="2">
        <v>11343</v>
      </c>
      <c r="AE162" s="2">
        <v>10295</v>
      </c>
      <c r="AF162" s="2">
        <v>3493</v>
      </c>
      <c r="AG162" s="2">
        <v>0</v>
      </c>
      <c r="AI162" s="2">
        <v>0</v>
      </c>
      <c r="AJ162" s="2">
        <v>0</v>
      </c>
      <c r="AK162" s="2">
        <v>0</v>
      </c>
      <c r="AL162" s="2">
        <v>0</v>
      </c>
      <c r="AM162" s="2">
        <v>0</v>
      </c>
    </row>
    <row r="163" spans="1:39">
      <c r="A163" s="335">
        <v>91206</v>
      </c>
      <c r="B163" s="328" t="s">
        <v>3675</v>
      </c>
      <c r="C163" s="239">
        <v>9.525E-4</v>
      </c>
      <c r="E163" s="2">
        <v>483466</v>
      </c>
      <c r="F163" s="2">
        <v>162702</v>
      </c>
      <c r="G163" s="2">
        <v>265638</v>
      </c>
      <c r="H163" s="2">
        <v>78416</v>
      </c>
      <c r="I163" s="2">
        <v>0</v>
      </c>
      <c r="K163" s="2">
        <v>142691</v>
      </c>
      <c r="L163" s="2">
        <v>134226</v>
      </c>
      <c r="M163" s="2">
        <v>120306</v>
      </c>
      <c r="N163" s="2">
        <v>48169</v>
      </c>
      <c r="O163" s="2">
        <v>0</v>
      </c>
      <c r="Q163" s="2">
        <v>151487</v>
      </c>
      <c r="R163" s="2">
        <v>-130307</v>
      </c>
      <c r="S163" s="2">
        <v>18365</v>
      </c>
      <c r="T163" s="2">
        <v>23902</v>
      </c>
      <c r="U163" s="2">
        <v>0</v>
      </c>
      <c r="W163" s="2">
        <v>170652</v>
      </c>
      <c r="X163" s="2">
        <v>139804</v>
      </c>
      <c r="Y163" s="2">
        <v>113497</v>
      </c>
      <c r="Z163" s="2">
        <v>0</v>
      </c>
      <c r="AA163" s="2">
        <v>0</v>
      </c>
      <c r="AC163" s="2">
        <v>18977</v>
      </c>
      <c r="AD163" s="2">
        <v>18979</v>
      </c>
      <c r="AE163" s="2">
        <v>13470</v>
      </c>
      <c r="AF163" s="2">
        <v>6345</v>
      </c>
      <c r="AG163" s="2">
        <v>0</v>
      </c>
      <c r="AI163" s="2">
        <v>-341</v>
      </c>
      <c r="AJ163" s="2">
        <v>0</v>
      </c>
      <c r="AK163" s="2">
        <v>0</v>
      </c>
      <c r="AL163" s="2">
        <v>0</v>
      </c>
      <c r="AM163" s="2">
        <v>0</v>
      </c>
    </row>
    <row r="164" spans="1:39">
      <c r="A164" s="335">
        <v>91208</v>
      </c>
      <c r="B164" s="328" t="s">
        <v>3676</v>
      </c>
      <c r="C164" s="239">
        <v>1.9000000000000001E-5</v>
      </c>
      <c r="E164" s="2">
        <v>10516</v>
      </c>
      <c r="F164" s="2">
        <v>4033</v>
      </c>
      <c r="G164" s="2">
        <v>6140</v>
      </c>
      <c r="H164" s="2">
        <v>2679</v>
      </c>
      <c r="I164" s="2">
        <v>0</v>
      </c>
      <c r="K164" s="2">
        <v>2846</v>
      </c>
      <c r="L164" s="2">
        <v>2677</v>
      </c>
      <c r="M164" s="2">
        <v>2400</v>
      </c>
      <c r="N164" s="2">
        <v>961</v>
      </c>
      <c r="O164" s="2">
        <v>0</v>
      </c>
      <c r="Q164" s="2">
        <v>3022</v>
      </c>
      <c r="R164" s="2">
        <v>-2599</v>
      </c>
      <c r="S164" s="2">
        <v>366</v>
      </c>
      <c r="T164" s="2">
        <v>477</v>
      </c>
      <c r="U164" s="2">
        <v>0</v>
      </c>
      <c r="W164" s="2">
        <v>3404</v>
      </c>
      <c r="X164" s="2">
        <v>2789</v>
      </c>
      <c r="Y164" s="2">
        <v>2264</v>
      </c>
      <c r="Z164" s="2">
        <v>0</v>
      </c>
      <c r="AA164" s="2">
        <v>0</v>
      </c>
      <c r="AC164" s="2">
        <v>1375</v>
      </c>
      <c r="AD164" s="2">
        <v>1297</v>
      </c>
      <c r="AE164" s="2">
        <v>1239</v>
      </c>
      <c r="AF164" s="2">
        <v>1241</v>
      </c>
      <c r="AG164" s="2">
        <v>0</v>
      </c>
      <c r="AI164" s="2">
        <v>-131</v>
      </c>
      <c r="AJ164" s="2">
        <v>-131</v>
      </c>
      <c r="AK164" s="2">
        <v>-129</v>
      </c>
      <c r="AL164" s="2">
        <v>0</v>
      </c>
      <c r="AM164" s="2">
        <v>0</v>
      </c>
    </row>
    <row r="165" spans="1:39">
      <c r="A165" s="335">
        <v>91211</v>
      </c>
      <c r="B165" s="328" t="s">
        <v>852</v>
      </c>
      <c r="C165" s="239">
        <v>4.4870000000000001E-4</v>
      </c>
      <c r="E165" s="2">
        <v>211709</v>
      </c>
      <c r="F165" s="2">
        <v>59880</v>
      </c>
      <c r="G165" s="2">
        <v>110178</v>
      </c>
      <c r="H165" s="2">
        <v>29065</v>
      </c>
      <c r="I165" s="2">
        <v>0</v>
      </c>
      <c r="K165" s="2">
        <v>67218</v>
      </c>
      <c r="L165" s="2">
        <v>63231</v>
      </c>
      <c r="M165" s="2">
        <v>56673</v>
      </c>
      <c r="N165" s="2">
        <v>22691</v>
      </c>
      <c r="O165" s="2">
        <v>0</v>
      </c>
      <c r="Q165" s="2">
        <v>71362</v>
      </c>
      <c r="R165" s="2">
        <v>-61384</v>
      </c>
      <c r="S165" s="2">
        <v>8651</v>
      </c>
      <c r="T165" s="2">
        <v>11260</v>
      </c>
      <c r="U165" s="2">
        <v>0</v>
      </c>
      <c r="W165" s="2">
        <v>80390</v>
      </c>
      <c r="X165" s="2">
        <v>65858</v>
      </c>
      <c r="Y165" s="2">
        <v>53466</v>
      </c>
      <c r="Z165" s="2">
        <v>0</v>
      </c>
      <c r="AA165" s="2">
        <v>0</v>
      </c>
      <c r="AC165" s="2">
        <v>1352</v>
      </c>
      <c r="AD165" s="2">
        <v>788</v>
      </c>
      <c r="AE165" s="2">
        <v>0</v>
      </c>
      <c r="AF165" s="2">
        <v>0</v>
      </c>
      <c r="AG165" s="2">
        <v>0</v>
      </c>
      <c r="AI165" s="2">
        <v>-8613</v>
      </c>
      <c r="AJ165" s="2">
        <v>-8613</v>
      </c>
      <c r="AK165" s="2">
        <v>-8612</v>
      </c>
      <c r="AL165" s="2">
        <v>-4886</v>
      </c>
      <c r="AM165" s="2">
        <v>0</v>
      </c>
    </row>
    <row r="166" spans="1:39">
      <c r="A166" s="335">
        <v>91213</v>
      </c>
      <c r="B166" s="328" t="s">
        <v>853</v>
      </c>
      <c r="C166" s="239">
        <v>2.9200000000000002E-5</v>
      </c>
      <c r="E166" s="2">
        <v>11752</v>
      </c>
      <c r="F166" s="2">
        <v>2479</v>
      </c>
      <c r="G166" s="2">
        <v>6909</v>
      </c>
      <c r="H166" s="2">
        <v>2857</v>
      </c>
      <c r="I166" s="2">
        <v>0</v>
      </c>
      <c r="K166" s="2">
        <v>4374</v>
      </c>
      <c r="L166" s="2">
        <v>4115</v>
      </c>
      <c r="M166" s="2">
        <v>3688</v>
      </c>
      <c r="N166" s="2">
        <v>1477</v>
      </c>
      <c r="O166" s="2">
        <v>0</v>
      </c>
      <c r="Q166" s="2">
        <v>4644</v>
      </c>
      <c r="R166" s="2">
        <v>-3995</v>
      </c>
      <c r="S166" s="2">
        <v>563</v>
      </c>
      <c r="T166" s="2">
        <v>733</v>
      </c>
      <c r="U166" s="2">
        <v>0</v>
      </c>
      <c r="W166" s="2">
        <v>5232</v>
      </c>
      <c r="X166" s="2">
        <v>4286</v>
      </c>
      <c r="Y166" s="2">
        <v>3479</v>
      </c>
      <c r="Z166" s="2">
        <v>0</v>
      </c>
      <c r="AA166" s="2">
        <v>0</v>
      </c>
      <c r="AC166" s="2">
        <v>645</v>
      </c>
      <c r="AD166" s="2">
        <v>645</v>
      </c>
      <c r="AE166" s="2">
        <v>645</v>
      </c>
      <c r="AF166" s="2">
        <v>647</v>
      </c>
      <c r="AG166" s="2">
        <v>0</v>
      </c>
      <c r="AI166" s="2">
        <v>-3143</v>
      </c>
      <c r="AJ166" s="2">
        <v>-2572</v>
      </c>
      <c r="AK166" s="2">
        <v>-1466</v>
      </c>
      <c r="AL166" s="2">
        <v>0</v>
      </c>
      <c r="AM166" s="2">
        <v>0</v>
      </c>
    </row>
    <row r="167" spans="1:39">
      <c r="A167" s="335">
        <v>91214</v>
      </c>
      <c r="B167" s="328" t="s">
        <v>854</v>
      </c>
      <c r="C167" s="239">
        <v>3.5800000000000003E-5</v>
      </c>
      <c r="E167" s="2">
        <v>16230</v>
      </c>
      <c r="F167" s="2">
        <v>4575</v>
      </c>
      <c r="G167" s="2">
        <v>9222</v>
      </c>
      <c r="H167" s="2">
        <v>2862</v>
      </c>
      <c r="I167" s="2">
        <v>0</v>
      </c>
      <c r="K167" s="2">
        <v>5363</v>
      </c>
      <c r="L167" s="2">
        <v>5045</v>
      </c>
      <c r="M167" s="2">
        <v>4522</v>
      </c>
      <c r="N167" s="2">
        <v>1810</v>
      </c>
      <c r="O167" s="2">
        <v>0</v>
      </c>
      <c r="Q167" s="2">
        <v>5694</v>
      </c>
      <c r="R167" s="2">
        <v>-4898</v>
      </c>
      <c r="S167" s="2">
        <v>690</v>
      </c>
      <c r="T167" s="2">
        <v>898</v>
      </c>
      <c r="U167" s="2">
        <v>0</v>
      </c>
      <c r="W167" s="2">
        <v>6414</v>
      </c>
      <c r="X167" s="2">
        <v>5255</v>
      </c>
      <c r="Y167" s="2">
        <v>4266</v>
      </c>
      <c r="Z167" s="2">
        <v>0</v>
      </c>
      <c r="AA167" s="2">
        <v>0</v>
      </c>
      <c r="AC167" s="2">
        <v>154</v>
      </c>
      <c r="AD167" s="2">
        <v>154</v>
      </c>
      <c r="AE167" s="2">
        <v>154</v>
      </c>
      <c r="AF167" s="2">
        <v>154</v>
      </c>
      <c r="AG167" s="2">
        <v>0</v>
      </c>
      <c r="AI167" s="2">
        <v>-1395</v>
      </c>
      <c r="AJ167" s="2">
        <v>-981</v>
      </c>
      <c r="AK167" s="2">
        <v>-410</v>
      </c>
      <c r="AL167" s="2">
        <v>0</v>
      </c>
      <c r="AM167" s="2">
        <v>0</v>
      </c>
    </row>
    <row r="168" spans="1:39">
      <c r="A168" s="335">
        <v>91217</v>
      </c>
      <c r="B168" s="328" t="s">
        <v>855</v>
      </c>
      <c r="C168" s="239">
        <v>2.0400000000000001E-5</v>
      </c>
      <c r="E168" s="2">
        <v>13487</v>
      </c>
      <c r="F168" s="2">
        <v>4926</v>
      </c>
      <c r="G168" s="2">
        <v>6551</v>
      </c>
      <c r="H168" s="2">
        <v>3505</v>
      </c>
      <c r="I168" s="2">
        <v>0</v>
      </c>
      <c r="K168" s="2">
        <v>3056</v>
      </c>
      <c r="L168" s="2">
        <v>2875</v>
      </c>
      <c r="M168" s="2">
        <v>2577</v>
      </c>
      <c r="N168" s="2">
        <v>1032</v>
      </c>
      <c r="O168" s="2">
        <v>0</v>
      </c>
      <c r="Q168" s="2">
        <v>3244</v>
      </c>
      <c r="R168" s="2">
        <v>-2791</v>
      </c>
      <c r="S168" s="2">
        <v>393</v>
      </c>
      <c r="T168" s="2">
        <v>512</v>
      </c>
      <c r="U168" s="2">
        <v>0</v>
      </c>
      <c r="W168" s="2">
        <v>3655</v>
      </c>
      <c r="X168" s="2">
        <v>2994</v>
      </c>
      <c r="Y168" s="2">
        <v>2431</v>
      </c>
      <c r="Z168" s="2">
        <v>0</v>
      </c>
      <c r="AA168" s="2">
        <v>0</v>
      </c>
      <c r="AC168" s="2">
        <v>4342</v>
      </c>
      <c r="AD168" s="2">
        <v>2658</v>
      </c>
      <c r="AE168" s="2">
        <v>1962</v>
      </c>
      <c r="AF168" s="2">
        <v>1961</v>
      </c>
      <c r="AG168" s="2">
        <v>0</v>
      </c>
      <c r="AI168" s="2">
        <v>-810</v>
      </c>
      <c r="AJ168" s="2">
        <v>-810</v>
      </c>
      <c r="AK168" s="2">
        <v>-812</v>
      </c>
      <c r="AL168" s="2">
        <v>0</v>
      </c>
      <c r="AM168" s="2">
        <v>0</v>
      </c>
    </row>
    <row r="169" spans="1:39">
      <c r="A169" s="335">
        <v>91221</v>
      </c>
      <c r="B169" s="328" t="s">
        <v>856</v>
      </c>
      <c r="C169" s="239">
        <v>1.099E-4</v>
      </c>
      <c r="E169" s="2">
        <v>46833</v>
      </c>
      <c r="F169" s="2">
        <v>11605</v>
      </c>
      <c r="G169" s="2">
        <v>23788</v>
      </c>
      <c r="H169" s="2">
        <v>5390</v>
      </c>
      <c r="I169" s="2">
        <v>0</v>
      </c>
      <c r="K169" s="2">
        <v>16464</v>
      </c>
      <c r="L169" s="2">
        <v>15487</v>
      </c>
      <c r="M169" s="2">
        <v>13881</v>
      </c>
      <c r="N169" s="2">
        <v>5558</v>
      </c>
      <c r="O169" s="2">
        <v>0</v>
      </c>
      <c r="Q169" s="2">
        <v>17479</v>
      </c>
      <c r="R169" s="2">
        <v>-15035</v>
      </c>
      <c r="S169" s="2">
        <v>2119</v>
      </c>
      <c r="T169" s="2">
        <v>2758</v>
      </c>
      <c r="U169" s="2">
        <v>0</v>
      </c>
      <c r="W169" s="2">
        <v>19690</v>
      </c>
      <c r="X169" s="2">
        <v>16131</v>
      </c>
      <c r="Y169" s="2">
        <v>13095</v>
      </c>
      <c r="Z169" s="2">
        <v>0</v>
      </c>
      <c r="AA169" s="2">
        <v>0</v>
      </c>
      <c r="AC169" s="2">
        <v>327</v>
      </c>
      <c r="AD169" s="2">
        <v>327</v>
      </c>
      <c r="AE169" s="2">
        <v>0</v>
      </c>
      <c r="AF169" s="2">
        <v>0</v>
      </c>
      <c r="AG169" s="2">
        <v>0</v>
      </c>
      <c r="AI169" s="2">
        <v>-7127</v>
      </c>
      <c r="AJ169" s="2">
        <v>-5305</v>
      </c>
      <c r="AK169" s="2">
        <v>-5307</v>
      </c>
      <c r="AL169" s="2">
        <v>-2926</v>
      </c>
      <c r="AM169" s="2">
        <v>0</v>
      </c>
    </row>
    <row r="170" spans="1:39">
      <c r="A170" s="335">
        <v>91231</v>
      </c>
      <c r="B170" s="328" t="s">
        <v>857</v>
      </c>
      <c r="C170" s="239">
        <v>1.8722999999999999E-3</v>
      </c>
      <c r="E170" s="2">
        <v>881411</v>
      </c>
      <c r="F170" s="2">
        <v>263400</v>
      </c>
      <c r="G170" s="2">
        <v>494558</v>
      </c>
      <c r="H170" s="2">
        <v>146167</v>
      </c>
      <c r="I170" s="2">
        <v>0</v>
      </c>
      <c r="K170" s="2">
        <v>280484</v>
      </c>
      <c r="L170" s="2">
        <v>263845</v>
      </c>
      <c r="M170" s="2">
        <v>236481</v>
      </c>
      <c r="N170" s="2">
        <v>94684</v>
      </c>
      <c r="O170" s="2">
        <v>0</v>
      </c>
      <c r="Q170" s="2">
        <v>297772</v>
      </c>
      <c r="R170" s="2">
        <v>-256140</v>
      </c>
      <c r="S170" s="2">
        <v>36100</v>
      </c>
      <c r="T170" s="2">
        <v>46983</v>
      </c>
      <c r="U170" s="2">
        <v>0</v>
      </c>
      <c r="W170" s="2">
        <v>335445</v>
      </c>
      <c r="X170" s="2">
        <v>274809</v>
      </c>
      <c r="Y170" s="2">
        <v>223098</v>
      </c>
      <c r="Z170" s="2">
        <v>0</v>
      </c>
      <c r="AA170" s="2">
        <v>0</v>
      </c>
      <c r="AC170" s="2">
        <v>4502</v>
      </c>
      <c r="AD170" s="2">
        <v>4502</v>
      </c>
      <c r="AE170" s="2">
        <v>4502</v>
      </c>
      <c r="AF170" s="2">
        <v>4500</v>
      </c>
      <c r="AG170" s="2">
        <v>0</v>
      </c>
      <c r="AI170" s="2">
        <v>-36792</v>
      </c>
      <c r="AJ170" s="2">
        <v>-23616</v>
      </c>
      <c r="AK170" s="2">
        <v>-5623</v>
      </c>
      <c r="AL170" s="2">
        <v>0</v>
      </c>
      <c r="AM170" s="2">
        <v>0</v>
      </c>
    </row>
    <row r="171" spans="1:39">
      <c r="A171" s="335">
        <v>91233</v>
      </c>
      <c r="B171" s="328" t="s">
        <v>858</v>
      </c>
      <c r="C171" s="239">
        <v>6.1699999999999995E-5</v>
      </c>
      <c r="E171" s="2">
        <v>30873</v>
      </c>
      <c r="F171" s="2">
        <v>10109</v>
      </c>
      <c r="G171" s="2">
        <v>16006</v>
      </c>
      <c r="H171" s="2">
        <v>5920</v>
      </c>
      <c r="I171" s="2">
        <v>0</v>
      </c>
      <c r="K171" s="2">
        <v>9243</v>
      </c>
      <c r="L171" s="2">
        <v>8695</v>
      </c>
      <c r="M171" s="2">
        <v>7793</v>
      </c>
      <c r="N171" s="2">
        <v>3120</v>
      </c>
      <c r="O171" s="2">
        <v>0</v>
      </c>
      <c r="Q171" s="2">
        <v>9813</v>
      </c>
      <c r="R171" s="2">
        <v>-8441</v>
      </c>
      <c r="S171" s="2">
        <v>1190</v>
      </c>
      <c r="T171" s="2">
        <v>1548</v>
      </c>
      <c r="U171" s="2">
        <v>0</v>
      </c>
      <c r="W171" s="2">
        <v>11054</v>
      </c>
      <c r="X171" s="2">
        <v>9056</v>
      </c>
      <c r="Y171" s="2">
        <v>7352</v>
      </c>
      <c r="Z171" s="2">
        <v>0</v>
      </c>
      <c r="AA171" s="2">
        <v>0</v>
      </c>
      <c r="AC171" s="2">
        <v>2380</v>
      </c>
      <c r="AD171" s="2">
        <v>2381</v>
      </c>
      <c r="AE171" s="2">
        <v>1254</v>
      </c>
      <c r="AF171" s="2">
        <v>1252</v>
      </c>
      <c r="AG171" s="2">
        <v>0</v>
      </c>
      <c r="AI171" s="2">
        <v>-1617</v>
      </c>
      <c r="AJ171" s="2">
        <v>-1582</v>
      </c>
      <c r="AK171" s="2">
        <v>-1583</v>
      </c>
      <c r="AL171" s="2">
        <v>0</v>
      </c>
      <c r="AM171" s="2">
        <v>0</v>
      </c>
    </row>
    <row r="172" spans="1:39">
      <c r="A172" s="335">
        <v>91241</v>
      </c>
      <c r="B172" s="328" t="s">
        <v>859</v>
      </c>
      <c r="C172" s="239">
        <v>5.3499999999999999E-5</v>
      </c>
      <c r="E172" s="2">
        <v>28807</v>
      </c>
      <c r="F172" s="2">
        <v>11458</v>
      </c>
      <c r="G172" s="2">
        <v>17585</v>
      </c>
      <c r="H172" s="2">
        <v>4527</v>
      </c>
      <c r="I172" s="2">
        <v>0</v>
      </c>
      <c r="K172" s="2">
        <v>8015</v>
      </c>
      <c r="L172" s="2">
        <v>7539</v>
      </c>
      <c r="M172" s="2">
        <v>6757</v>
      </c>
      <c r="N172" s="2">
        <v>2706</v>
      </c>
      <c r="O172" s="2">
        <v>0</v>
      </c>
      <c r="Q172" s="2">
        <v>8509</v>
      </c>
      <c r="R172" s="2">
        <v>-7319</v>
      </c>
      <c r="S172" s="2">
        <v>1032</v>
      </c>
      <c r="T172" s="2">
        <v>1343</v>
      </c>
      <c r="U172" s="2">
        <v>0</v>
      </c>
      <c r="W172" s="2">
        <v>9585</v>
      </c>
      <c r="X172" s="2">
        <v>7853</v>
      </c>
      <c r="Y172" s="2">
        <v>6375</v>
      </c>
      <c r="Z172" s="2">
        <v>0</v>
      </c>
      <c r="AA172" s="2">
        <v>0</v>
      </c>
      <c r="AC172" s="2">
        <v>3420</v>
      </c>
      <c r="AD172" s="2">
        <v>3420</v>
      </c>
      <c r="AE172" s="2">
        <v>3421</v>
      </c>
      <c r="AF172" s="2">
        <v>478</v>
      </c>
      <c r="AG172" s="2">
        <v>0</v>
      </c>
      <c r="AI172" s="2">
        <v>-722</v>
      </c>
      <c r="AJ172" s="2">
        <v>-35</v>
      </c>
      <c r="AK172" s="2">
        <v>0</v>
      </c>
      <c r="AL172" s="2">
        <v>0</v>
      </c>
      <c r="AM172" s="2">
        <v>0</v>
      </c>
    </row>
    <row r="173" spans="1:39">
      <c r="A173" s="335">
        <v>91251</v>
      </c>
      <c r="B173" s="328" t="s">
        <v>860</v>
      </c>
      <c r="C173" s="239">
        <v>2.0000000000000002E-5</v>
      </c>
      <c r="E173" s="2">
        <v>9371</v>
      </c>
      <c r="F173" s="2">
        <v>2816</v>
      </c>
      <c r="G173" s="2">
        <v>5755</v>
      </c>
      <c r="H173" s="2">
        <v>-294</v>
      </c>
      <c r="I173" s="2">
        <v>0</v>
      </c>
      <c r="K173" s="2">
        <v>2996</v>
      </c>
      <c r="L173" s="2">
        <v>2818</v>
      </c>
      <c r="M173" s="2">
        <v>2526</v>
      </c>
      <c r="N173" s="2">
        <v>1011</v>
      </c>
      <c r="O173" s="2">
        <v>0</v>
      </c>
      <c r="Q173" s="2">
        <v>3181</v>
      </c>
      <c r="R173" s="2">
        <v>-2736</v>
      </c>
      <c r="S173" s="2">
        <v>386</v>
      </c>
      <c r="T173" s="2">
        <v>502</v>
      </c>
      <c r="U173" s="2">
        <v>0</v>
      </c>
      <c r="W173" s="2">
        <v>3583</v>
      </c>
      <c r="X173" s="2">
        <v>2936</v>
      </c>
      <c r="Y173" s="2">
        <v>2383</v>
      </c>
      <c r="Z173" s="2">
        <v>0</v>
      </c>
      <c r="AA173" s="2">
        <v>0</v>
      </c>
      <c r="AC173" s="2">
        <v>2271</v>
      </c>
      <c r="AD173" s="2">
        <v>2271</v>
      </c>
      <c r="AE173" s="2">
        <v>2269</v>
      </c>
      <c r="AF173" s="2">
        <v>0</v>
      </c>
      <c r="AG173" s="2">
        <v>0</v>
      </c>
      <c r="AI173" s="2">
        <v>-2660</v>
      </c>
      <c r="AJ173" s="2">
        <v>-2473</v>
      </c>
      <c r="AK173" s="2">
        <v>-1809</v>
      </c>
      <c r="AL173" s="2">
        <v>-1807</v>
      </c>
      <c r="AM173" s="2">
        <v>0</v>
      </c>
    </row>
    <row r="174" spans="1:39">
      <c r="A174" s="335">
        <v>91261</v>
      </c>
      <c r="B174" s="328" t="s">
        <v>861</v>
      </c>
      <c r="C174" s="239">
        <v>9.7000000000000003E-6</v>
      </c>
      <c r="E174" s="2">
        <v>4563</v>
      </c>
      <c r="F174" s="2">
        <v>1171</v>
      </c>
      <c r="G174" s="2">
        <v>2150</v>
      </c>
      <c r="H174" s="2">
        <v>316</v>
      </c>
      <c r="I174" s="2">
        <v>0</v>
      </c>
      <c r="K174" s="2">
        <v>1453</v>
      </c>
      <c r="L174" s="2">
        <v>1367</v>
      </c>
      <c r="M174" s="2">
        <v>1225</v>
      </c>
      <c r="N174" s="2">
        <v>491</v>
      </c>
      <c r="O174" s="2">
        <v>0</v>
      </c>
      <c r="Q174" s="2">
        <v>1543</v>
      </c>
      <c r="R174" s="2">
        <v>-1327</v>
      </c>
      <c r="S174" s="2">
        <v>187</v>
      </c>
      <c r="T174" s="2">
        <v>243</v>
      </c>
      <c r="U174" s="2">
        <v>0</v>
      </c>
      <c r="W174" s="2">
        <v>1738</v>
      </c>
      <c r="X174" s="2">
        <v>1424</v>
      </c>
      <c r="Y174" s="2">
        <v>1156</v>
      </c>
      <c r="Z174" s="2">
        <v>0</v>
      </c>
      <c r="AA174" s="2">
        <v>0</v>
      </c>
      <c r="AC174" s="2">
        <v>246</v>
      </c>
      <c r="AD174" s="2">
        <v>124</v>
      </c>
      <c r="AE174" s="2">
        <v>0</v>
      </c>
      <c r="AF174" s="2">
        <v>0</v>
      </c>
      <c r="AG174" s="2">
        <v>0</v>
      </c>
      <c r="AI174" s="2">
        <v>-417</v>
      </c>
      <c r="AJ174" s="2">
        <v>-417</v>
      </c>
      <c r="AK174" s="2">
        <v>-418</v>
      </c>
      <c r="AL174" s="2">
        <v>-418</v>
      </c>
      <c r="AM174" s="2">
        <v>0</v>
      </c>
    </row>
    <row r="175" spans="1:39">
      <c r="A175" s="335">
        <v>91301</v>
      </c>
      <c r="B175" s="328" t="s">
        <v>862</v>
      </c>
      <c r="C175" s="239">
        <v>7.9497999999999999E-3</v>
      </c>
      <c r="E175" s="2">
        <v>3838995</v>
      </c>
      <c r="F175" s="2">
        <v>1152979</v>
      </c>
      <c r="G175" s="2">
        <v>2092277</v>
      </c>
      <c r="H175" s="2">
        <v>609098</v>
      </c>
      <c r="I175" s="2">
        <v>0</v>
      </c>
      <c r="K175" s="2">
        <v>1190936</v>
      </c>
      <c r="L175" s="2">
        <v>1120286</v>
      </c>
      <c r="M175" s="2">
        <v>1004099</v>
      </c>
      <c r="N175" s="2">
        <v>402029</v>
      </c>
      <c r="O175" s="2">
        <v>0</v>
      </c>
      <c r="Q175" s="2">
        <v>1264344</v>
      </c>
      <c r="R175" s="2">
        <v>-1087572</v>
      </c>
      <c r="S175" s="2">
        <v>153280</v>
      </c>
      <c r="T175" s="2">
        <v>199492</v>
      </c>
      <c r="U175" s="2">
        <v>0</v>
      </c>
      <c r="W175" s="2">
        <v>1424302</v>
      </c>
      <c r="X175" s="2">
        <v>1166840</v>
      </c>
      <c r="Y175" s="2">
        <v>947274</v>
      </c>
      <c r="Z175" s="2">
        <v>0</v>
      </c>
      <c r="AA175" s="2">
        <v>0</v>
      </c>
      <c r="AC175" s="2">
        <v>13564</v>
      </c>
      <c r="AD175" s="2">
        <v>7577</v>
      </c>
      <c r="AE175" s="2">
        <v>7577</v>
      </c>
      <c r="AF175" s="2">
        <v>7577</v>
      </c>
      <c r="AG175" s="2">
        <v>0</v>
      </c>
      <c r="AI175" s="2">
        <v>-54151</v>
      </c>
      <c r="AJ175" s="2">
        <v>-54152</v>
      </c>
      <c r="AK175" s="2">
        <v>-19953</v>
      </c>
      <c r="AL175" s="2">
        <v>0</v>
      </c>
      <c r="AM175" s="2">
        <v>0</v>
      </c>
    </row>
    <row r="176" spans="1:39">
      <c r="A176" s="335">
        <v>91302</v>
      </c>
      <c r="B176" s="328" t="s">
        <v>3677</v>
      </c>
      <c r="C176" s="239">
        <v>5.354E-4</v>
      </c>
      <c r="E176" s="2">
        <v>245630</v>
      </c>
      <c r="F176" s="2">
        <v>64145</v>
      </c>
      <c r="G176" s="2">
        <v>126768</v>
      </c>
      <c r="H176" s="2">
        <v>38087</v>
      </c>
      <c r="I176" s="2">
        <v>0</v>
      </c>
      <c r="K176" s="2">
        <v>80207</v>
      </c>
      <c r="L176" s="2">
        <v>75449</v>
      </c>
      <c r="M176" s="2">
        <v>67624</v>
      </c>
      <c r="N176" s="2">
        <v>27076</v>
      </c>
      <c r="O176" s="2">
        <v>0</v>
      </c>
      <c r="Q176" s="2">
        <v>85151</v>
      </c>
      <c r="R176" s="2">
        <v>-73245</v>
      </c>
      <c r="S176" s="2">
        <v>10323</v>
      </c>
      <c r="T176" s="2">
        <v>13435</v>
      </c>
      <c r="U176" s="2">
        <v>0</v>
      </c>
      <c r="W176" s="2">
        <v>95923</v>
      </c>
      <c r="X176" s="2">
        <v>78584</v>
      </c>
      <c r="Y176" s="2">
        <v>63797</v>
      </c>
      <c r="Z176" s="2">
        <v>0</v>
      </c>
      <c r="AA176" s="2">
        <v>0</v>
      </c>
      <c r="AC176" s="2">
        <v>990</v>
      </c>
      <c r="AD176" s="2">
        <v>0</v>
      </c>
      <c r="AE176" s="2">
        <v>0</v>
      </c>
      <c r="AF176" s="2">
        <v>0</v>
      </c>
      <c r="AG176" s="2">
        <v>0</v>
      </c>
      <c r="AI176" s="2">
        <v>-16641</v>
      </c>
      <c r="AJ176" s="2">
        <v>-16643</v>
      </c>
      <c r="AK176" s="2">
        <v>-14976</v>
      </c>
      <c r="AL176" s="2">
        <v>-2424</v>
      </c>
      <c r="AM176" s="2">
        <v>0</v>
      </c>
    </row>
    <row r="177" spans="1:39">
      <c r="A177" s="335">
        <v>91306</v>
      </c>
      <c r="B177" s="328" t="s">
        <v>2781</v>
      </c>
      <c r="C177" s="239">
        <v>1.8244999999999999E-3</v>
      </c>
      <c r="E177" s="2">
        <v>940134</v>
      </c>
      <c r="F177" s="2">
        <v>310014</v>
      </c>
      <c r="G177" s="2">
        <v>519512</v>
      </c>
      <c r="H177" s="2">
        <v>136728</v>
      </c>
      <c r="I177" s="2">
        <v>0</v>
      </c>
      <c r="K177" s="2">
        <v>273323</v>
      </c>
      <c r="L177" s="2">
        <v>257109</v>
      </c>
      <c r="M177" s="2">
        <v>230443</v>
      </c>
      <c r="N177" s="2">
        <v>92267</v>
      </c>
      <c r="O177" s="2">
        <v>0</v>
      </c>
      <c r="Q177" s="2">
        <v>290170</v>
      </c>
      <c r="R177" s="2">
        <v>-249601</v>
      </c>
      <c r="S177" s="2">
        <v>35178</v>
      </c>
      <c r="T177" s="2">
        <v>45784</v>
      </c>
      <c r="U177" s="2">
        <v>0</v>
      </c>
      <c r="W177" s="2">
        <v>326881</v>
      </c>
      <c r="X177" s="2">
        <v>267793</v>
      </c>
      <c r="Y177" s="2">
        <v>217402</v>
      </c>
      <c r="Z177" s="2">
        <v>0</v>
      </c>
      <c r="AA177" s="2">
        <v>0</v>
      </c>
      <c r="AC177" s="2">
        <v>52858</v>
      </c>
      <c r="AD177" s="2">
        <v>37811</v>
      </c>
      <c r="AE177" s="2">
        <v>37812</v>
      </c>
      <c r="AF177" s="2">
        <v>0</v>
      </c>
      <c r="AG177" s="2">
        <v>0</v>
      </c>
      <c r="AI177" s="2">
        <v>-3098</v>
      </c>
      <c r="AJ177" s="2">
        <v>-3098</v>
      </c>
      <c r="AK177" s="2">
        <v>-1323</v>
      </c>
      <c r="AL177" s="2">
        <v>-1323</v>
      </c>
      <c r="AM177" s="2">
        <v>0</v>
      </c>
    </row>
    <row r="178" spans="1:39">
      <c r="A178" s="335">
        <v>91308</v>
      </c>
      <c r="B178" s="328" t="s">
        <v>865</v>
      </c>
      <c r="C178" s="239">
        <v>1.7009999999999999E-4</v>
      </c>
      <c r="E178" s="2">
        <v>76130</v>
      </c>
      <c r="F178" s="2">
        <v>18730</v>
      </c>
      <c r="G178" s="2">
        <v>42764</v>
      </c>
      <c r="H178" s="2">
        <v>12551</v>
      </c>
      <c r="I178" s="2">
        <v>0</v>
      </c>
      <c r="K178" s="2">
        <v>25482</v>
      </c>
      <c r="L178" s="2">
        <v>23970</v>
      </c>
      <c r="M178" s="2">
        <v>21484</v>
      </c>
      <c r="N178" s="2">
        <v>8602</v>
      </c>
      <c r="O178" s="2">
        <v>0</v>
      </c>
      <c r="Q178" s="2">
        <v>27053</v>
      </c>
      <c r="R178" s="2">
        <v>-23271</v>
      </c>
      <c r="S178" s="2">
        <v>3280</v>
      </c>
      <c r="T178" s="2">
        <v>4268</v>
      </c>
      <c r="U178" s="2">
        <v>0</v>
      </c>
      <c r="W178" s="2">
        <v>30475</v>
      </c>
      <c r="X178" s="2">
        <v>24967</v>
      </c>
      <c r="Y178" s="2">
        <v>20269</v>
      </c>
      <c r="Z178" s="2">
        <v>0</v>
      </c>
      <c r="AA178" s="2">
        <v>0</v>
      </c>
      <c r="AC178" s="2">
        <v>54</v>
      </c>
      <c r="AD178" s="2">
        <v>0</v>
      </c>
      <c r="AE178" s="2">
        <v>0</v>
      </c>
      <c r="AF178" s="2">
        <v>0</v>
      </c>
      <c r="AG178" s="2">
        <v>0</v>
      </c>
      <c r="AI178" s="2">
        <v>-6934</v>
      </c>
      <c r="AJ178" s="2">
        <v>-6936</v>
      </c>
      <c r="AK178" s="2">
        <v>-2269</v>
      </c>
      <c r="AL178" s="2">
        <v>-319</v>
      </c>
      <c r="AM178" s="2">
        <v>0</v>
      </c>
    </row>
    <row r="179" spans="1:39">
      <c r="A179" s="335">
        <v>91311</v>
      </c>
      <c r="B179" s="328" t="s">
        <v>866</v>
      </c>
      <c r="C179" s="239">
        <v>7.9030000000000003E-3</v>
      </c>
      <c r="E179" s="2">
        <v>3741589</v>
      </c>
      <c r="F179" s="2">
        <v>1151373</v>
      </c>
      <c r="G179" s="2">
        <v>2093504</v>
      </c>
      <c r="H179" s="2">
        <v>618523</v>
      </c>
      <c r="I179" s="2">
        <v>0</v>
      </c>
      <c r="K179" s="2">
        <v>1183925</v>
      </c>
      <c r="L179" s="2">
        <v>1113691</v>
      </c>
      <c r="M179" s="2">
        <v>998188</v>
      </c>
      <c r="N179" s="2">
        <v>399663</v>
      </c>
      <c r="O179" s="2">
        <v>0</v>
      </c>
      <c r="Q179" s="2">
        <v>1256901</v>
      </c>
      <c r="R179" s="2">
        <v>-1081170</v>
      </c>
      <c r="S179" s="2">
        <v>152378</v>
      </c>
      <c r="T179" s="2">
        <v>198318</v>
      </c>
      <c r="U179" s="2">
        <v>0</v>
      </c>
      <c r="W179" s="2">
        <v>1415917</v>
      </c>
      <c r="X179" s="2">
        <v>1159971</v>
      </c>
      <c r="Y179" s="2">
        <v>941698</v>
      </c>
      <c r="Z179" s="2">
        <v>0</v>
      </c>
      <c r="AA179" s="2">
        <v>0</v>
      </c>
      <c r="AC179" s="2">
        <v>20543</v>
      </c>
      <c r="AD179" s="2">
        <v>20543</v>
      </c>
      <c r="AE179" s="2">
        <v>20543</v>
      </c>
      <c r="AF179" s="2">
        <v>20542</v>
      </c>
      <c r="AG179" s="2">
        <v>0</v>
      </c>
      <c r="AI179" s="2">
        <v>-135697</v>
      </c>
      <c r="AJ179" s="2">
        <v>-61662</v>
      </c>
      <c r="AK179" s="2">
        <v>-19303</v>
      </c>
      <c r="AL179" s="2">
        <v>0</v>
      </c>
      <c r="AM179" s="2">
        <v>0</v>
      </c>
    </row>
    <row r="180" spans="1:39">
      <c r="A180" s="335">
        <v>91317</v>
      </c>
      <c r="B180" s="328" t="s">
        <v>867</v>
      </c>
      <c r="C180" s="239">
        <v>1.015E-4</v>
      </c>
      <c r="E180" s="2">
        <v>55419</v>
      </c>
      <c r="F180" s="2">
        <v>21480</v>
      </c>
      <c r="G180" s="2">
        <v>30333</v>
      </c>
      <c r="H180" s="2">
        <v>10129</v>
      </c>
      <c r="I180" s="2">
        <v>0</v>
      </c>
      <c r="K180" s="2">
        <v>15205</v>
      </c>
      <c r="L180" s="2">
        <v>14303</v>
      </c>
      <c r="M180" s="2">
        <v>12820</v>
      </c>
      <c r="N180" s="2">
        <v>5133</v>
      </c>
      <c r="O180" s="2">
        <v>0</v>
      </c>
      <c r="Q180" s="2">
        <v>16143</v>
      </c>
      <c r="R180" s="2">
        <v>-13886</v>
      </c>
      <c r="S180" s="2">
        <v>1957</v>
      </c>
      <c r="T180" s="2">
        <v>2547</v>
      </c>
      <c r="U180" s="2">
        <v>0</v>
      </c>
      <c r="W180" s="2">
        <v>18185</v>
      </c>
      <c r="X180" s="2">
        <v>14898</v>
      </c>
      <c r="Y180" s="2">
        <v>12094</v>
      </c>
      <c r="Z180" s="2">
        <v>0</v>
      </c>
      <c r="AA180" s="2">
        <v>0</v>
      </c>
      <c r="AC180" s="2">
        <v>6165</v>
      </c>
      <c r="AD180" s="2">
        <v>6165</v>
      </c>
      <c r="AE180" s="2">
        <v>3462</v>
      </c>
      <c r="AF180" s="2">
        <v>2449</v>
      </c>
      <c r="AG180" s="2">
        <v>0</v>
      </c>
      <c r="AI180" s="2">
        <v>-279</v>
      </c>
      <c r="AJ180" s="2">
        <v>0</v>
      </c>
      <c r="AK180" s="2">
        <v>0</v>
      </c>
      <c r="AL180" s="2">
        <v>0</v>
      </c>
      <c r="AM180" s="2">
        <v>0</v>
      </c>
    </row>
    <row r="181" spans="1:39">
      <c r="A181" s="335">
        <v>91321</v>
      </c>
      <c r="B181" s="328" t="s">
        <v>868</v>
      </c>
      <c r="C181" s="239">
        <v>5.3600000000000002E-5</v>
      </c>
      <c r="E181" s="2">
        <v>42309</v>
      </c>
      <c r="F181" s="2">
        <v>23056</v>
      </c>
      <c r="G181" s="2">
        <v>25513</v>
      </c>
      <c r="H181" s="2">
        <v>10029</v>
      </c>
      <c r="I181" s="2">
        <v>0</v>
      </c>
      <c r="K181" s="2">
        <v>8030</v>
      </c>
      <c r="L181" s="2">
        <v>7553</v>
      </c>
      <c r="M181" s="2">
        <v>6770</v>
      </c>
      <c r="N181" s="2">
        <v>2711</v>
      </c>
      <c r="O181" s="2">
        <v>0</v>
      </c>
      <c r="Q181" s="2">
        <v>8525</v>
      </c>
      <c r="R181" s="2">
        <v>-7333</v>
      </c>
      <c r="S181" s="2">
        <v>1033</v>
      </c>
      <c r="T181" s="2">
        <v>1345</v>
      </c>
      <c r="U181" s="2">
        <v>0</v>
      </c>
      <c r="W181" s="2">
        <v>9603</v>
      </c>
      <c r="X181" s="2">
        <v>7867</v>
      </c>
      <c r="Y181" s="2">
        <v>6387</v>
      </c>
      <c r="Z181" s="2">
        <v>0</v>
      </c>
      <c r="AA181" s="2">
        <v>0</v>
      </c>
      <c r="AC181" s="2">
        <v>16151</v>
      </c>
      <c r="AD181" s="2">
        <v>14969</v>
      </c>
      <c r="AE181" s="2">
        <v>11323</v>
      </c>
      <c r="AF181" s="2">
        <v>5973</v>
      </c>
      <c r="AG181" s="2">
        <v>0</v>
      </c>
      <c r="AI181" s="2">
        <v>0</v>
      </c>
      <c r="AJ181" s="2">
        <v>0</v>
      </c>
      <c r="AK181" s="2">
        <v>0</v>
      </c>
      <c r="AL181" s="2">
        <v>0</v>
      </c>
      <c r="AM181" s="2">
        <v>0</v>
      </c>
    </row>
    <row r="182" spans="1:39">
      <c r="A182" s="335">
        <v>91327</v>
      </c>
      <c r="B182" s="328" t="s">
        <v>3508</v>
      </c>
      <c r="C182" s="239">
        <v>1.0900000000000001E-5</v>
      </c>
      <c r="E182" s="2">
        <v>5795</v>
      </c>
      <c r="F182" s="2">
        <v>2263</v>
      </c>
      <c r="G182" s="2">
        <v>3707</v>
      </c>
      <c r="H182" s="2">
        <v>1518</v>
      </c>
      <c r="I182" s="2">
        <v>0</v>
      </c>
      <c r="K182" s="2">
        <v>1633</v>
      </c>
      <c r="L182" s="2">
        <v>1536</v>
      </c>
      <c r="M182" s="2">
        <v>1377</v>
      </c>
      <c r="N182" s="2">
        <v>551</v>
      </c>
      <c r="O182" s="2">
        <v>0</v>
      </c>
      <c r="Q182" s="2">
        <v>1734</v>
      </c>
      <c r="R182" s="2">
        <v>-1491</v>
      </c>
      <c r="S182" s="2">
        <v>210</v>
      </c>
      <c r="T182" s="2">
        <v>274</v>
      </c>
      <c r="U182" s="2">
        <v>0</v>
      </c>
      <c r="W182" s="2">
        <v>1953</v>
      </c>
      <c r="X182" s="2">
        <v>1600</v>
      </c>
      <c r="Y182" s="2">
        <v>1299</v>
      </c>
      <c r="Z182" s="2">
        <v>0</v>
      </c>
      <c r="AA182" s="2">
        <v>0</v>
      </c>
      <c r="AC182" s="2">
        <v>823</v>
      </c>
      <c r="AD182" s="2">
        <v>823</v>
      </c>
      <c r="AE182" s="2">
        <v>821</v>
      </c>
      <c r="AF182" s="2">
        <v>693</v>
      </c>
      <c r="AG182" s="2">
        <v>0</v>
      </c>
      <c r="AI182" s="2">
        <v>-348</v>
      </c>
      <c r="AJ182" s="2">
        <v>-205</v>
      </c>
      <c r="AK182" s="2">
        <v>0</v>
      </c>
      <c r="AL182" s="2">
        <v>0</v>
      </c>
      <c r="AM182" s="2">
        <v>0</v>
      </c>
    </row>
    <row r="183" spans="1:39">
      <c r="A183" s="335">
        <v>91331</v>
      </c>
      <c r="B183" s="328" t="s">
        <v>870</v>
      </c>
      <c r="C183" s="239">
        <v>2.9286E-3</v>
      </c>
      <c r="E183" s="2">
        <v>1296081</v>
      </c>
      <c r="F183" s="2">
        <v>353921</v>
      </c>
      <c r="G183" s="2">
        <v>699396</v>
      </c>
      <c r="H183" s="2">
        <v>181132</v>
      </c>
      <c r="I183" s="2">
        <v>0</v>
      </c>
      <c r="K183" s="2">
        <v>438725</v>
      </c>
      <c r="L183" s="2">
        <v>412698</v>
      </c>
      <c r="M183" s="2">
        <v>369897</v>
      </c>
      <c r="N183" s="2">
        <v>148102</v>
      </c>
      <c r="O183" s="2">
        <v>0</v>
      </c>
      <c r="Q183" s="2">
        <v>465767</v>
      </c>
      <c r="R183" s="2">
        <v>-400647</v>
      </c>
      <c r="S183" s="2">
        <v>56466</v>
      </c>
      <c r="T183" s="2">
        <v>73490</v>
      </c>
      <c r="U183" s="2">
        <v>0</v>
      </c>
      <c r="W183" s="2">
        <v>524694</v>
      </c>
      <c r="X183" s="2">
        <v>429848</v>
      </c>
      <c r="Y183" s="2">
        <v>348963</v>
      </c>
      <c r="Z183" s="2">
        <v>0</v>
      </c>
      <c r="AA183" s="2">
        <v>0</v>
      </c>
      <c r="AC183" s="2">
        <v>0</v>
      </c>
      <c r="AD183" s="2">
        <v>0</v>
      </c>
      <c r="AE183" s="2">
        <v>0</v>
      </c>
      <c r="AF183" s="2">
        <v>0</v>
      </c>
      <c r="AG183" s="2">
        <v>0</v>
      </c>
      <c r="AI183" s="2">
        <v>-133105</v>
      </c>
      <c r="AJ183" s="2">
        <v>-87978</v>
      </c>
      <c r="AK183" s="2">
        <v>-75930</v>
      </c>
      <c r="AL183" s="2">
        <v>-40460</v>
      </c>
      <c r="AM183" s="2">
        <v>0</v>
      </c>
    </row>
    <row r="184" spans="1:39">
      <c r="A184" s="335">
        <v>91341</v>
      </c>
      <c r="B184" s="328" t="s">
        <v>871</v>
      </c>
      <c r="C184" s="239">
        <v>3.79E-5</v>
      </c>
      <c r="E184" s="2">
        <v>21938</v>
      </c>
      <c r="F184" s="2">
        <v>9690</v>
      </c>
      <c r="G184" s="2">
        <v>12685</v>
      </c>
      <c r="H184" s="2">
        <v>5146</v>
      </c>
      <c r="I184" s="2">
        <v>0</v>
      </c>
      <c r="K184" s="2">
        <v>5678</v>
      </c>
      <c r="L184" s="2">
        <v>5341</v>
      </c>
      <c r="M184" s="2">
        <v>4787</v>
      </c>
      <c r="N184" s="2">
        <v>1917</v>
      </c>
      <c r="O184" s="2">
        <v>0</v>
      </c>
      <c r="Q184" s="2">
        <v>6028</v>
      </c>
      <c r="R184" s="2">
        <v>-5185</v>
      </c>
      <c r="S184" s="2">
        <v>731</v>
      </c>
      <c r="T184" s="2">
        <v>951</v>
      </c>
      <c r="U184" s="2">
        <v>0</v>
      </c>
      <c r="W184" s="2">
        <v>6790</v>
      </c>
      <c r="X184" s="2">
        <v>5563</v>
      </c>
      <c r="Y184" s="2">
        <v>4516</v>
      </c>
      <c r="Z184" s="2">
        <v>0</v>
      </c>
      <c r="AA184" s="2">
        <v>0</v>
      </c>
      <c r="AC184" s="2">
        <v>3971</v>
      </c>
      <c r="AD184" s="2">
        <v>3971</v>
      </c>
      <c r="AE184" s="2">
        <v>2651</v>
      </c>
      <c r="AF184" s="2">
        <v>2278</v>
      </c>
      <c r="AG184" s="2">
        <v>0</v>
      </c>
      <c r="AI184" s="2">
        <v>-529</v>
      </c>
      <c r="AJ184" s="2">
        <v>0</v>
      </c>
      <c r="AK184" s="2">
        <v>0</v>
      </c>
      <c r="AL184" s="2">
        <v>0</v>
      </c>
      <c r="AM184" s="2">
        <v>0</v>
      </c>
    </row>
    <row r="185" spans="1:39">
      <c r="A185" s="335">
        <v>91401</v>
      </c>
      <c r="B185" s="328" t="s">
        <v>872</v>
      </c>
      <c r="C185" s="239">
        <v>3.3915999999999998E-3</v>
      </c>
      <c r="E185" s="2">
        <v>1574937</v>
      </c>
      <c r="F185" s="2">
        <v>434103</v>
      </c>
      <c r="G185" s="2">
        <v>853863</v>
      </c>
      <c r="H185" s="2">
        <v>233817</v>
      </c>
      <c r="I185" s="2">
        <v>0</v>
      </c>
      <c r="K185" s="2">
        <v>508085</v>
      </c>
      <c r="L185" s="2">
        <v>477944</v>
      </c>
      <c r="M185" s="2">
        <v>428376</v>
      </c>
      <c r="N185" s="2">
        <v>171517</v>
      </c>
      <c r="O185" s="2">
        <v>0</v>
      </c>
      <c r="Q185" s="2">
        <v>539403</v>
      </c>
      <c r="R185" s="2">
        <v>-463988</v>
      </c>
      <c r="S185" s="2">
        <v>65393</v>
      </c>
      <c r="T185" s="2">
        <v>85109</v>
      </c>
      <c r="U185" s="2">
        <v>0</v>
      </c>
      <c r="W185" s="2">
        <v>607646</v>
      </c>
      <c r="X185" s="2">
        <v>497805</v>
      </c>
      <c r="Y185" s="2">
        <v>404133</v>
      </c>
      <c r="Z185" s="2">
        <v>0</v>
      </c>
      <c r="AA185" s="2">
        <v>0</v>
      </c>
      <c r="AC185" s="2">
        <v>0</v>
      </c>
      <c r="AD185" s="2">
        <v>0</v>
      </c>
      <c r="AE185" s="2">
        <v>0</v>
      </c>
      <c r="AF185" s="2">
        <v>0</v>
      </c>
      <c r="AG185" s="2">
        <v>0</v>
      </c>
      <c r="AI185" s="2">
        <v>-80197</v>
      </c>
      <c r="AJ185" s="2">
        <v>-77658</v>
      </c>
      <c r="AK185" s="2">
        <v>-44039</v>
      </c>
      <c r="AL185" s="2">
        <v>-22809</v>
      </c>
      <c r="AM185" s="2">
        <v>0</v>
      </c>
    </row>
    <row r="186" spans="1:39">
      <c r="A186" s="335">
        <v>91411</v>
      </c>
      <c r="B186" s="328" t="s">
        <v>873</v>
      </c>
      <c r="C186" s="239">
        <v>3.9639999999999999E-4</v>
      </c>
      <c r="E186" s="2">
        <v>201521</v>
      </c>
      <c r="F186" s="2">
        <v>63550</v>
      </c>
      <c r="G186" s="2">
        <v>105634</v>
      </c>
      <c r="H186" s="2">
        <v>30337</v>
      </c>
      <c r="I186" s="2">
        <v>0</v>
      </c>
      <c r="K186" s="2">
        <v>59383</v>
      </c>
      <c r="L186" s="2">
        <v>55861</v>
      </c>
      <c r="M186" s="2">
        <v>50067</v>
      </c>
      <c r="N186" s="2">
        <v>20046</v>
      </c>
      <c r="O186" s="2">
        <v>0</v>
      </c>
      <c r="Q186" s="2">
        <v>63044</v>
      </c>
      <c r="R186" s="2">
        <v>-54230</v>
      </c>
      <c r="S186" s="2">
        <v>7643</v>
      </c>
      <c r="T186" s="2">
        <v>9947</v>
      </c>
      <c r="U186" s="2">
        <v>0</v>
      </c>
      <c r="W186" s="2">
        <v>71020</v>
      </c>
      <c r="X186" s="2">
        <v>58182</v>
      </c>
      <c r="Y186" s="2">
        <v>47234</v>
      </c>
      <c r="Z186" s="2">
        <v>0</v>
      </c>
      <c r="AA186" s="2">
        <v>0</v>
      </c>
      <c r="AC186" s="2">
        <v>8074</v>
      </c>
      <c r="AD186" s="2">
        <v>3737</v>
      </c>
      <c r="AE186" s="2">
        <v>690</v>
      </c>
      <c r="AF186" s="2">
        <v>344</v>
      </c>
      <c r="AG186" s="2">
        <v>0</v>
      </c>
      <c r="AI186" s="2">
        <v>0</v>
      </c>
      <c r="AJ186" s="2">
        <v>0</v>
      </c>
      <c r="AK186" s="2">
        <v>0</v>
      </c>
      <c r="AL186" s="2">
        <v>0</v>
      </c>
      <c r="AM186" s="2">
        <v>0</v>
      </c>
    </row>
    <row r="187" spans="1:39">
      <c r="A187" s="335">
        <v>91417</v>
      </c>
      <c r="B187" s="328" t="s">
        <v>874</v>
      </c>
      <c r="C187" s="239">
        <v>7.3000000000000004E-6</v>
      </c>
      <c r="E187" s="2">
        <v>4064</v>
      </c>
      <c r="F187" s="2">
        <v>1536</v>
      </c>
      <c r="G187" s="2">
        <v>2262</v>
      </c>
      <c r="H187" s="2">
        <v>761</v>
      </c>
      <c r="I187" s="2">
        <v>0</v>
      </c>
      <c r="K187" s="2">
        <v>1094</v>
      </c>
      <c r="L187" s="2">
        <v>1029</v>
      </c>
      <c r="M187" s="2">
        <v>922</v>
      </c>
      <c r="N187" s="2">
        <v>369</v>
      </c>
      <c r="O187" s="2">
        <v>0</v>
      </c>
      <c r="Q187" s="2">
        <v>1161</v>
      </c>
      <c r="R187" s="2">
        <v>-999</v>
      </c>
      <c r="S187" s="2">
        <v>141</v>
      </c>
      <c r="T187" s="2">
        <v>183</v>
      </c>
      <c r="U187" s="2">
        <v>0</v>
      </c>
      <c r="W187" s="2">
        <v>1308</v>
      </c>
      <c r="X187" s="2">
        <v>1071</v>
      </c>
      <c r="Y187" s="2">
        <v>870</v>
      </c>
      <c r="Z187" s="2">
        <v>0</v>
      </c>
      <c r="AA187" s="2">
        <v>0</v>
      </c>
      <c r="AC187" s="2">
        <v>501</v>
      </c>
      <c r="AD187" s="2">
        <v>435</v>
      </c>
      <c r="AE187" s="2">
        <v>329</v>
      </c>
      <c r="AF187" s="2">
        <v>209</v>
      </c>
      <c r="AG187" s="2">
        <v>0</v>
      </c>
      <c r="AI187" s="2">
        <v>0</v>
      </c>
      <c r="AJ187" s="2">
        <v>0</v>
      </c>
      <c r="AK187" s="2">
        <v>0</v>
      </c>
      <c r="AL187" s="2">
        <v>0</v>
      </c>
      <c r="AM187" s="2">
        <v>0</v>
      </c>
    </row>
    <row r="188" spans="1:39">
      <c r="A188" s="335">
        <v>91421</v>
      </c>
      <c r="B188" s="328" t="s">
        <v>875</v>
      </c>
      <c r="C188" s="239">
        <v>6.69E-5</v>
      </c>
      <c r="E188" s="2">
        <v>34405</v>
      </c>
      <c r="F188" s="2">
        <v>11905</v>
      </c>
      <c r="G188" s="2">
        <v>18756</v>
      </c>
      <c r="H188" s="2">
        <v>4914</v>
      </c>
      <c r="I188" s="2">
        <v>0</v>
      </c>
      <c r="K188" s="2">
        <v>10022</v>
      </c>
      <c r="L188" s="2">
        <v>9428</v>
      </c>
      <c r="M188" s="2">
        <v>8450</v>
      </c>
      <c r="N188" s="2">
        <v>3383</v>
      </c>
      <c r="O188" s="2">
        <v>0</v>
      </c>
      <c r="Q188" s="2">
        <v>10640</v>
      </c>
      <c r="R188" s="2">
        <v>-9152</v>
      </c>
      <c r="S188" s="2">
        <v>1290</v>
      </c>
      <c r="T188" s="2">
        <v>1679</v>
      </c>
      <c r="U188" s="2">
        <v>0</v>
      </c>
      <c r="W188" s="2">
        <v>11986</v>
      </c>
      <c r="X188" s="2">
        <v>9819</v>
      </c>
      <c r="Y188" s="2">
        <v>7972</v>
      </c>
      <c r="Z188" s="2">
        <v>0</v>
      </c>
      <c r="AA188" s="2">
        <v>0</v>
      </c>
      <c r="AC188" s="2">
        <v>1959</v>
      </c>
      <c r="AD188" s="2">
        <v>1957</v>
      </c>
      <c r="AE188" s="2">
        <v>1191</v>
      </c>
      <c r="AF188" s="2">
        <v>0</v>
      </c>
      <c r="AG188" s="2">
        <v>0</v>
      </c>
      <c r="AI188" s="2">
        <v>-202</v>
      </c>
      <c r="AJ188" s="2">
        <v>-147</v>
      </c>
      <c r="AK188" s="2">
        <v>-147</v>
      </c>
      <c r="AL188" s="2">
        <v>-148</v>
      </c>
      <c r="AM188" s="2">
        <v>0</v>
      </c>
    </row>
    <row r="189" spans="1:39">
      <c r="A189" s="335">
        <v>91423</v>
      </c>
      <c r="B189" s="328" t="s">
        <v>876</v>
      </c>
      <c r="C189" s="239">
        <v>5.2899999999999998E-5</v>
      </c>
      <c r="E189" s="2">
        <v>26173</v>
      </c>
      <c r="F189" s="2">
        <v>8212</v>
      </c>
      <c r="G189" s="2">
        <v>12520</v>
      </c>
      <c r="H189" s="2">
        <v>4231</v>
      </c>
      <c r="I189" s="2">
        <v>0</v>
      </c>
      <c r="K189" s="2">
        <v>7925</v>
      </c>
      <c r="L189" s="2">
        <v>7455</v>
      </c>
      <c r="M189" s="2">
        <v>6682</v>
      </c>
      <c r="N189" s="2">
        <v>2675</v>
      </c>
      <c r="O189" s="2">
        <v>0</v>
      </c>
      <c r="Q189" s="2">
        <v>8413</v>
      </c>
      <c r="R189" s="2">
        <v>-7237</v>
      </c>
      <c r="S189" s="2">
        <v>1020</v>
      </c>
      <c r="T189" s="2">
        <v>1327</v>
      </c>
      <c r="U189" s="2">
        <v>0</v>
      </c>
      <c r="W189" s="2">
        <v>9478</v>
      </c>
      <c r="X189" s="2">
        <v>7764</v>
      </c>
      <c r="Y189" s="2">
        <v>6303</v>
      </c>
      <c r="Z189" s="2">
        <v>0</v>
      </c>
      <c r="AA189" s="2">
        <v>0</v>
      </c>
      <c r="AC189" s="2">
        <v>2070</v>
      </c>
      <c r="AD189" s="2">
        <v>1943</v>
      </c>
      <c r="AE189" s="2">
        <v>227</v>
      </c>
      <c r="AF189" s="2">
        <v>229</v>
      </c>
      <c r="AG189" s="2">
        <v>0</v>
      </c>
      <c r="AI189" s="2">
        <v>-1713</v>
      </c>
      <c r="AJ189" s="2">
        <v>-1713</v>
      </c>
      <c r="AK189" s="2">
        <v>-1712</v>
      </c>
      <c r="AL189" s="2">
        <v>0</v>
      </c>
      <c r="AM189" s="2">
        <v>0</v>
      </c>
    </row>
    <row r="190" spans="1:39">
      <c r="A190" s="335">
        <v>91431</v>
      </c>
      <c r="B190" s="328" t="s">
        <v>877</v>
      </c>
      <c r="C190" s="239">
        <v>1.819E-4</v>
      </c>
      <c r="E190" s="2">
        <v>99884</v>
      </c>
      <c r="F190" s="2">
        <v>39037</v>
      </c>
      <c r="G190" s="2">
        <v>55604</v>
      </c>
      <c r="H190" s="2">
        <v>18263</v>
      </c>
      <c r="I190" s="2">
        <v>0</v>
      </c>
      <c r="K190" s="2">
        <v>27250</v>
      </c>
      <c r="L190" s="2">
        <v>25633</v>
      </c>
      <c r="M190" s="2">
        <v>22975</v>
      </c>
      <c r="N190" s="2">
        <v>9199</v>
      </c>
      <c r="O190" s="2">
        <v>0</v>
      </c>
      <c r="Q190" s="2">
        <v>28930</v>
      </c>
      <c r="R190" s="2">
        <v>-24885</v>
      </c>
      <c r="S190" s="2">
        <v>3507</v>
      </c>
      <c r="T190" s="2">
        <v>4565</v>
      </c>
      <c r="U190" s="2">
        <v>0</v>
      </c>
      <c r="W190" s="2">
        <v>32590</v>
      </c>
      <c r="X190" s="2">
        <v>26699</v>
      </c>
      <c r="Y190" s="2">
        <v>21675</v>
      </c>
      <c r="Z190" s="2">
        <v>0</v>
      </c>
      <c r="AA190" s="2">
        <v>0</v>
      </c>
      <c r="AC190" s="2">
        <v>11592</v>
      </c>
      <c r="AD190" s="2">
        <v>11590</v>
      </c>
      <c r="AE190" s="2">
        <v>7447</v>
      </c>
      <c r="AF190" s="2">
        <v>4499</v>
      </c>
      <c r="AG190" s="2">
        <v>0</v>
      </c>
      <c r="AI190" s="2">
        <v>-478</v>
      </c>
      <c r="AJ190" s="2">
        <v>0</v>
      </c>
      <c r="AK190" s="2">
        <v>0</v>
      </c>
      <c r="AL190" s="2">
        <v>0</v>
      </c>
      <c r="AM190" s="2">
        <v>0</v>
      </c>
    </row>
    <row r="191" spans="1:39">
      <c r="A191" s="335">
        <v>91441</v>
      </c>
      <c r="B191" s="328" t="s">
        <v>878</v>
      </c>
      <c r="C191" s="239">
        <v>9.8020000000000008E-4</v>
      </c>
      <c r="E191" s="2">
        <v>429921</v>
      </c>
      <c r="F191" s="2">
        <v>117874</v>
      </c>
      <c r="G191" s="2">
        <v>217735</v>
      </c>
      <c r="H191" s="2">
        <v>55791</v>
      </c>
      <c r="I191" s="2">
        <v>0</v>
      </c>
      <c r="K191" s="2">
        <v>146841</v>
      </c>
      <c r="L191" s="2">
        <v>138130</v>
      </c>
      <c r="M191" s="2">
        <v>123804</v>
      </c>
      <c r="N191" s="2">
        <v>49570</v>
      </c>
      <c r="O191" s="2">
        <v>0</v>
      </c>
      <c r="Q191" s="2">
        <v>155892</v>
      </c>
      <c r="R191" s="2">
        <v>-134096</v>
      </c>
      <c r="S191" s="2">
        <v>18899</v>
      </c>
      <c r="T191" s="2">
        <v>24597</v>
      </c>
      <c r="U191" s="2">
        <v>0</v>
      </c>
      <c r="W191" s="2">
        <v>175615</v>
      </c>
      <c r="X191" s="2">
        <v>143870</v>
      </c>
      <c r="Y191" s="2">
        <v>116798</v>
      </c>
      <c r="Z191" s="2">
        <v>0</v>
      </c>
      <c r="AA191" s="2">
        <v>0</v>
      </c>
      <c r="AC191" s="2">
        <v>11739</v>
      </c>
      <c r="AD191" s="2">
        <v>11737</v>
      </c>
      <c r="AE191" s="2">
        <v>0</v>
      </c>
      <c r="AF191" s="2">
        <v>0</v>
      </c>
      <c r="AG191" s="2">
        <v>0</v>
      </c>
      <c r="AI191" s="2">
        <v>-60166</v>
      </c>
      <c r="AJ191" s="2">
        <v>-41767</v>
      </c>
      <c r="AK191" s="2">
        <v>-41766</v>
      </c>
      <c r="AL191" s="2">
        <v>-18376</v>
      </c>
      <c r="AM191" s="2">
        <v>0</v>
      </c>
    </row>
    <row r="192" spans="1:39">
      <c r="A192" s="335">
        <v>91451</v>
      </c>
      <c r="B192" s="328" t="s">
        <v>879</v>
      </c>
      <c r="C192" s="239">
        <v>1.5533999999999999E-3</v>
      </c>
      <c r="E192" s="2">
        <v>725223</v>
      </c>
      <c r="F192" s="2">
        <v>226578</v>
      </c>
      <c r="G192" s="2">
        <v>419476</v>
      </c>
      <c r="H192" s="2">
        <v>125808</v>
      </c>
      <c r="I192" s="2">
        <v>0</v>
      </c>
      <c r="K192" s="2">
        <v>232710</v>
      </c>
      <c r="L192" s="2">
        <v>218905</v>
      </c>
      <c r="M192" s="2">
        <v>196202</v>
      </c>
      <c r="N192" s="2">
        <v>78557</v>
      </c>
      <c r="O192" s="2">
        <v>0</v>
      </c>
      <c r="Q192" s="2">
        <v>247054</v>
      </c>
      <c r="R192" s="2">
        <v>-212513</v>
      </c>
      <c r="S192" s="2">
        <v>29951</v>
      </c>
      <c r="T192" s="2">
        <v>38981</v>
      </c>
      <c r="U192" s="2">
        <v>0</v>
      </c>
      <c r="W192" s="2">
        <v>278310</v>
      </c>
      <c r="X192" s="2">
        <v>228002</v>
      </c>
      <c r="Y192" s="2">
        <v>185098</v>
      </c>
      <c r="Z192" s="2">
        <v>0</v>
      </c>
      <c r="AA192" s="2">
        <v>0</v>
      </c>
      <c r="AC192" s="2">
        <v>8268</v>
      </c>
      <c r="AD192" s="2">
        <v>8268</v>
      </c>
      <c r="AE192" s="2">
        <v>8268</v>
      </c>
      <c r="AF192" s="2">
        <v>8270</v>
      </c>
      <c r="AG192" s="2">
        <v>0</v>
      </c>
      <c r="AI192" s="2">
        <v>-41119</v>
      </c>
      <c r="AJ192" s="2">
        <v>-16084</v>
      </c>
      <c r="AK192" s="2">
        <v>-43</v>
      </c>
      <c r="AL192" s="2">
        <v>0</v>
      </c>
      <c r="AM192" s="2">
        <v>0</v>
      </c>
    </row>
    <row r="193" spans="1:39">
      <c r="A193" s="335">
        <v>91457</v>
      </c>
      <c r="B193" s="328" t="s">
        <v>3678</v>
      </c>
      <c r="C193" s="239">
        <v>1.5500000000000001E-5</v>
      </c>
      <c r="E193" s="2">
        <v>20900</v>
      </c>
      <c r="F193" s="2">
        <v>12727</v>
      </c>
      <c r="G193" s="2">
        <v>10994</v>
      </c>
      <c r="H193" s="2">
        <v>4296</v>
      </c>
      <c r="I193" s="2">
        <v>0</v>
      </c>
      <c r="K193" s="2">
        <v>2322</v>
      </c>
      <c r="L193" s="2">
        <v>2184</v>
      </c>
      <c r="M193" s="2">
        <v>1958</v>
      </c>
      <c r="N193" s="2">
        <v>784</v>
      </c>
      <c r="O193" s="2">
        <v>0</v>
      </c>
      <c r="Q193" s="2">
        <v>2465</v>
      </c>
      <c r="R193" s="2">
        <v>-2120</v>
      </c>
      <c r="S193" s="2">
        <v>299</v>
      </c>
      <c r="T193" s="2">
        <v>389</v>
      </c>
      <c r="U193" s="2">
        <v>0</v>
      </c>
      <c r="W193" s="2">
        <v>2777</v>
      </c>
      <c r="X193" s="2">
        <v>2275</v>
      </c>
      <c r="Y193" s="2">
        <v>1847</v>
      </c>
      <c r="Z193" s="2">
        <v>0</v>
      </c>
      <c r="AA193" s="2">
        <v>0</v>
      </c>
      <c r="AC193" s="2">
        <v>13336</v>
      </c>
      <c r="AD193" s="2">
        <v>10388</v>
      </c>
      <c r="AE193" s="2">
        <v>6890</v>
      </c>
      <c r="AF193" s="2">
        <v>3123</v>
      </c>
      <c r="AG193" s="2">
        <v>0</v>
      </c>
      <c r="AI193" s="2">
        <v>0</v>
      </c>
      <c r="AJ193" s="2">
        <v>0</v>
      </c>
      <c r="AK193" s="2">
        <v>0</v>
      </c>
      <c r="AL193" s="2">
        <v>0</v>
      </c>
      <c r="AM193" s="2">
        <v>0</v>
      </c>
    </row>
    <row r="194" spans="1:39">
      <c r="A194" s="335">
        <v>91461</v>
      </c>
      <c r="B194" s="328" t="s">
        <v>881</v>
      </c>
      <c r="C194" s="239">
        <v>9.5000000000000005E-6</v>
      </c>
      <c r="E194" s="2">
        <v>3963</v>
      </c>
      <c r="F194" s="2">
        <v>636</v>
      </c>
      <c r="G194" s="2">
        <v>1878</v>
      </c>
      <c r="H194" s="2">
        <v>360</v>
      </c>
      <c r="I194" s="2">
        <v>0</v>
      </c>
      <c r="K194" s="2">
        <v>1423</v>
      </c>
      <c r="L194" s="2">
        <v>1339</v>
      </c>
      <c r="M194" s="2">
        <v>1200</v>
      </c>
      <c r="N194" s="2">
        <v>480</v>
      </c>
      <c r="O194" s="2">
        <v>0</v>
      </c>
      <c r="Q194" s="2">
        <v>1511</v>
      </c>
      <c r="R194" s="2">
        <v>-1300</v>
      </c>
      <c r="S194" s="2">
        <v>183</v>
      </c>
      <c r="T194" s="2">
        <v>238</v>
      </c>
      <c r="U194" s="2">
        <v>0</v>
      </c>
      <c r="W194" s="2">
        <v>1702</v>
      </c>
      <c r="X194" s="2">
        <v>1394</v>
      </c>
      <c r="Y194" s="2">
        <v>1132</v>
      </c>
      <c r="Z194" s="2">
        <v>0</v>
      </c>
      <c r="AA194" s="2">
        <v>0</v>
      </c>
      <c r="AC194" s="2">
        <v>123</v>
      </c>
      <c r="AD194" s="2">
        <v>0</v>
      </c>
      <c r="AE194" s="2">
        <v>0</v>
      </c>
      <c r="AF194" s="2">
        <v>0</v>
      </c>
      <c r="AG194" s="2">
        <v>0</v>
      </c>
      <c r="AI194" s="2">
        <v>-796</v>
      </c>
      <c r="AJ194" s="2">
        <v>-797</v>
      </c>
      <c r="AK194" s="2">
        <v>-637</v>
      </c>
      <c r="AL194" s="2">
        <v>-358</v>
      </c>
      <c r="AM194" s="2">
        <v>0</v>
      </c>
    </row>
    <row r="195" spans="1:39">
      <c r="A195" s="335">
        <v>91501</v>
      </c>
      <c r="B195" s="328" t="s">
        <v>882</v>
      </c>
      <c r="C195" s="239">
        <v>5.1179999999999997E-4</v>
      </c>
      <c r="E195" s="2">
        <v>254038</v>
      </c>
      <c r="F195" s="2">
        <v>79041</v>
      </c>
      <c r="G195" s="2">
        <v>139043</v>
      </c>
      <c r="H195" s="2">
        <v>46149</v>
      </c>
      <c r="I195" s="2">
        <v>0</v>
      </c>
      <c r="K195" s="2">
        <v>76671</v>
      </c>
      <c r="L195" s="2">
        <v>72123</v>
      </c>
      <c r="M195" s="2">
        <v>64643</v>
      </c>
      <c r="N195" s="2">
        <v>25882</v>
      </c>
      <c r="O195" s="2">
        <v>0</v>
      </c>
      <c r="Q195" s="2">
        <v>81397</v>
      </c>
      <c r="R195" s="2">
        <v>-70017</v>
      </c>
      <c r="S195" s="2">
        <v>9868</v>
      </c>
      <c r="T195" s="2">
        <v>12843</v>
      </c>
      <c r="U195" s="2">
        <v>0</v>
      </c>
      <c r="W195" s="2">
        <v>91695</v>
      </c>
      <c r="X195" s="2">
        <v>75120</v>
      </c>
      <c r="Y195" s="2">
        <v>60985</v>
      </c>
      <c r="Z195" s="2">
        <v>0</v>
      </c>
      <c r="AA195" s="2">
        <v>0</v>
      </c>
      <c r="AC195" s="2">
        <v>9881</v>
      </c>
      <c r="AD195" s="2">
        <v>7423</v>
      </c>
      <c r="AE195" s="2">
        <v>7423</v>
      </c>
      <c r="AF195" s="2">
        <v>7424</v>
      </c>
      <c r="AG195" s="2">
        <v>0</v>
      </c>
      <c r="AI195" s="2">
        <v>-5606</v>
      </c>
      <c r="AJ195" s="2">
        <v>-5608</v>
      </c>
      <c r="AK195" s="2">
        <v>-3876</v>
      </c>
      <c r="AL195" s="2">
        <v>0</v>
      </c>
      <c r="AM195" s="2">
        <v>0</v>
      </c>
    </row>
    <row r="196" spans="1:39">
      <c r="A196" s="335">
        <v>91504</v>
      </c>
      <c r="B196" s="328" t="s">
        <v>883</v>
      </c>
      <c r="C196" s="239">
        <v>8.3999999999999992E-6</v>
      </c>
      <c r="E196" s="2">
        <v>5509</v>
      </c>
      <c r="F196" s="2">
        <v>2319</v>
      </c>
      <c r="G196" s="2">
        <v>2946</v>
      </c>
      <c r="H196" s="2">
        <v>911</v>
      </c>
      <c r="I196" s="2">
        <v>0</v>
      </c>
      <c r="K196" s="2">
        <v>1258</v>
      </c>
      <c r="L196" s="2">
        <v>1184</v>
      </c>
      <c r="M196" s="2">
        <v>1061</v>
      </c>
      <c r="N196" s="2">
        <v>425</v>
      </c>
      <c r="O196" s="2">
        <v>0</v>
      </c>
      <c r="Q196" s="2">
        <v>1336</v>
      </c>
      <c r="R196" s="2">
        <v>-1149</v>
      </c>
      <c r="S196" s="2">
        <v>162</v>
      </c>
      <c r="T196" s="2">
        <v>211</v>
      </c>
      <c r="U196" s="2">
        <v>0</v>
      </c>
      <c r="W196" s="2">
        <v>1505</v>
      </c>
      <c r="X196" s="2">
        <v>1233</v>
      </c>
      <c r="Y196" s="2">
        <v>1001</v>
      </c>
      <c r="Z196" s="2">
        <v>0</v>
      </c>
      <c r="AA196" s="2">
        <v>0</v>
      </c>
      <c r="AC196" s="2">
        <v>1410</v>
      </c>
      <c r="AD196" s="2">
        <v>1051</v>
      </c>
      <c r="AE196" s="2">
        <v>722</v>
      </c>
      <c r="AF196" s="2">
        <v>275</v>
      </c>
      <c r="AG196" s="2">
        <v>0</v>
      </c>
      <c r="AI196" s="2">
        <v>0</v>
      </c>
      <c r="AJ196" s="2">
        <v>0</v>
      </c>
      <c r="AK196" s="2">
        <v>0</v>
      </c>
      <c r="AL196" s="2">
        <v>0</v>
      </c>
      <c r="AM196" s="2">
        <v>0</v>
      </c>
    </row>
    <row r="197" spans="1:39">
      <c r="A197" s="335">
        <v>91601</v>
      </c>
      <c r="B197" s="328" t="s">
        <v>884</v>
      </c>
      <c r="C197" s="239">
        <v>3.0071E-3</v>
      </c>
      <c r="E197" s="2">
        <v>1545468</v>
      </c>
      <c r="F197" s="2">
        <v>500845</v>
      </c>
      <c r="G197" s="2">
        <v>853299</v>
      </c>
      <c r="H197" s="2">
        <v>284266</v>
      </c>
      <c r="I197" s="2">
        <v>0</v>
      </c>
      <c r="K197" s="2">
        <v>450485</v>
      </c>
      <c r="L197" s="2">
        <v>423761</v>
      </c>
      <c r="M197" s="2">
        <v>379812</v>
      </c>
      <c r="N197" s="2">
        <v>152072</v>
      </c>
      <c r="O197" s="2">
        <v>0</v>
      </c>
      <c r="Q197" s="2">
        <v>478252</v>
      </c>
      <c r="R197" s="2">
        <v>-411386</v>
      </c>
      <c r="S197" s="2">
        <v>57980</v>
      </c>
      <c r="T197" s="2">
        <v>75460</v>
      </c>
      <c r="U197" s="2">
        <v>0</v>
      </c>
      <c r="W197" s="2">
        <v>538758</v>
      </c>
      <c r="X197" s="2">
        <v>441370</v>
      </c>
      <c r="Y197" s="2">
        <v>358317</v>
      </c>
      <c r="Z197" s="2">
        <v>0</v>
      </c>
      <c r="AA197" s="2">
        <v>0</v>
      </c>
      <c r="AC197" s="2">
        <v>88065</v>
      </c>
      <c r="AD197" s="2">
        <v>57191</v>
      </c>
      <c r="AE197" s="2">
        <v>57190</v>
      </c>
      <c r="AF197" s="2">
        <v>56734</v>
      </c>
      <c r="AG197" s="2">
        <v>0</v>
      </c>
      <c r="AI197" s="2">
        <v>-10092</v>
      </c>
      <c r="AJ197" s="2">
        <v>-10091</v>
      </c>
      <c r="AK197" s="2">
        <v>0</v>
      </c>
      <c r="AL197" s="2">
        <v>0</v>
      </c>
      <c r="AM197" s="2">
        <v>0</v>
      </c>
    </row>
    <row r="198" spans="1:39">
      <c r="A198" s="335">
        <v>91604</v>
      </c>
      <c r="B198" s="328" t="s">
        <v>885</v>
      </c>
      <c r="C198" s="239">
        <v>8.5599999999999994E-5</v>
      </c>
      <c r="E198" s="2">
        <v>51863</v>
      </c>
      <c r="F198" s="2">
        <v>20757</v>
      </c>
      <c r="G198" s="2">
        <v>28244</v>
      </c>
      <c r="H198" s="2">
        <v>9838</v>
      </c>
      <c r="I198" s="2">
        <v>0</v>
      </c>
      <c r="K198" s="2">
        <v>12823</v>
      </c>
      <c r="L198" s="2">
        <v>12063</v>
      </c>
      <c r="M198" s="2">
        <v>10812</v>
      </c>
      <c r="N198" s="2">
        <v>4329</v>
      </c>
      <c r="O198" s="2">
        <v>0</v>
      </c>
      <c r="Q198" s="2">
        <v>13614</v>
      </c>
      <c r="R198" s="2">
        <v>-11711</v>
      </c>
      <c r="S198" s="2">
        <v>1650</v>
      </c>
      <c r="T198" s="2">
        <v>2148</v>
      </c>
      <c r="U198" s="2">
        <v>0</v>
      </c>
      <c r="W198" s="2">
        <v>15336</v>
      </c>
      <c r="X198" s="2">
        <v>12564</v>
      </c>
      <c r="Y198" s="2">
        <v>10200</v>
      </c>
      <c r="Z198" s="2">
        <v>0</v>
      </c>
      <c r="AA198" s="2">
        <v>0</v>
      </c>
      <c r="AC198" s="2">
        <v>10090</v>
      </c>
      <c r="AD198" s="2">
        <v>7841</v>
      </c>
      <c r="AE198" s="2">
        <v>5582</v>
      </c>
      <c r="AF198" s="2">
        <v>3361</v>
      </c>
      <c r="AG198" s="2">
        <v>0</v>
      </c>
      <c r="AI198" s="2">
        <v>0</v>
      </c>
      <c r="AJ198" s="2">
        <v>0</v>
      </c>
      <c r="AK198" s="2">
        <v>0</v>
      </c>
      <c r="AL198" s="2">
        <v>0</v>
      </c>
      <c r="AM198" s="2">
        <v>0</v>
      </c>
    </row>
    <row r="199" spans="1:39">
      <c r="A199" s="335">
        <v>91608</v>
      </c>
      <c r="B199" s="328" t="s">
        <v>886</v>
      </c>
      <c r="C199" s="239">
        <v>1.5420000000000001E-4</v>
      </c>
      <c r="E199" s="2">
        <v>63397</v>
      </c>
      <c r="F199" s="2">
        <v>13891</v>
      </c>
      <c r="G199" s="2">
        <v>31058</v>
      </c>
      <c r="H199" s="2">
        <v>5995</v>
      </c>
      <c r="I199" s="2">
        <v>0</v>
      </c>
      <c r="K199" s="2">
        <v>23100</v>
      </c>
      <c r="L199" s="2">
        <v>21730</v>
      </c>
      <c r="M199" s="2">
        <v>19476</v>
      </c>
      <c r="N199" s="2">
        <v>7798</v>
      </c>
      <c r="O199" s="2">
        <v>0</v>
      </c>
      <c r="Q199" s="2">
        <v>24524</v>
      </c>
      <c r="R199" s="2">
        <v>-21095</v>
      </c>
      <c r="S199" s="2">
        <v>2973</v>
      </c>
      <c r="T199" s="2">
        <v>3869</v>
      </c>
      <c r="U199" s="2">
        <v>0</v>
      </c>
      <c r="W199" s="2">
        <v>27627</v>
      </c>
      <c r="X199" s="2">
        <v>22633</v>
      </c>
      <c r="Y199" s="2">
        <v>18374</v>
      </c>
      <c r="Z199" s="2">
        <v>0</v>
      </c>
      <c r="AA199" s="2">
        <v>0</v>
      </c>
      <c r="AC199" s="2">
        <v>390</v>
      </c>
      <c r="AD199" s="2">
        <v>389</v>
      </c>
      <c r="AE199" s="2">
        <v>0</v>
      </c>
      <c r="AF199" s="2">
        <v>0</v>
      </c>
      <c r="AG199" s="2">
        <v>0</v>
      </c>
      <c r="AI199" s="2">
        <v>-12244</v>
      </c>
      <c r="AJ199" s="2">
        <v>-9766</v>
      </c>
      <c r="AK199" s="2">
        <v>-9765</v>
      </c>
      <c r="AL199" s="2">
        <v>-5672</v>
      </c>
      <c r="AM199" s="2">
        <v>0</v>
      </c>
    </row>
    <row r="200" spans="1:39">
      <c r="A200" s="335">
        <v>91611</v>
      </c>
      <c r="B200" s="328" t="s">
        <v>887</v>
      </c>
      <c r="C200" s="239">
        <v>1.4658E-3</v>
      </c>
      <c r="E200" s="2">
        <v>659663</v>
      </c>
      <c r="F200" s="2">
        <v>170402</v>
      </c>
      <c r="G200" s="2">
        <v>346557</v>
      </c>
      <c r="H200" s="2">
        <v>90138</v>
      </c>
      <c r="I200" s="2">
        <v>0</v>
      </c>
      <c r="K200" s="2">
        <v>219587</v>
      </c>
      <c r="L200" s="2">
        <v>206561</v>
      </c>
      <c r="M200" s="2">
        <v>185138</v>
      </c>
      <c r="N200" s="2">
        <v>74127</v>
      </c>
      <c r="O200" s="2">
        <v>0</v>
      </c>
      <c r="Q200" s="2">
        <v>233122</v>
      </c>
      <c r="R200" s="2">
        <v>-200529</v>
      </c>
      <c r="S200" s="2">
        <v>28262</v>
      </c>
      <c r="T200" s="2">
        <v>36783</v>
      </c>
      <c r="U200" s="2">
        <v>0</v>
      </c>
      <c r="W200" s="2">
        <v>262616</v>
      </c>
      <c r="X200" s="2">
        <v>215144</v>
      </c>
      <c r="Y200" s="2">
        <v>174660</v>
      </c>
      <c r="Z200" s="2">
        <v>0</v>
      </c>
      <c r="AA200" s="2">
        <v>0</v>
      </c>
      <c r="AC200" s="2">
        <v>0</v>
      </c>
      <c r="AD200" s="2">
        <v>0</v>
      </c>
      <c r="AE200" s="2">
        <v>0</v>
      </c>
      <c r="AF200" s="2">
        <v>0</v>
      </c>
      <c r="AG200" s="2">
        <v>0</v>
      </c>
      <c r="AI200" s="2">
        <v>-55662</v>
      </c>
      <c r="AJ200" s="2">
        <v>-50774</v>
      </c>
      <c r="AK200" s="2">
        <v>-41503</v>
      </c>
      <c r="AL200" s="2">
        <v>-20772</v>
      </c>
      <c r="AM200" s="2">
        <v>0</v>
      </c>
    </row>
    <row r="201" spans="1:39">
      <c r="A201" s="335">
        <v>91621</v>
      </c>
      <c r="B201" s="328" t="s">
        <v>888</v>
      </c>
      <c r="C201" s="239">
        <v>2.418E-4</v>
      </c>
      <c r="E201" s="2">
        <v>110459</v>
      </c>
      <c r="F201" s="2">
        <v>30308</v>
      </c>
      <c r="G201" s="2">
        <v>57939</v>
      </c>
      <c r="H201" s="2">
        <v>14040</v>
      </c>
      <c r="I201" s="2">
        <v>0</v>
      </c>
      <c r="K201" s="2">
        <v>36223</v>
      </c>
      <c r="L201" s="2">
        <v>34074</v>
      </c>
      <c r="M201" s="2">
        <v>30541</v>
      </c>
      <c r="N201" s="2">
        <v>12228</v>
      </c>
      <c r="O201" s="2">
        <v>0</v>
      </c>
      <c r="Q201" s="2">
        <v>38456</v>
      </c>
      <c r="R201" s="2">
        <v>-33079</v>
      </c>
      <c r="S201" s="2">
        <v>4662</v>
      </c>
      <c r="T201" s="2">
        <v>6068</v>
      </c>
      <c r="U201" s="2">
        <v>0</v>
      </c>
      <c r="W201" s="2">
        <v>43321</v>
      </c>
      <c r="X201" s="2">
        <v>35490</v>
      </c>
      <c r="Y201" s="2">
        <v>28812</v>
      </c>
      <c r="Z201" s="2">
        <v>0</v>
      </c>
      <c r="AA201" s="2">
        <v>0</v>
      </c>
      <c r="AC201" s="2">
        <v>0</v>
      </c>
      <c r="AD201" s="2">
        <v>0</v>
      </c>
      <c r="AE201" s="2">
        <v>0</v>
      </c>
      <c r="AF201" s="2">
        <v>0</v>
      </c>
      <c r="AG201" s="2">
        <v>0</v>
      </c>
      <c r="AI201" s="2">
        <v>-7541</v>
      </c>
      <c r="AJ201" s="2">
        <v>-6177</v>
      </c>
      <c r="AK201" s="2">
        <v>-6076</v>
      </c>
      <c r="AL201" s="2">
        <v>-4256</v>
      </c>
      <c r="AM201" s="2">
        <v>0</v>
      </c>
    </row>
    <row r="202" spans="1:39">
      <c r="A202" s="335">
        <v>91631</v>
      </c>
      <c r="B202" s="328" t="s">
        <v>889</v>
      </c>
      <c r="C202" s="239">
        <v>5.9349999999999995E-4</v>
      </c>
      <c r="E202" s="2">
        <v>278130</v>
      </c>
      <c r="F202" s="2">
        <v>84867</v>
      </c>
      <c r="G202" s="2">
        <v>159183</v>
      </c>
      <c r="H202" s="2">
        <v>47920</v>
      </c>
      <c r="I202" s="2">
        <v>0</v>
      </c>
      <c r="K202" s="2">
        <v>88910</v>
      </c>
      <c r="L202" s="2">
        <v>83636</v>
      </c>
      <c r="M202" s="2">
        <v>74962</v>
      </c>
      <c r="N202" s="2">
        <v>30014</v>
      </c>
      <c r="O202" s="2">
        <v>0</v>
      </c>
      <c r="Q202" s="2">
        <v>94391</v>
      </c>
      <c r="R202" s="2">
        <v>-81194</v>
      </c>
      <c r="S202" s="2">
        <v>11443</v>
      </c>
      <c r="T202" s="2">
        <v>14893</v>
      </c>
      <c r="U202" s="2">
        <v>0</v>
      </c>
      <c r="W202" s="2">
        <v>106333</v>
      </c>
      <c r="X202" s="2">
        <v>87112</v>
      </c>
      <c r="Y202" s="2">
        <v>70720</v>
      </c>
      <c r="Z202" s="2">
        <v>0</v>
      </c>
      <c r="AA202" s="2">
        <v>0</v>
      </c>
      <c r="AC202" s="2">
        <v>3014</v>
      </c>
      <c r="AD202" s="2">
        <v>3014</v>
      </c>
      <c r="AE202" s="2">
        <v>3014</v>
      </c>
      <c r="AF202" s="2">
        <v>3013</v>
      </c>
      <c r="AG202" s="2">
        <v>0</v>
      </c>
      <c r="AI202" s="2">
        <v>-14518</v>
      </c>
      <c r="AJ202" s="2">
        <v>-7701</v>
      </c>
      <c r="AK202" s="2">
        <v>-956</v>
      </c>
      <c r="AL202" s="2">
        <v>0</v>
      </c>
      <c r="AM202" s="2">
        <v>0</v>
      </c>
    </row>
    <row r="203" spans="1:39">
      <c r="A203" s="335">
        <v>91633</v>
      </c>
      <c r="B203" s="328" t="s">
        <v>2756</v>
      </c>
      <c r="C203" s="239">
        <v>3.15E-5</v>
      </c>
      <c r="E203" s="2">
        <v>17017</v>
      </c>
      <c r="F203" s="2">
        <v>6082</v>
      </c>
      <c r="G203" s="2">
        <v>9553</v>
      </c>
      <c r="H203" s="2">
        <v>4536</v>
      </c>
      <c r="I203" s="2">
        <v>0</v>
      </c>
      <c r="K203" s="2">
        <v>4719</v>
      </c>
      <c r="L203" s="2">
        <v>4439</v>
      </c>
      <c r="M203" s="2">
        <v>3979</v>
      </c>
      <c r="N203" s="2">
        <v>1593</v>
      </c>
      <c r="O203" s="2">
        <v>0</v>
      </c>
      <c r="Q203" s="2">
        <v>5010</v>
      </c>
      <c r="R203" s="2">
        <v>-4309</v>
      </c>
      <c r="S203" s="2">
        <v>607</v>
      </c>
      <c r="T203" s="2">
        <v>790</v>
      </c>
      <c r="U203" s="2">
        <v>0</v>
      </c>
      <c r="W203" s="2">
        <v>5644</v>
      </c>
      <c r="X203" s="2">
        <v>4623</v>
      </c>
      <c r="Y203" s="2">
        <v>3753</v>
      </c>
      <c r="Z203" s="2">
        <v>0</v>
      </c>
      <c r="AA203" s="2">
        <v>0</v>
      </c>
      <c r="AC203" s="2">
        <v>2583</v>
      </c>
      <c r="AD203" s="2">
        <v>2268</v>
      </c>
      <c r="AE203" s="2">
        <v>2151</v>
      </c>
      <c r="AF203" s="2">
        <v>2153</v>
      </c>
      <c r="AG203" s="2">
        <v>0</v>
      </c>
      <c r="AI203" s="2">
        <v>-939</v>
      </c>
      <c r="AJ203" s="2">
        <v>-939</v>
      </c>
      <c r="AK203" s="2">
        <v>-937</v>
      </c>
      <c r="AL203" s="2">
        <v>0</v>
      </c>
      <c r="AM203" s="2">
        <v>0</v>
      </c>
    </row>
    <row r="204" spans="1:39">
      <c r="A204" s="335">
        <v>91641</v>
      </c>
      <c r="B204" s="328" t="s">
        <v>891</v>
      </c>
      <c r="C204" s="239">
        <v>2.8519999999999999E-4</v>
      </c>
      <c r="E204" s="2">
        <v>118507</v>
      </c>
      <c r="F204" s="2">
        <v>30751</v>
      </c>
      <c r="G204" s="2">
        <v>64700</v>
      </c>
      <c r="H204" s="2">
        <v>21979</v>
      </c>
      <c r="I204" s="2">
        <v>0</v>
      </c>
      <c r="K204" s="2">
        <v>42725</v>
      </c>
      <c r="L204" s="2">
        <v>40190</v>
      </c>
      <c r="M204" s="2">
        <v>36022</v>
      </c>
      <c r="N204" s="2">
        <v>14423</v>
      </c>
      <c r="O204" s="2">
        <v>0</v>
      </c>
      <c r="Q204" s="2">
        <v>45358</v>
      </c>
      <c r="R204" s="2">
        <v>-39017</v>
      </c>
      <c r="S204" s="2">
        <v>5499</v>
      </c>
      <c r="T204" s="2">
        <v>7157</v>
      </c>
      <c r="U204" s="2">
        <v>0</v>
      </c>
      <c r="W204" s="2">
        <v>51097</v>
      </c>
      <c r="X204" s="2">
        <v>41861</v>
      </c>
      <c r="Y204" s="2">
        <v>33984</v>
      </c>
      <c r="Z204" s="2">
        <v>0</v>
      </c>
      <c r="AA204" s="2">
        <v>0</v>
      </c>
      <c r="AC204" s="2">
        <v>399</v>
      </c>
      <c r="AD204" s="2">
        <v>399</v>
      </c>
      <c r="AE204" s="2">
        <v>399</v>
      </c>
      <c r="AF204" s="2">
        <v>399</v>
      </c>
      <c r="AG204" s="2">
        <v>0</v>
      </c>
      <c r="AI204" s="2">
        <v>-21072</v>
      </c>
      <c r="AJ204" s="2">
        <v>-12682</v>
      </c>
      <c r="AK204" s="2">
        <v>-11204</v>
      </c>
      <c r="AL204" s="2">
        <v>0</v>
      </c>
      <c r="AM204" s="2">
        <v>0</v>
      </c>
    </row>
    <row r="205" spans="1:39">
      <c r="A205" s="335">
        <v>91651</v>
      </c>
      <c r="B205" s="328" t="s">
        <v>892</v>
      </c>
      <c r="C205" s="239">
        <v>5.4049999999999996E-4</v>
      </c>
      <c r="E205" s="2">
        <v>277263</v>
      </c>
      <c r="F205" s="2">
        <v>98615</v>
      </c>
      <c r="G205" s="2">
        <v>162718</v>
      </c>
      <c r="H205" s="2">
        <v>54053</v>
      </c>
      <c r="I205" s="2">
        <v>0</v>
      </c>
      <c r="K205" s="2">
        <v>80971</v>
      </c>
      <c r="L205" s="2">
        <v>76167</v>
      </c>
      <c r="M205" s="2">
        <v>68268</v>
      </c>
      <c r="N205" s="2">
        <v>27334</v>
      </c>
      <c r="O205" s="2">
        <v>0</v>
      </c>
      <c r="Q205" s="2">
        <v>85962</v>
      </c>
      <c r="R205" s="2">
        <v>-73943</v>
      </c>
      <c r="S205" s="2">
        <v>10421</v>
      </c>
      <c r="T205" s="2">
        <v>13563</v>
      </c>
      <c r="U205" s="2">
        <v>0</v>
      </c>
      <c r="W205" s="2">
        <v>96837</v>
      </c>
      <c r="X205" s="2">
        <v>79332</v>
      </c>
      <c r="Y205" s="2">
        <v>64404</v>
      </c>
      <c r="Z205" s="2">
        <v>0</v>
      </c>
      <c r="AA205" s="2">
        <v>0</v>
      </c>
      <c r="AC205" s="2">
        <v>19626</v>
      </c>
      <c r="AD205" s="2">
        <v>19626</v>
      </c>
      <c r="AE205" s="2">
        <v>19625</v>
      </c>
      <c r="AF205" s="2">
        <v>13156</v>
      </c>
      <c r="AG205" s="2">
        <v>0</v>
      </c>
      <c r="AI205" s="2">
        <v>-6133</v>
      </c>
      <c r="AJ205" s="2">
        <v>-2567</v>
      </c>
      <c r="AK205" s="2">
        <v>0</v>
      </c>
      <c r="AL205" s="2">
        <v>0</v>
      </c>
      <c r="AM205" s="2">
        <v>0</v>
      </c>
    </row>
    <row r="206" spans="1:39">
      <c r="A206" s="335">
        <v>91661</v>
      </c>
      <c r="B206" s="328" t="s">
        <v>893</v>
      </c>
      <c r="C206" s="239">
        <v>1.8760000000000001E-4</v>
      </c>
      <c r="E206" s="2">
        <v>76020</v>
      </c>
      <c r="F206" s="2">
        <v>18846</v>
      </c>
      <c r="G206" s="2">
        <v>44354</v>
      </c>
      <c r="H206" s="2">
        <v>10635</v>
      </c>
      <c r="I206" s="2">
        <v>0</v>
      </c>
      <c r="K206" s="2">
        <v>28104</v>
      </c>
      <c r="L206" s="2">
        <v>26437</v>
      </c>
      <c r="M206" s="2">
        <v>23695</v>
      </c>
      <c r="N206" s="2">
        <v>9487</v>
      </c>
      <c r="O206" s="2">
        <v>0</v>
      </c>
      <c r="Q206" s="2">
        <v>29836</v>
      </c>
      <c r="R206" s="2">
        <v>-25665</v>
      </c>
      <c r="S206" s="2">
        <v>3617</v>
      </c>
      <c r="T206" s="2">
        <v>4708</v>
      </c>
      <c r="U206" s="2">
        <v>0</v>
      </c>
      <c r="W206" s="2">
        <v>33611</v>
      </c>
      <c r="X206" s="2">
        <v>27535</v>
      </c>
      <c r="Y206" s="2">
        <v>22354</v>
      </c>
      <c r="Z206" s="2">
        <v>0</v>
      </c>
      <c r="AA206" s="2">
        <v>0</v>
      </c>
      <c r="AC206" s="2">
        <v>0</v>
      </c>
      <c r="AD206" s="2">
        <v>0</v>
      </c>
      <c r="AE206" s="2">
        <v>0</v>
      </c>
      <c r="AF206" s="2">
        <v>0</v>
      </c>
      <c r="AG206" s="2">
        <v>0</v>
      </c>
      <c r="AI206" s="2">
        <v>-15531</v>
      </c>
      <c r="AJ206" s="2">
        <v>-9461</v>
      </c>
      <c r="AK206" s="2">
        <v>-5312</v>
      </c>
      <c r="AL206" s="2">
        <v>-3560</v>
      </c>
      <c r="AM206" s="2">
        <v>0</v>
      </c>
    </row>
    <row r="207" spans="1:39">
      <c r="A207" s="335">
        <v>91671</v>
      </c>
      <c r="B207" s="328" t="s">
        <v>894</v>
      </c>
      <c r="C207" s="239">
        <v>1.076E-4</v>
      </c>
      <c r="E207" s="2">
        <v>51196</v>
      </c>
      <c r="F207" s="2">
        <v>13923</v>
      </c>
      <c r="G207" s="2">
        <v>26474</v>
      </c>
      <c r="H207" s="2">
        <v>4807</v>
      </c>
      <c r="I207" s="2">
        <v>0</v>
      </c>
      <c r="K207" s="2">
        <v>16119</v>
      </c>
      <c r="L207" s="2">
        <v>15163</v>
      </c>
      <c r="M207" s="2">
        <v>13590</v>
      </c>
      <c r="N207" s="2">
        <v>5441</v>
      </c>
      <c r="O207" s="2">
        <v>0</v>
      </c>
      <c r="Q207" s="2">
        <v>17113</v>
      </c>
      <c r="R207" s="2">
        <v>-14720</v>
      </c>
      <c r="S207" s="2">
        <v>2075</v>
      </c>
      <c r="T207" s="2">
        <v>2700</v>
      </c>
      <c r="U207" s="2">
        <v>0</v>
      </c>
      <c r="W207" s="2">
        <v>19278</v>
      </c>
      <c r="X207" s="2">
        <v>15793</v>
      </c>
      <c r="Y207" s="2">
        <v>12821</v>
      </c>
      <c r="Z207" s="2">
        <v>0</v>
      </c>
      <c r="AA207" s="2">
        <v>0</v>
      </c>
      <c r="AC207" s="2">
        <v>2317</v>
      </c>
      <c r="AD207" s="2">
        <v>1319</v>
      </c>
      <c r="AE207" s="2">
        <v>1320</v>
      </c>
      <c r="AF207" s="2">
        <v>0</v>
      </c>
      <c r="AG207" s="2">
        <v>0</v>
      </c>
      <c r="AI207" s="2">
        <v>-3631</v>
      </c>
      <c r="AJ207" s="2">
        <v>-3632</v>
      </c>
      <c r="AK207" s="2">
        <v>-3332</v>
      </c>
      <c r="AL207" s="2">
        <v>-3334</v>
      </c>
      <c r="AM207" s="2">
        <v>0</v>
      </c>
    </row>
    <row r="208" spans="1:39">
      <c r="A208" s="335">
        <v>91681</v>
      </c>
      <c r="B208" s="328" t="s">
        <v>895</v>
      </c>
      <c r="C208" s="239">
        <v>4.5909999999999999E-4</v>
      </c>
      <c r="E208" s="2">
        <v>348984</v>
      </c>
      <c r="F208" s="2">
        <v>171205</v>
      </c>
      <c r="G208" s="2">
        <v>189070</v>
      </c>
      <c r="H208" s="2">
        <v>69179</v>
      </c>
      <c r="I208" s="2">
        <v>0</v>
      </c>
      <c r="K208" s="2">
        <v>68776</v>
      </c>
      <c r="L208" s="2">
        <v>64696</v>
      </c>
      <c r="M208" s="2">
        <v>57987</v>
      </c>
      <c r="N208" s="2">
        <v>23217</v>
      </c>
      <c r="O208" s="2">
        <v>0</v>
      </c>
      <c r="Q208" s="2">
        <v>73016</v>
      </c>
      <c r="R208" s="2">
        <v>-62807</v>
      </c>
      <c r="S208" s="2">
        <v>8852</v>
      </c>
      <c r="T208" s="2">
        <v>11521</v>
      </c>
      <c r="U208" s="2">
        <v>0</v>
      </c>
      <c r="W208" s="2">
        <v>82253</v>
      </c>
      <c r="X208" s="2">
        <v>67385</v>
      </c>
      <c r="Y208" s="2">
        <v>54705</v>
      </c>
      <c r="Z208" s="2">
        <v>0</v>
      </c>
      <c r="AA208" s="2">
        <v>0</v>
      </c>
      <c r="AC208" s="2">
        <v>124939</v>
      </c>
      <c r="AD208" s="2">
        <v>101931</v>
      </c>
      <c r="AE208" s="2">
        <v>67526</v>
      </c>
      <c r="AF208" s="2">
        <v>34441</v>
      </c>
      <c r="AG208" s="2">
        <v>0</v>
      </c>
      <c r="AI208" s="2">
        <v>0</v>
      </c>
      <c r="AJ208" s="2">
        <v>0</v>
      </c>
      <c r="AK208" s="2">
        <v>0</v>
      </c>
      <c r="AL208" s="2">
        <v>0</v>
      </c>
      <c r="AM208" s="2">
        <v>0</v>
      </c>
    </row>
    <row r="209" spans="1:39">
      <c r="A209" s="335">
        <v>91691</v>
      </c>
      <c r="B209" s="328" t="s">
        <v>896</v>
      </c>
      <c r="C209" s="239">
        <v>2.2900000000000001E-5</v>
      </c>
      <c r="E209" s="2">
        <v>11850</v>
      </c>
      <c r="F209" s="2">
        <v>3613</v>
      </c>
      <c r="G209" s="2">
        <v>6475</v>
      </c>
      <c r="H209" s="2">
        <v>2245</v>
      </c>
      <c r="I209" s="2">
        <v>0</v>
      </c>
      <c r="K209" s="2">
        <v>3431</v>
      </c>
      <c r="L209" s="2">
        <v>3227</v>
      </c>
      <c r="M209" s="2">
        <v>2892</v>
      </c>
      <c r="N209" s="2">
        <v>1158</v>
      </c>
      <c r="O209" s="2">
        <v>0</v>
      </c>
      <c r="Q209" s="2">
        <v>3642</v>
      </c>
      <c r="R209" s="2">
        <v>-3133</v>
      </c>
      <c r="S209" s="2">
        <v>442</v>
      </c>
      <c r="T209" s="2">
        <v>575</v>
      </c>
      <c r="U209" s="2">
        <v>0</v>
      </c>
      <c r="W209" s="2">
        <v>4103</v>
      </c>
      <c r="X209" s="2">
        <v>3361</v>
      </c>
      <c r="Y209" s="2">
        <v>2729</v>
      </c>
      <c r="Z209" s="2">
        <v>0</v>
      </c>
      <c r="AA209" s="2">
        <v>0</v>
      </c>
      <c r="AC209" s="2">
        <v>1026</v>
      </c>
      <c r="AD209" s="2">
        <v>510</v>
      </c>
      <c r="AE209" s="2">
        <v>510</v>
      </c>
      <c r="AF209" s="2">
        <v>512</v>
      </c>
      <c r="AG209" s="2">
        <v>0</v>
      </c>
      <c r="AI209" s="2">
        <v>-352</v>
      </c>
      <c r="AJ209" s="2">
        <v>-352</v>
      </c>
      <c r="AK209" s="2">
        <v>-98</v>
      </c>
      <c r="AL209" s="2">
        <v>0</v>
      </c>
      <c r="AM209" s="2">
        <v>0</v>
      </c>
    </row>
    <row r="210" spans="1:39">
      <c r="A210" s="335">
        <v>91701</v>
      </c>
      <c r="B210" s="328" t="s">
        <v>897</v>
      </c>
      <c r="C210" s="239">
        <v>1.1343E-3</v>
      </c>
      <c r="E210" s="2">
        <v>543279</v>
      </c>
      <c r="F210" s="2">
        <v>156901</v>
      </c>
      <c r="G210" s="2">
        <v>265728</v>
      </c>
      <c r="H210" s="2">
        <v>61073</v>
      </c>
      <c r="I210" s="2">
        <v>0</v>
      </c>
      <c r="K210" s="2">
        <v>169926</v>
      </c>
      <c r="L210" s="2">
        <v>159846</v>
      </c>
      <c r="M210" s="2">
        <v>143268</v>
      </c>
      <c r="N210" s="2">
        <v>57363</v>
      </c>
      <c r="O210" s="2">
        <v>0</v>
      </c>
      <c r="Q210" s="2">
        <v>180400</v>
      </c>
      <c r="R210" s="2">
        <v>-155178</v>
      </c>
      <c r="S210" s="2">
        <v>21870</v>
      </c>
      <c r="T210" s="2">
        <v>28464</v>
      </c>
      <c r="U210" s="2">
        <v>0</v>
      </c>
      <c r="W210" s="2">
        <v>203223</v>
      </c>
      <c r="X210" s="2">
        <v>166488</v>
      </c>
      <c r="Y210" s="2">
        <v>135160</v>
      </c>
      <c r="Z210" s="2">
        <v>0</v>
      </c>
      <c r="AA210" s="2">
        <v>0</v>
      </c>
      <c r="AC210" s="2">
        <v>24302</v>
      </c>
      <c r="AD210" s="2">
        <v>20317</v>
      </c>
      <c r="AE210" s="2">
        <v>0</v>
      </c>
      <c r="AF210" s="2">
        <v>0</v>
      </c>
      <c r="AG210" s="2">
        <v>0</v>
      </c>
      <c r="AI210" s="2">
        <v>-34572</v>
      </c>
      <c r="AJ210" s="2">
        <v>-34572</v>
      </c>
      <c r="AK210" s="2">
        <v>-34570</v>
      </c>
      <c r="AL210" s="2">
        <v>-24754</v>
      </c>
      <c r="AM210" s="2">
        <v>0</v>
      </c>
    </row>
    <row r="211" spans="1:39">
      <c r="A211" s="335">
        <v>91704</v>
      </c>
      <c r="B211" s="328" t="s">
        <v>898</v>
      </c>
      <c r="C211" s="239">
        <v>1.7600000000000001E-5</v>
      </c>
      <c r="E211" s="2">
        <v>8798</v>
      </c>
      <c r="F211" s="2">
        <v>2843</v>
      </c>
      <c r="G211" s="2">
        <v>4834</v>
      </c>
      <c r="H211" s="2">
        <v>1475</v>
      </c>
      <c r="I211" s="2">
        <v>0</v>
      </c>
      <c r="K211" s="2">
        <v>2637</v>
      </c>
      <c r="L211" s="2">
        <v>2480</v>
      </c>
      <c r="M211" s="2">
        <v>2223</v>
      </c>
      <c r="N211" s="2">
        <v>890</v>
      </c>
      <c r="O211" s="2">
        <v>0</v>
      </c>
      <c r="Q211" s="2">
        <v>2799</v>
      </c>
      <c r="R211" s="2">
        <v>-2408</v>
      </c>
      <c r="S211" s="2">
        <v>339</v>
      </c>
      <c r="T211" s="2">
        <v>442</v>
      </c>
      <c r="U211" s="2">
        <v>0</v>
      </c>
      <c r="W211" s="2">
        <v>3153</v>
      </c>
      <c r="X211" s="2">
        <v>2583</v>
      </c>
      <c r="Y211" s="2">
        <v>2097</v>
      </c>
      <c r="Z211" s="2">
        <v>0</v>
      </c>
      <c r="AA211" s="2">
        <v>0</v>
      </c>
      <c r="AC211" s="2">
        <v>209</v>
      </c>
      <c r="AD211" s="2">
        <v>188</v>
      </c>
      <c r="AE211" s="2">
        <v>175</v>
      </c>
      <c r="AF211" s="2">
        <v>143</v>
      </c>
      <c r="AG211" s="2">
        <v>0</v>
      </c>
      <c r="AI211" s="2">
        <v>0</v>
      </c>
      <c r="AJ211" s="2">
        <v>0</v>
      </c>
      <c r="AK211" s="2">
        <v>0</v>
      </c>
      <c r="AL211" s="2">
        <v>0</v>
      </c>
      <c r="AM211" s="2">
        <v>0</v>
      </c>
    </row>
    <row r="212" spans="1:39">
      <c r="A212" s="335">
        <v>91706</v>
      </c>
      <c r="B212" s="328" t="s">
        <v>3679</v>
      </c>
      <c r="C212" s="239">
        <v>2.543E-4</v>
      </c>
      <c r="E212" s="2">
        <v>140680</v>
      </c>
      <c r="F212" s="2">
        <v>55770</v>
      </c>
      <c r="G212" s="2">
        <v>82578</v>
      </c>
      <c r="H212" s="2">
        <v>26898</v>
      </c>
      <c r="I212" s="2">
        <v>0</v>
      </c>
      <c r="K212" s="2">
        <v>38096</v>
      </c>
      <c r="L212" s="2">
        <v>35836</v>
      </c>
      <c r="M212" s="2">
        <v>32119</v>
      </c>
      <c r="N212" s="2">
        <v>12860</v>
      </c>
      <c r="O212" s="2">
        <v>0</v>
      </c>
      <c r="Q212" s="2">
        <v>40444</v>
      </c>
      <c r="R212" s="2">
        <v>-34790</v>
      </c>
      <c r="S212" s="2">
        <v>4903</v>
      </c>
      <c r="T212" s="2">
        <v>6381</v>
      </c>
      <c r="U212" s="2">
        <v>0</v>
      </c>
      <c r="W212" s="2">
        <v>45561</v>
      </c>
      <c r="X212" s="2">
        <v>37325</v>
      </c>
      <c r="Y212" s="2">
        <v>30302</v>
      </c>
      <c r="Z212" s="2">
        <v>0</v>
      </c>
      <c r="AA212" s="2">
        <v>0</v>
      </c>
      <c r="AC212" s="2">
        <v>17399</v>
      </c>
      <c r="AD212" s="2">
        <v>17399</v>
      </c>
      <c r="AE212" s="2">
        <v>15254</v>
      </c>
      <c r="AF212" s="2">
        <v>7657</v>
      </c>
      <c r="AG212" s="2">
        <v>0</v>
      </c>
      <c r="AI212" s="2">
        <v>-820</v>
      </c>
      <c r="AJ212" s="2">
        <v>0</v>
      </c>
      <c r="AK212" s="2">
        <v>0</v>
      </c>
      <c r="AL212" s="2">
        <v>0</v>
      </c>
      <c r="AM212" s="2">
        <v>0</v>
      </c>
    </row>
    <row r="213" spans="1:39">
      <c r="A213" s="335">
        <v>91719</v>
      </c>
      <c r="B213" s="328" t="s">
        <v>900</v>
      </c>
      <c r="C213" s="239">
        <v>5.6700000000000003E-5</v>
      </c>
      <c r="E213" s="2">
        <v>25709</v>
      </c>
      <c r="F213" s="2">
        <v>6762</v>
      </c>
      <c r="G213" s="2">
        <v>13783</v>
      </c>
      <c r="H213" s="2">
        <v>2929</v>
      </c>
      <c r="I213" s="2">
        <v>0</v>
      </c>
      <c r="K213" s="2">
        <v>8494</v>
      </c>
      <c r="L213" s="2">
        <v>7990</v>
      </c>
      <c r="M213" s="2">
        <v>7161</v>
      </c>
      <c r="N213" s="2">
        <v>2867</v>
      </c>
      <c r="O213" s="2">
        <v>0</v>
      </c>
      <c r="Q213" s="2">
        <v>9018</v>
      </c>
      <c r="R213" s="2">
        <v>-7757</v>
      </c>
      <c r="S213" s="2">
        <v>1093</v>
      </c>
      <c r="T213" s="2">
        <v>1423</v>
      </c>
      <c r="U213" s="2">
        <v>0</v>
      </c>
      <c r="W213" s="2">
        <v>10158</v>
      </c>
      <c r="X213" s="2">
        <v>8322</v>
      </c>
      <c r="Y213" s="2">
        <v>6756</v>
      </c>
      <c r="Z213" s="2">
        <v>0</v>
      </c>
      <c r="AA213" s="2">
        <v>0</v>
      </c>
      <c r="AC213" s="2">
        <v>133</v>
      </c>
      <c r="AD213" s="2">
        <v>133</v>
      </c>
      <c r="AE213" s="2">
        <v>134</v>
      </c>
      <c r="AF213" s="2">
        <v>0</v>
      </c>
      <c r="AG213" s="2">
        <v>0</v>
      </c>
      <c r="AI213" s="2">
        <v>-2094</v>
      </c>
      <c r="AJ213" s="2">
        <v>-1926</v>
      </c>
      <c r="AK213" s="2">
        <v>-1361</v>
      </c>
      <c r="AL213" s="2">
        <v>-1361</v>
      </c>
      <c r="AM213" s="2">
        <v>0</v>
      </c>
    </row>
    <row r="214" spans="1:39">
      <c r="A214" s="335">
        <v>91801</v>
      </c>
      <c r="B214" s="328" t="s">
        <v>901</v>
      </c>
      <c r="C214" s="239">
        <v>7.5972000000000001E-3</v>
      </c>
      <c r="E214" s="2">
        <v>3550816</v>
      </c>
      <c r="F214" s="2">
        <v>1003487</v>
      </c>
      <c r="G214" s="2">
        <v>1909741</v>
      </c>
      <c r="H214" s="2">
        <v>507383</v>
      </c>
      <c r="I214" s="2">
        <v>0</v>
      </c>
      <c r="K214" s="2">
        <v>1138114</v>
      </c>
      <c r="L214" s="2">
        <v>1070597</v>
      </c>
      <c r="M214" s="2">
        <v>959564</v>
      </c>
      <c r="N214" s="2">
        <v>384198</v>
      </c>
      <c r="O214" s="2">
        <v>0</v>
      </c>
      <c r="Q214" s="2">
        <v>1208266</v>
      </c>
      <c r="R214" s="2">
        <v>-1039335</v>
      </c>
      <c r="S214" s="2">
        <v>146482</v>
      </c>
      <c r="T214" s="2">
        <v>190644</v>
      </c>
      <c r="U214" s="2">
        <v>0</v>
      </c>
      <c r="W214" s="2">
        <v>1361130</v>
      </c>
      <c r="X214" s="2">
        <v>1115087</v>
      </c>
      <c r="Y214" s="2">
        <v>905260</v>
      </c>
      <c r="Z214" s="2">
        <v>0</v>
      </c>
      <c r="AA214" s="2">
        <v>0</v>
      </c>
      <c r="AC214" s="2">
        <v>0</v>
      </c>
      <c r="AD214" s="2">
        <v>0</v>
      </c>
      <c r="AE214" s="2">
        <v>0</v>
      </c>
      <c r="AF214" s="2">
        <v>0</v>
      </c>
      <c r="AG214" s="2">
        <v>0</v>
      </c>
      <c r="AI214" s="2">
        <v>-156694</v>
      </c>
      <c r="AJ214" s="2">
        <v>-142862</v>
      </c>
      <c r="AK214" s="2">
        <v>-101565</v>
      </c>
      <c r="AL214" s="2">
        <v>-67459</v>
      </c>
      <c r="AM214" s="2">
        <v>0</v>
      </c>
    </row>
    <row r="215" spans="1:39">
      <c r="A215" s="335">
        <v>91804</v>
      </c>
      <c r="B215" s="328" t="s">
        <v>902</v>
      </c>
      <c r="C215" s="239">
        <v>1.2459999999999999E-4</v>
      </c>
      <c r="E215" s="2">
        <v>83438</v>
      </c>
      <c r="F215" s="2">
        <v>35746</v>
      </c>
      <c r="G215" s="2">
        <v>45070</v>
      </c>
      <c r="H215" s="2">
        <v>12498</v>
      </c>
      <c r="I215" s="2">
        <v>0</v>
      </c>
      <c r="K215" s="2">
        <v>18666</v>
      </c>
      <c r="L215" s="2">
        <v>17559</v>
      </c>
      <c r="M215" s="2">
        <v>15738</v>
      </c>
      <c r="N215" s="2">
        <v>6301</v>
      </c>
      <c r="O215" s="2">
        <v>0</v>
      </c>
      <c r="Q215" s="2">
        <v>19817</v>
      </c>
      <c r="R215" s="2">
        <v>-17046</v>
      </c>
      <c r="S215" s="2">
        <v>2402</v>
      </c>
      <c r="T215" s="2">
        <v>3127</v>
      </c>
      <c r="U215" s="2">
        <v>0</v>
      </c>
      <c r="W215" s="2">
        <v>22324</v>
      </c>
      <c r="X215" s="2">
        <v>18288</v>
      </c>
      <c r="Y215" s="2">
        <v>14847</v>
      </c>
      <c r="Z215" s="2">
        <v>0</v>
      </c>
      <c r="AA215" s="2">
        <v>0</v>
      </c>
      <c r="AC215" s="2">
        <v>22631</v>
      </c>
      <c r="AD215" s="2">
        <v>16945</v>
      </c>
      <c r="AE215" s="2">
        <v>12083</v>
      </c>
      <c r="AF215" s="2">
        <v>3070</v>
      </c>
      <c r="AG215" s="2">
        <v>0</v>
      </c>
      <c r="AI215" s="2">
        <v>0</v>
      </c>
      <c r="AJ215" s="2">
        <v>0</v>
      </c>
      <c r="AK215" s="2">
        <v>0</v>
      </c>
      <c r="AL215" s="2">
        <v>0</v>
      </c>
      <c r="AM215" s="2">
        <v>0</v>
      </c>
    </row>
    <row r="216" spans="1:39">
      <c r="A216" s="335">
        <v>91811</v>
      </c>
      <c r="B216" s="328" t="s">
        <v>903</v>
      </c>
      <c r="C216" s="239">
        <v>4.2429E-3</v>
      </c>
      <c r="E216" s="2">
        <v>1866154</v>
      </c>
      <c r="F216" s="2">
        <v>507867</v>
      </c>
      <c r="G216" s="2">
        <v>1031428</v>
      </c>
      <c r="H216" s="2">
        <v>272948</v>
      </c>
      <c r="I216" s="2">
        <v>0</v>
      </c>
      <c r="K216" s="2">
        <v>635616</v>
      </c>
      <c r="L216" s="2">
        <v>597909</v>
      </c>
      <c r="M216" s="2">
        <v>535899</v>
      </c>
      <c r="N216" s="2">
        <v>214568</v>
      </c>
      <c r="O216" s="2">
        <v>0</v>
      </c>
      <c r="Q216" s="2">
        <v>674795</v>
      </c>
      <c r="R216" s="2">
        <v>-580450</v>
      </c>
      <c r="S216" s="2">
        <v>81807</v>
      </c>
      <c r="T216" s="2">
        <v>106471</v>
      </c>
      <c r="U216" s="2">
        <v>0</v>
      </c>
      <c r="W216" s="2">
        <v>760166</v>
      </c>
      <c r="X216" s="2">
        <v>622756</v>
      </c>
      <c r="Y216" s="2">
        <v>505571</v>
      </c>
      <c r="Z216" s="2">
        <v>0</v>
      </c>
      <c r="AA216" s="2">
        <v>0</v>
      </c>
      <c r="AC216" s="2">
        <v>0</v>
      </c>
      <c r="AD216" s="2">
        <v>0</v>
      </c>
      <c r="AE216" s="2">
        <v>0</v>
      </c>
      <c r="AF216" s="2">
        <v>0</v>
      </c>
      <c r="AG216" s="2">
        <v>0</v>
      </c>
      <c r="AI216" s="2">
        <v>-204423</v>
      </c>
      <c r="AJ216" s="2">
        <v>-132348</v>
      </c>
      <c r="AK216" s="2">
        <v>-91849</v>
      </c>
      <c r="AL216" s="2">
        <v>-48091</v>
      </c>
      <c r="AM216" s="2">
        <v>0</v>
      </c>
    </row>
    <row r="217" spans="1:39">
      <c r="A217" s="335">
        <v>91812</v>
      </c>
      <c r="B217" s="328" t="s">
        <v>3680</v>
      </c>
      <c r="C217" s="239">
        <v>4.5599999999999997E-5</v>
      </c>
      <c r="E217" s="2">
        <v>24034</v>
      </c>
      <c r="F217" s="2">
        <v>6509</v>
      </c>
      <c r="G217" s="2">
        <v>12378</v>
      </c>
      <c r="H217" s="2">
        <v>2826</v>
      </c>
      <c r="I217" s="2">
        <v>0</v>
      </c>
      <c r="K217" s="2">
        <v>6831</v>
      </c>
      <c r="L217" s="2">
        <v>6426</v>
      </c>
      <c r="M217" s="2">
        <v>5760</v>
      </c>
      <c r="N217" s="2">
        <v>2306</v>
      </c>
      <c r="O217" s="2">
        <v>0</v>
      </c>
      <c r="Q217" s="2">
        <v>7252</v>
      </c>
      <c r="R217" s="2">
        <v>-6238</v>
      </c>
      <c r="S217" s="2">
        <v>879</v>
      </c>
      <c r="T217" s="2">
        <v>1144</v>
      </c>
      <c r="U217" s="2">
        <v>0</v>
      </c>
      <c r="W217" s="2">
        <v>8170</v>
      </c>
      <c r="X217" s="2">
        <v>6693</v>
      </c>
      <c r="Y217" s="2">
        <v>5434</v>
      </c>
      <c r="Z217" s="2">
        <v>0</v>
      </c>
      <c r="AA217" s="2">
        <v>0</v>
      </c>
      <c r="AC217" s="2">
        <v>3080</v>
      </c>
      <c r="AD217" s="2">
        <v>929</v>
      </c>
      <c r="AE217" s="2">
        <v>927</v>
      </c>
      <c r="AF217" s="2">
        <v>0</v>
      </c>
      <c r="AG217" s="2">
        <v>0</v>
      </c>
      <c r="AI217" s="2">
        <v>-1299</v>
      </c>
      <c r="AJ217" s="2">
        <v>-1301</v>
      </c>
      <c r="AK217" s="2">
        <v>-622</v>
      </c>
      <c r="AL217" s="2">
        <v>-624</v>
      </c>
      <c r="AM217" s="2">
        <v>0</v>
      </c>
    </row>
    <row r="218" spans="1:39">
      <c r="A218" s="335">
        <v>91813</v>
      </c>
      <c r="B218" s="328" t="s">
        <v>905</v>
      </c>
      <c r="C218" s="239">
        <v>7.1500000000000003E-5</v>
      </c>
      <c r="E218" s="2">
        <v>31296</v>
      </c>
      <c r="F218" s="2">
        <v>5976</v>
      </c>
      <c r="G218" s="2">
        <v>16856</v>
      </c>
      <c r="H218" s="2">
        <v>3813</v>
      </c>
      <c r="I218" s="2">
        <v>0</v>
      </c>
      <c r="K218" s="2">
        <v>10711</v>
      </c>
      <c r="L218" s="2">
        <v>10076</v>
      </c>
      <c r="M218" s="2">
        <v>9031</v>
      </c>
      <c r="N218" s="2">
        <v>3616</v>
      </c>
      <c r="O218" s="2">
        <v>0</v>
      </c>
      <c r="Q218" s="2">
        <v>11371</v>
      </c>
      <c r="R218" s="2">
        <v>-9782</v>
      </c>
      <c r="S218" s="2">
        <v>1379</v>
      </c>
      <c r="T218" s="2">
        <v>1794</v>
      </c>
      <c r="U218" s="2">
        <v>0</v>
      </c>
      <c r="W218" s="2">
        <v>12810</v>
      </c>
      <c r="X218" s="2">
        <v>10494</v>
      </c>
      <c r="Y218" s="2">
        <v>8520</v>
      </c>
      <c r="Z218" s="2">
        <v>0</v>
      </c>
      <c r="AA218" s="2">
        <v>0</v>
      </c>
      <c r="AC218" s="2">
        <v>1216</v>
      </c>
      <c r="AD218" s="2">
        <v>0</v>
      </c>
      <c r="AE218" s="2">
        <v>0</v>
      </c>
      <c r="AF218" s="2">
        <v>0</v>
      </c>
      <c r="AG218" s="2">
        <v>0</v>
      </c>
      <c r="AI218" s="2">
        <v>-4812</v>
      </c>
      <c r="AJ218" s="2">
        <v>-4812</v>
      </c>
      <c r="AK218" s="2">
        <v>-2074</v>
      </c>
      <c r="AL218" s="2">
        <v>-1597</v>
      </c>
      <c r="AM218" s="2">
        <v>0</v>
      </c>
    </row>
    <row r="219" spans="1:39">
      <c r="A219" s="335">
        <v>91818</v>
      </c>
      <c r="B219" s="328" t="s">
        <v>2786</v>
      </c>
      <c r="C219" s="239">
        <v>4.0620000000000001E-4</v>
      </c>
      <c r="E219" s="2">
        <v>359360</v>
      </c>
      <c r="F219" s="2">
        <v>177202</v>
      </c>
      <c r="G219" s="2">
        <v>167016</v>
      </c>
      <c r="H219" s="2">
        <v>36303</v>
      </c>
      <c r="I219" s="2">
        <v>0</v>
      </c>
      <c r="K219" s="2">
        <v>60852</v>
      </c>
      <c r="L219" s="2">
        <v>57242</v>
      </c>
      <c r="M219" s="2">
        <v>51305</v>
      </c>
      <c r="N219" s="2">
        <v>20542</v>
      </c>
      <c r="O219" s="2">
        <v>0</v>
      </c>
      <c r="Q219" s="2">
        <v>64602</v>
      </c>
      <c r="R219" s="2">
        <v>-55570</v>
      </c>
      <c r="S219" s="2">
        <v>7832</v>
      </c>
      <c r="T219" s="2">
        <v>10193</v>
      </c>
      <c r="U219" s="2">
        <v>0</v>
      </c>
      <c r="W219" s="2">
        <v>72776</v>
      </c>
      <c r="X219" s="2">
        <v>59620</v>
      </c>
      <c r="Y219" s="2">
        <v>48402</v>
      </c>
      <c r="Z219" s="2">
        <v>0</v>
      </c>
      <c r="AA219" s="2">
        <v>0</v>
      </c>
      <c r="AC219" s="2">
        <v>161130</v>
      </c>
      <c r="AD219" s="2">
        <v>115910</v>
      </c>
      <c r="AE219" s="2">
        <v>59477</v>
      </c>
      <c r="AF219" s="2">
        <v>5568</v>
      </c>
      <c r="AG219" s="2">
        <v>0</v>
      </c>
      <c r="AI219" s="2">
        <v>0</v>
      </c>
      <c r="AJ219" s="2">
        <v>0</v>
      </c>
      <c r="AK219" s="2">
        <v>0</v>
      </c>
      <c r="AL219" s="2">
        <v>0</v>
      </c>
      <c r="AM219" s="2">
        <v>0</v>
      </c>
    </row>
    <row r="220" spans="1:39">
      <c r="A220" s="335">
        <v>91819</v>
      </c>
      <c r="B220" s="328" t="s">
        <v>907</v>
      </c>
      <c r="C220" s="239">
        <v>3.1260000000000001E-4</v>
      </c>
      <c r="E220" s="2">
        <v>163334</v>
      </c>
      <c r="F220" s="2">
        <v>59246</v>
      </c>
      <c r="G220" s="2">
        <v>92778</v>
      </c>
      <c r="H220" s="2">
        <v>28553</v>
      </c>
      <c r="I220" s="2">
        <v>0</v>
      </c>
      <c r="K220" s="2">
        <v>46830</v>
      </c>
      <c r="L220" s="2">
        <v>44052</v>
      </c>
      <c r="M220" s="2">
        <v>39483</v>
      </c>
      <c r="N220" s="2">
        <v>15808</v>
      </c>
      <c r="O220" s="2">
        <v>0</v>
      </c>
      <c r="Q220" s="2">
        <v>49716</v>
      </c>
      <c r="R220" s="2">
        <v>-42765</v>
      </c>
      <c r="S220" s="2">
        <v>6027</v>
      </c>
      <c r="T220" s="2">
        <v>7844</v>
      </c>
      <c r="U220" s="2">
        <v>0</v>
      </c>
      <c r="W220" s="2">
        <v>56006</v>
      </c>
      <c r="X220" s="2">
        <v>45882</v>
      </c>
      <c r="Y220" s="2">
        <v>37248</v>
      </c>
      <c r="Z220" s="2">
        <v>0</v>
      </c>
      <c r="AA220" s="2">
        <v>0</v>
      </c>
      <c r="AC220" s="2">
        <v>12078</v>
      </c>
      <c r="AD220" s="2">
        <v>12077</v>
      </c>
      <c r="AE220" s="2">
        <v>10020</v>
      </c>
      <c r="AF220" s="2">
        <v>4901</v>
      </c>
      <c r="AG220" s="2">
        <v>0</v>
      </c>
      <c r="AI220" s="2">
        <v>-1296</v>
      </c>
      <c r="AJ220" s="2">
        <v>0</v>
      </c>
      <c r="AK220" s="2">
        <v>0</v>
      </c>
      <c r="AL220" s="2">
        <v>0</v>
      </c>
      <c r="AM220" s="2">
        <v>0</v>
      </c>
    </row>
    <row r="221" spans="1:39">
      <c r="A221" s="335">
        <v>91821</v>
      </c>
      <c r="B221" s="328" t="s">
        <v>908</v>
      </c>
      <c r="C221" s="239">
        <v>1.6750000000000001E-4</v>
      </c>
      <c r="E221" s="2">
        <v>78725</v>
      </c>
      <c r="F221" s="2">
        <v>22590</v>
      </c>
      <c r="G221" s="2">
        <v>41623</v>
      </c>
      <c r="H221" s="2">
        <v>12252</v>
      </c>
      <c r="I221" s="2">
        <v>0</v>
      </c>
      <c r="K221" s="2">
        <v>25093</v>
      </c>
      <c r="L221" s="2">
        <v>23604</v>
      </c>
      <c r="M221" s="2">
        <v>21156</v>
      </c>
      <c r="N221" s="2">
        <v>8471</v>
      </c>
      <c r="O221" s="2">
        <v>0</v>
      </c>
      <c r="Q221" s="2">
        <v>26639</v>
      </c>
      <c r="R221" s="2">
        <v>-22915</v>
      </c>
      <c r="S221" s="2">
        <v>3230</v>
      </c>
      <c r="T221" s="2">
        <v>4203</v>
      </c>
      <c r="U221" s="2">
        <v>0</v>
      </c>
      <c r="W221" s="2">
        <v>30010</v>
      </c>
      <c r="X221" s="2">
        <v>24585</v>
      </c>
      <c r="Y221" s="2">
        <v>19959</v>
      </c>
      <c r="Z221" s="2">
        <v>0</v>
      </c>
      <c r="AA221" s="2">
        <v>0</v>
      </c>
      <c r="AC221" s="2">
        <v>40</v>
      </c>
      <c r="AD221" s="2">
        <v>39</v>
      </c>
      <c r="AE221" s="2">
        <v>0</v>
      </c>
      <c r="AF221" s="2">
        <v>0</v>
      </c>
      <c r="AG221" s="2">
        <v>0</v>
      </c>
      <c r="AI221" s="2">
        <v>-3057</v>
      </c>
      <c r="AJ221" s="2">
        <v>-2723</v>
      </c>
      <c r="AK221" s="2">
        <v>-2722</v>
      </c>
      <c r="AL221" s="2">
        <v>-422</v>
      </c>
      <c r="AM221" s="2">
        <v>0</v>
      </c>
    </row>
    <row r="222" spans="1:39">
      <c r="A222" s="335">
        <v>91831</v>
      </c>
      <c r="B222" s="328" t="s">
        <v>909</v>
      </c>
      <c r="C222" s="239">
        <v>3.7990000000000002E-4</v>
      </c>
      <c r="E222" s="2">
        <v>184640</v>
      </c>
      <c r="F222" s="2">
        <v>58609</v>
      </c>
      <c r="G222" s="2">
        <v>103534</v>
      </c>
      <c r="H222" s="2">
        <v>28248</v>
      </c>
      <c r="I222" s="2">
        <v>0</v>
      </c>
      <c r="K222" s="2">
        <v>56912</v>
      </c>
      <c r="L222" s="2">
        <v>53536</v>
      </c>
      <c r="M222" s="2">
        <v>47983</v>
      </c>
      <c r="N222" s="2">
        <v>19212</v>
      </c>
      <c r="O222" s="2">
        <v>0</v>
      </c>
      <c r="Q222" s="2">
        <v>60420</v>
      </c>
      <c r="R222" s="2">
        <v>-51972</v>
      </c>
      <c r="S222" s="2">
        <v>7325</v>
      </c>
      <c r="T222" s="2">
        <v>9533</v>
      </c>
      <c r="U222" s="2">
        <v>0</v>
      </c>
      <c r="W222" s="2">
        <v>68064</v>
      </c>
      <c r="X222" s="2">
        <v>55760</v>
      </c>
      <c r="Y222" s="2">
        <v>45268</v>
      </c>
      <c r="Z222" s="2">
        <v>0</v>
      </c>
      <c r="AA222" s="2">
        <v>0</v>
      </c>
      <c r="AC222" s="2">
        <v>3454</v>
      </c>
      <c r="AD222" s="2">
        <v>3454</v>
      </c>
      <c r="AE222" s="2">
        <v>3454</v>
      </c>
      <c r="AF222" s="2">
        <v>0</v>
      </c>
      <c r="AG222" s="2">
        <v>0</v>
      </c>
      <c r="AI222" s="2">
        <v>-4210</v>
      </c>
      <c r="AJ222" s="2">
        <v>-2169</v>
      </c>
      <c r="AK222" s="2">
        <v>-496</v>
      </c>
      <c r="AL222" s="2">
        <v>-497</v>
      </c>
      <c r="AM222" s="2">
        <v>0</v>
      </c>
    </row>
    <row r="223" spans="1:39">
      <c r="A223" s="335">
        <v>91841</v>
      </c>
      <c r="B223" s="328" t="s">
        <v>910</v>
      </c>
      <c r="C223" s="239">
        <v>2.5090000000000003E-4</v>
      </c>
      <c r="E223" s="2">
        <v>121695</v>
      </c>
      <c r="F223" s="2">
        <v>37594</v>
      </c>
      <c r="G223" s="2">
        <v>65736</v>
      </c>
      <c r="H223" s="2">
        <v>17124</v>
      </c>
      <c r="I223" s="2">
        <v>0</v>
      </c>
      <c r="K223" s="2">
        <v>37587</v>
      </c>
      <c r="L223" s="2">
        <v>35357</v>
      </c>
      <c r="M223" s="2">
        <v>31690</v>
      </c>
      <c r="N223" s="2">
        <v>12688</v>
      </c>
      <c r="O223" s="2">
        <v>0</v>
      </c>
      <c r="Q223" s="2">
        <v>39903</v>
      </c>
      <c r="R223" s="2">
        <v>-34324</v>
      </c>
      <c r="S223" s="2">
        <v>4838</v>
      </c>
      <c r="T223" s="2">
        <v>6296</v>
      </c>
      <c r="U223" s="2">
        <v>0</v>
      </c>
      <c r="W223" s="2">
        <v>44952</v>
      </c>
      <c r="X223" s="2">
        <v>36826</v>
      </c>
      <c r="Y223" s="2">
        <v>29896</v>
      </c>
      <c r="Z223" s="2">
        <v>0</v>
      </c>
      <c r="AA223" s="2">
        <v>0</v>
      </c>
      <c r="AC223" s="2">
        <v>1593</v>
      </c>
      <c r="AD223" s="2">
        <v>1594</v>
      </c>
      <c r="AE223" s="2">
        <v>1171</v>
      </c>
      <c r="AF223" s="2">
        <v>0</v>
      </c>
      <c r="AG223" s="2">
        <v>0</v>
      </c>
      <c r="AI223" s="2">
        <v>-2340</v>
      </c>
      <c r="AJ223" s="2">
        <v>-1859</v>
      </c>
      <c r="AK223" s="2">
        <v>-1859</v>
      </c>
      <c r="AL223" s="2">
        <v>-1860</v>
      </c>
      <c r="AM223" s="2">
        <v>0</v>
      </c>
    </row>
    <row r="224" spans="1:39">
      <c r="A224" s="335">
        <v>91851</v>
      </c>
      <c r="B224" s="328" t="s">
        <v>911</v>
      </c>
      <c r="C224" s="239">
        <v>7.004E-4</v>
      </c>
      <c r="E224" s="2">
        <v>327309</v>
      </c>
      <c r="F224" s="2">
        <v>100126</v>
      </c>
      <c r="G224" s="2">
        <v>178503</v>
      </c>
      <c r="H224" s="2">
        <v>48462</v>
      </c>
      <c r="I224" s="2">
        <v>0</v>
      </c>
      <c r="K224" s="2">
        <v>104925</v>
      </c>
      <c r="L224" s="2">
        <v>98700</v>
      </c>
      <c r="M224" s="2">
        <v>88464</v>
      </c>
      <c r="N224" s="2">
        <v>35420</v>
      </c>
      <c r="O224" s="2">
        <v>0</v>
      </c>
      <c r="Q224" s="2">
        <v>111392</v>
      </c>
      <c r="R224" s="2">
        <v>-95818</v>
      </c>
      <c r="S224" s="2">
        <v>13504</v>
      </c>
      <c r="T224" s="2">
        <v>17576</v>
      </c>
      <c r="U224" s="2">
        <v>0</v>
      </c>
      <c r="W224" s="2">
        <v>125485</v>
      </c>
      <c r="X224" s="2">
        <v>102802</v>
      </c>
      <c r="Y224" s="2">
        <v>83458</v>
      </c>
      <c r="Z224" s="2">
        <v>0</v>
      </c>
      <c r="AA224" s="2">
        <v>0</v>
      </c>
      <c r="AC224" s="2">
        <v>1364</v>
      </c>
      <c r="AD224" s="2">
        <v>1365</v>
      </c>
      <c r="AE224" s="2">
        <v>0</v>
      </c>
      <c r="AF224" s="2">
        <v>0</v>
      </c>
      <c r="AG224" s="2">
        <v>0</v>
      </c>
      <c r="AI224" s="2">
        <v>-15857</v>
      </c>
      <c r="AJ224" s="2">
        <v>-6923</v>
      </c>
      <c r="AK224" s="2">
        <v>-6923</v>
      </c>
      <c r="AL224" s="2">
        <v>-4534</v>
      </c>
      <c r="AM224" s="2">
        <v>0</v>
      </c>
    </row>
    <row r="225" spans="1:39">
      <c r="A225" s="335">
        <v>91861</v>
      </c>
      <c r="B225" s="328" t="s">
        <v>912</v>
      </c>
      <c r="C225" s="239">
        <v>7.7000000000000008E-6</v>
      </c>
      <c r="E225" s="2">
        <v>1607</v>
      </c>
      <c r="F225" s="2">
        <v>-1118</v>
      </c>
      <c r="G225" s="2">
        <v>-2</v>
      </c>
      <c r="H225" s="2">
        <v>-358</v>
      </c>
      <c r="I225" s="2">
        <v>0</v>
      </c>
      <c r="K225" s="2">
        <v>1154</v>
      </c>
      <c r="L225" s="2">
        <v>1085</v>
      </c>
      <c r="M225" s="2">
        <v>973</v>
      </c>
      <c r="N225" s="2">
        <v>389</v>
      </c>
      <c r="O225" s="2">
        <v>0</v>
      </c>
      <c r="Q225" s="2">
        <v>1225</v>
      </c>
      <c r="R225" s="2">
        <v>-1053</v>
      </c>
      <c r="S225" s="2">
        <v>148</v>
      </c>
      <c r="T225" s="2">
        <v>193</v>
      </c>
      <c r="U225" s="2">
        <v>0</v>
      </c>
      <c r="W225" s="2">
        <v>1380</v>
      </c>
      <c r="X225" s="2">
        <v>1130</v>
      </c>
      <c r="Y225" s="2">
        <v>918</v>
      </c>
      <c r="Z225" s="2">
        <v>0</v>
      </c>
      <c r="AA225" s="2">
        <v>0</v>
      </c>
      <c r="AC225" s="2">
        <v>129</v>
      </c>
      <c r="AD225" s="2">
        <v>0</v>
      </c>
      <c r="AE225" s="2">
        <v>0</v>
      </c>
      <c r="AF225" s="2">
        <v>0</v>
      </c>
      <c r="AG225" s="2">
        <v>0</v>
      </c>
      <c r="AI225" s="2">
        <v>-2281</v>
      </c>
      <c r="AJ225" s="2">
        <v>-2280</v>
      </c>
      <c r="AK225" s="2">
        <v>-2041</v>
      </c>
      <c r="AL225" s="2">
        <v>-940</v>
      </c>
      <c r="AM225" s="2">
        <v>0</v>
      </c>
    </row>
    <row r="226" spans="1:39">
      <c r="A226" s="335">
        <v>91871</v>
      </c>
      <c r="B226" s="328" t="s">
        <v>913</v>
      </c>
      <c r="C226" s="239">
        <v>1.3121000000000001E-3</v>
      </c>
      <c r="E226" s="2">
        <v>621461</v>
      </c>
      <c r="F226" s="2">
        <v>191395</v>
      </c>
      <c r="G226" s="2">
        <v>335148</v>
      </c>
      <c r="H226" s="2">
        <v>95194</v>
      </c>
      <c r="I226" s="2">
        <v>0</v>
      </c>
      <c r="K226" s="2">
        <v>196562</v>
      </c>
      <c r="L226" s="2">
        <v>184901</v>
      </c>
      <c r="M226" s="2">
        <v>165725</v>
      </c>
      <c r="N226" s="2">
        <v>66354</v>
      </c>
      <c r="O226" s="2">
        <v>0</v>
      </c>
      <c r="Q226" s="2">
        <v>208678</v>
      </c>
      <c r="R226" s="2">
        <v>-179502</v>
      </c>
      <c r="S226" s="2">
        <v>25299</v>
      </c>
      <c r="T226" s="2">
        <v>32926</v>
      </c>
      <c r="U226" s="2">
        <v>0</v>
      </c>
      <c r="W226" s="2">
        <v>235078</v>
      </c>
      <c r="X226" s="2">
        <v>192585</v>
      </c>
      <c r="Y226" s="2">
        <v>156346</v>
      </c>
      <c r="Z226" s="2">
        <v>0</v>
      </c>
      <c r="AA226" s="2">
        <v>0</v>
      </c>
      <c r="AC226" s="2">
        <v>5635</v>
      </c>
      <c r="AD226" s="2">
        <v>5633</v>
      </c>
      <c r="AE226" s="2">
        <v>0</v>
      </c>
      <c r="AF226" s="2">
        <v>0</v>
      </c>
      <c r="AG226" s="2">
        <v>0</v>
      </c>
      <c r="AI226" s="2">
        <v>-24492</v>
      </c>
      <c r="AJ226" s="2">
        <v>-12222</v>
      </c>
      <c r="AK226" s="2">
        <v>-12222</v>
      </c>
      <c r="AL226" s="2">
        <v>-4086</v>
      </c>
      <c r="AM226" s="2">
        <v>0</v>
      </c>
    </row>
    <row r="227" spans="1:39">
      <c r="A227" s="335">
        <v>91881</v>
      </c>
      <c r="B227" s="328" t="s">
        <v>914</v>
      </c>
      <c r="C227" s="239">
        <v>2.1399999999999998E-5</v>
      </c>
      <c r="E227" s="2">
        <v>11962</v>
      </c>
      <c r="F227" s="2">
        <v>5807</v>
      </c>
      <c r="G227" s="2">
        <v>7957</v>
      </c>
      <c r="H227" s="2">
        <v>3898</v>
      </c>
      <c r="I227" s="2">
        <v>0</v>
      </c>
      <c r="K227" s="2">
        <v>3206</v>
      </c>
      <c r="L227" s="2">
        <v>3016</v>
      </c>
      <c r="M227" s="2">
        <v>2703</v>
      </c>
      <c r="N227" s="2">
        <v>1082</v>
      </c>
      <c r="O227" s="2">
        <v>0</v>
      </c>
      <c r="Q227" s="2">
        <v>3403</v>
      </c>
      <c r="R227" s="2">
        <v>-2928</v>
      </c>
      <c r="S227" s="2">
        <v>413</v>
      </c>
      <c r="T227" s="2">
        <v>537</v>
      </c>
      <c r="U227" s="2">
        <v>0</v>
      </c>
      <c r="W227" s="2">
        <v>3834</v>
      </c>
      <c r="X227" s="2">
        <v>3141</v>
      </c>
      <c r="Y227" s="2">
        <v>2550</v>
      </c>
      <c r="Z227" s="2">
        <v>0</v>
      </c>
      <c r="AA227" s="2">
        <v>0</v>
      </c>
      <c r="AC227" s="2">
        <v>2578</v>
      </c>
      <c r="AD227" s="2">
        <v>2578</v>
      </c>
      <c r="AE227" s="2">
        <v>2291</v>
      </c>
      <c r="AF227" s="2">
        <v>2279</v>
      </c>
      <c r="AG227" s="2">
        <v>0</v>
      </c>
      <c r="AI227" s="2">
        <v>-1059</v>
      </c>
      <c r="AJ227" s="2">
        <v>0</v>
      </c>
      <c r="AK227" s="2">
        <v>0</v>
      </c>
      <c r="AL227" s="2">
        <v>0</v>
      </c>
      <c r="AM227" s="2">
        <v>0</v>
      </c>
    </row>
    <row r="228" spans="1:39">
      <c r="A228" s="335">
        <v>91901</v>
      </c>
      <c r="B228" s="328" t="s">
        <v>915</v>
      </c>
      <c r="C228" s="239">
        <v>3.6947999999999998E-3</v>
      </c>
      <c r="E228" s="2">
        <v>1786986</v>
      </c>
      <c r="F228" s="2">
        <v>533241</v>
      </c>
      <c r="G228" s="2">
        <v>958038</v>
      </c>
      <c r="H228" s="2">
        <v>268182</v>
      </c>
      <c r="I228" s="2">
        <v>0</v>
      </c>
      <c r="K228" s="2">
        <v>553507</v>
      </c>
      <c r="L228" s="2">
        <v>520671</v>
      </c>
      <c r="M228" s="2">
        <v>466672</v>
      </c>
      <c r="N228" s="2">
        <v>186850</v>
      </c>
      <c r="O228" s="2">
        <v>0</v>
      </c>
      <c r="Q228" s="2">
        <v>587625</v>
      </c>
      <c r="R228" s="2">
        <v>-505467</v>
      </c>
      <c r="S228" s="2">
        <v>71239</v>
      </c>
      <c r="T228" s="2">
        <v>92717</v>
      </c>
      <c r="U228" s="2">
        <v>0</v>
      </c>
      <c r="W228" s="2">
        <v>661968</v>
      </c>
      <c r="X228" s="2">
        <v>542308</v>
      </c>
      <c r="Y228" s="2">
        <v>440261</v>
      </c>
      <c r="Z228" s="2">
        <v>0</v>
      </c>
      <c r="AA228" s="2">
        <v>0</v>
      </c>
      <c r="AC228" s="2">
        <v>8156</v>
      </c>
      <c r="AD228" s="2">
        <v>0</v>
      </c>
      <c r="AE228" s="2">
        <v>0</v>
      </c>
      <c r="AF228" s="2">
        <v>0</v>
      </c>
      <c r="AG228" s="2">
        <v>0</v>
      </c>
      <c r="AI228" s="2">
        <v>-24270</v>
      </c>
      <c r="AJ228" s="2">
        <v>-24271</v>
      </c>
      <c r="AK228" s="2">
        <v>-20134</v>
      </c>
      <c r="AL228" s="2">
        <v>-11385</v>
      </c>
      <c r="AM228" s="2">
        <v>0</v>
      </c>
    </row>
    <row r="229" spans="1:39">
      <c r="A229" s="335">
        <v>91903</v>
      </c>
      <c r="B229" s="328" t="s">
        <v>2783</v>
      </c>
      <c r="C229" s="239">
        <v>7.1999999999999997E-6</v>
      </c>
      <c r="E229" s="2">
        <v>4665</v>
      </c>
      <c r="F229" s="2">
        <v>2201</v>
      </c>
      <c r="G229" s="2">
        <v>2620</v>
      </c>
      <c r="H229" s="2">
        <v>794</v>
      </c>
      <c r="I229" s="2">
        <v>0</v>
      </c>
      <c r="K229" s="2">
        <v>1079</v>
      </c>
      <c r="L229" s="2">
        <v>1015</v>
      </c>
      <c r="M229" s="2">
        <v>909</v>
      </c>
      <c r="N229" s="2">
        <v>364</v>
      </c>
      <c r="O229" s="2">
        <v>0</v>
      </c>
      <c r="Q229" s="2">
        <v>1145</v>
      </c>
      <c r="R229" s="2">
        <v>-985</v>
      </c>
      <c r="S229" s="2">
        <v>139</v>
      </c>
      <c r="T229" s="2">
        <v>181</v>
      </c>
      <c r="U229" s="2">
        <v>0</v>
      </c>
      <c r="W229" s="2">
        <v>1290</v>
      </c>
      <c r="X229" s="2">
        <v>1057</v>
      </c>
      <c r="Y229" s="2">
        <v>858</v>
      </c>
      <c r="Z229" s="2">
        <v>0</v>
      </c>
      <c r="AA229" s="2">
        <v>0</v>
      </c>
      <c r="AC229" s="2">
        <v>1151</v>
      </c>
      <c r="AD229" s="2">
        <v>1114</v>
      </c>
      <c r="AE229" s="2">
        <v>714</v>
      </c>
      <c r="AF229" s="2">
        <v>249</v>
      </c>
      <c r="AG229" s="2">
        <v>0</v>
      </c>
      <c r="AI229" s="2">
        <v>0</v>
      </c>
      <c r="AJ229" s="2">
        <v>0</v>
      </c>
      <c r="AK229" s="2">
        <v>0</v>
      </c>
      <c r="AL229" s="2">
        <v>0</v>
      </c>
      <c r="AM229" s="2">
        <v>0</v>
      </c>
    </row>
    <row r="230" spans="1:39">
      <c r="A230" s="335">
        <v>91904</v>
      </c>
      <c r="B230" s="328" t="s">
        <v>917</v>
      </c>
      <c r="C230" s="239">
        <v>3.26E-5</v>
      </c>
      <c r="E230" s="2">
        <v>19239</v>
      </c>
      <c r="F230" s="2">
        <v>6901</v>
      </c>
      <c r="G230" s="2">
        <v>9341</v>
      </c>
      <c r="H230" s="2">
        <v>3284</v>
      </c>
      <c r="I230" s="2">
        <v>0</v>
      </c>
      <c r="K230" s="2">
        <v>4884</v>
      </c>
      <c r="L230" s="2">
        <v>4594</v>
      </c>
      <c r="M230" s="2">
        <v>4118</v>
      </c>
      <c r="N230" s="2">
        <v>1649</v>
      </c>
      <c r="O230" s="2">
        <v>0</v>
      </c>
      <c r="Q230" s="2">
        <v>5185</v>
      </c>
      <c r="R230" s="2">
        <v>-4460</v>
      </c>
      <c r="S230" s="2">
        <v>629</v>
      </c>
      <c r="T230" s="2">
        <v>818</v>
      </c>
      <c r="U230" s="2">
        <v>0</v>
      </c>
      <c r="W230" s="2">
        <v>5841</v>
      </c>
      <c r="X230" s="2">
        <v>4785</v>
      </c>
      <c r="Y230" s="2">
        <v>3885</v>
      </c>
      <c r="Z230" s="2">
        <v>0</v>
      </c>
      <c r="AA230" s="2">
        <v>0</v>
      </c>
      <c r="AC230" s="2">
        <v>3437</v>
      </c>
      <c r="AD230" s="2">
        <v>2090</v>
      </c>
      <c r="AE230" s="2">
        <v>819</v>
      </c>
      <c r="AF230" s="2">
        <v>817</v>
      </c>
      <c r="AG230" s="2">
        <v>0</v>
      </c>
      <c r="AI230" s="2">
        <v>-108</v>
      </c>
      <c r="AJ230" s="2">
        <v>-108</v>
      </c>
      <c r="AK230" s="2">
        <v>-110</v>
      </c>
      <c r="AL230" s="2">
        <v>0</v>
      </c>
      <c r="AM230" s="2">
        <v>0</v>
      </c>
    </row>
    <row r="231" spans="1:39">
      <c r="A231" s="335">
        <v>91908</v>
      </c>
      <c r="B231" s="328" t="s">
        <v>918</v>
      </c>
      <c r="C231" s="239">
        <v>1.59E-5</v>
      </c>
      <c r="E231" s="2">
        <v>5823</v>
      </c>
      <c r="F231" s="2">
        <v>1229</v>
      </c>
      <c r="G231" s="2">
        <v>3013</v>
      </c>
      <c r="H231" s="2">
        <v>754</v>
      </c>
      <c r="I231" s="2">
        <v>0</v>
      </c>
      <c r="K231" s="2">
        <v>2382</v>
      </c>
      <c r="L231" s="2">
        <v>2241</v>
      </c>
      <c r="M231" s="2">
        <v>2008</v>
      </c>
      <c r="N231" s="2">
        <v>804</v>
      </c>
      <c r="O231" s="2">
        <v>0</v>
      </c>
      <c r="Q231" s="2">
        <v>2529</v>
      </c>
      <c r="R231" s="2">
        <v>-2175</v>
      </c>
      <c r="S231" s="2">
        <v>307</v>
      </c>
      <c r="T231" s="2">
        <v>399</v>
      </c>
      <c r="U231" s="2">
        <v>0</v>
      </c>
      <c r="W231" s="2">
        <v>2849</v>
      </c>
      <c r="X231" s="2">
        <v>2334</v>
      </c>
      <c r="Y231" s="2">
        <v>1895</v>
      </c>
      <c r="Z231" s="2">
        <v>0</v>
      </c>
      <c r="AA231" s="2">
        <v>0</v>
      </c>
      <c r="AC231" s="2">
        <v>27</v>
      </c>
      <c r="AD231" s="2">
        <v>26</v>
      </c>
      <c r="AE231" s="2">
        <v>0</v>
      </c>
      <c r="AF231" s="2">
        <v>0</v>
      </c>
      <c r="AG231" s="2">
        <v>0</v>
      </c>
      <c r="AI231" s="2">
        <v>-1964</v>
      </c>
      <c r="AJ231" s="2">
        <v>-1197</v>
      </c>
      <c r="AK231" s="2">
        <v>-1197</v>
      </c>
      <c r="AL231" s="2">
        <v>-449</v>
      </c>
      <c r="AM231" s="2">
        <v>0</v>
      </c>
    </row>
    <row r="232" spans="1:39">
      <c r="A232" s="335">
        <v>91911</v>
      </c>
      <c r="B232" s="328" t="s">
        <v>919</v>
      </c>
      <c r="C232" s="239">
        <v>4.46E-4</v>
      </c>
      <c r="E232" s="2">
        <v>217735</v>
      </c>
      <c r="F232" s="2">
        <v>65292</v>
      </c>
      <c r="G232" s="2">
        <v>114428</v>
      </c>
      <c r="H232" s="2">
        <v>26005</v>
      </c>
      <c r="I232" s="2">
        <v>0</v>
      </c>
      <c r="K232" s="2">
        <v>66814</v>
      </c>
      <c r="L232" s="2">
        <v>62850</v>
      </c>
      <c r="M232" s="2">
        <v>56332</v>
      </c>
      <c r="N232" s="2">
        <v>22555</v>
      </c>
      <c r="O232" s="2">
        <v>0</v>
      </c>
      <c r="Q232" s="2">
        <v>70932</v>
      </c>
      <c r="R232" s="2">
        <v>-61015</v>
      </c>
      <c r="S232" s="2">
        <v>8599</v>
      </c>
      <c r="T232" s="2">
        <v>11192</v>
      </c>
      <c r="U232" s="2">
        <v>0</v>
      </c>
      <c r="W232" s="2">
        <v>79906</v>
      </c>
      <c r="X232" s="2">
        <v>65462</v>
      </c>
      <c r="Y232" s="2">
        <v>53144</v>
      </c>
      <c r="Z232" s="2">
        <v>0</v>
      </c>
      <c r="AA232" s="2">
        <v>0</v>
      </c>
      <c r="AC232" s="2">
        <v>7826</v>
      </c>
      <c r="AD232" s="2">
        <v>5738</v>
      </c>
      <c r="AE232" s="2">
        <v>4096</v>
      </c>
      <c r="AF232" s="2">
        <v>0</v>
      </c>
      <c r="AG232" s="2">
        <v>0</v>
      </c>
      <c r="AI232" s="2">
        <v>-7743</v>
      </c>
      <c r="AJ232" s="2">
        <v>-7743</v>
      </c>
      <c r="AK232" s="2">
        <v>-7743</v>
      </c>
      <c r="AL232" s="2">
        <v>-7742</v>
      </c>
      <c r="AM232" s="2">
        <v>0</v>
      </c>
    </row>
    <row r="233" spans="1:39">
      <c r="A233" s="335">
        <v>91917</v>
      </c>
      <c r="B233" s="328" t="s">
        <v>920</v>
      </c>
      <c r="C233" s="239">
        <v>1.31E-5</v>
      </c>
      <c r="E233" s="2">
        <v>7258</v>
      </c>
      <c r="F233" s="2">
        <v>2709</v>
      </c>
      <c r="G233" s="2">
        <v>4282</v>
      </c>
      <c r="H233" s="2">
        <v>1751</v>
      </c>
      <c r="I233" s="2">
        <v>0</v>
      </c>
      <c r="K233" s="2">
        <v>1962</v>
      </c>
      <c r="L233" s="2">
        <v>1846</v>
      </c>
      <c r="M233" s="2">
        <v>1655</v>
      </c>
      <c r="N233" s="2">
        <v>662</v>
      </c>
      <c r="O233" s="2">
        <v>0</v>
      </c>
      <c r="Q233" s="2">
        <v>2083</v>
      </c>
      <c r="R233" s="2">
        <v>-1792</v>
      </c>
      <c r="S233" s="2">
        <v>253</v>
      </c>
      <c r="T233" s="2">
        <v>329</v>
      </c>
      <c r="U233" s="2">
        <v>0</v>
      </c>
      <c r="W233" s="2">
        <v>2347</v>
      </c>
      <c r="X233" s="2">
        <v>1923</v>
      </c>
      <c r="Y233" s="2">
        <v>1561</v>
      </c>
      <c r="Z233" s="2">
        <v>0</v>
      </c>
      <c r="AA233" s="2">
        <v>0</v>
      </c>
      <c r="AC233" s="2">
        <v>943</v>
      </c>
      <c r="AD233" s="2">
        <v>811</v>
      </c>
      <c r="AE233" s="2">
        <v>813</v>
      </c>
      <c r="AF233" s="2">
        <v>760</v>
      </c>
      <c r="AG233" s="2">
        <v>0</v>
      </c>
      <c r="AI233" s="2">
        <v>-77</v>
      </c>
      <c r="AJ233" s="2">
        <v>-79</v>
      </c>
      <c r="AK233" s="2">
        <v>0</v>
      </c>
      <c r="AL233" s="2">
        <v>0</v>
      </c>
      <c r="AM233" s="2">
        <v>0</v>
      </c>
    </row>
    <row r="234" spans="1:39">
      <c r="A234" s="335">
        <v>91921</v>
      </c>
      <c r="B234" s="328" t="s">
        <v>921</v>
      </c>
      <c r="C234" s="239">
        <v>3.8479999999999997E-4</v>
      </c>
      <c r="E234" s="2">
        <v>185005</v>
      </c>
      <c r="F234" s="2">
        <v>55550</v>
      </c>
      <c r="G234" s="2">
        <v>100040</v>
      </c>
      <c r="H234" s="2">
        <v>32638</v>
      </c>
      <c r="I234" s="2">
        <v>0</v>
      </c>
      <c r="K234" s="2">
        <v>57646</v>
      </c>
      <c r="L234" s="2">
        <v>54226</v>
      </c>
      <c r="M234" s="2">
        <v>48602</v>
      </c>
      <c r="N234" s="2">
        <v>19460</v>
      </c>
      <c r="O234" s="2">
        <v>0</v>
      </c>
      <c r="Q234" s="2">
        <v>61199</v>
      </c>
      <c r="R234" s="2">
        <v>-52643</v>
      </c>
      <c r="S234" s="2">
        <v>7419</v>
      </c>
      <c r="T234" s="2">
        <v>9656</v>
      </c>
      <c r="U234" s="2">
        <v>0</v>
      </c>
      <c r="W234" s="2">
        <v>68942</v>
      </c>
      <c r="X234" s="2">
        <v>56479</v>
      </c>
      <c r="Y234" s="2">
        <v>45852</v>
      </c>
      <c r="Z234" s="2">
        <v>0</v>
      </c>
      <c r="AA234" s="2">
        <v>0</v>
      </c>
      <c r="AC234" s="2">
        <v>3523</v>
      </c>
      <c r="AD234" s="2">
        <v>3523</v>
      </c>
      <c r="AE234" s="2">
        <v>3523</v>
      </c>
      <c r="AF234" s="2">
        <v>3522</v>
      </c>
      <c r="AG234" s="2">
        <v>0</v>
      </c>
      <c r="AI234" s="2">
        <v>-6305</v>
      </c>
      <c r="AJ234" s="2">
        <v>-6035</v>
      </c>
      <c r="AK234" s="2">
        <v>-5356</v>
      </c>
      <c r="AL234" s="2">
        <v>0</v>
      </c>
      <c r="AM234" s="2">
        <v>0</v>
      </c>
    </row>
    <row r="235" spans="1:39">
      <c r="A235" s="335">
        <v>92001</v>
      </c>
      <c r="B235" s="328" t="s">
        <v>922</v>
      </c>
      <c r="C235" s="239">
        <v>1.7757000000000001E-3</v>
      </c>
      <c r="E235" s="2">
        <v>830368</v>
      </c>
      <c r="F235" s="2">
        <v>217899</v>
      </c>
      <c r="G235" s="2">
        <v>453020</v>
      </c>
      <c r="H235" s="2">
        <v>120696</v>
      </c>
      <c r="I235" s="2">
        <v>0</v>
      </c>
      <c r="K235" s="2">
        <v>266012</v>
      </c>
      <c r="L235" s="2">
        <v>250232</v>
      </c>
      <c r="M235" s="2">
        <v>224280</v>
      </c>
      <c r="N235" s="2">
        <v>89799</v>
      </c>
      <c r="O235" s="2">
        <v>0</v>
      </c>
      <c r="Q235" s="2">
        <v>282409</v>
      </c>
      <c r="R235" s="2">
        <v>-242925</v>
      </c>
      <c r="S235" s="2">
        <v>34237</v>
      </c>
      <c r="T235" s="2">
        <v>44559</v>
      </c>
      <c r="U235" s="2">
        <v>0</v>
      </c>
      <c r="W235" s="2">
        <v>318138</v>
      </c>
      <c r="X235" s="2">
        <v>260630</v>
      </c>
      <c r="Y235" s="2">
        <v>211587</v>
      </c>
      <c r="Z235" s="2">
        <v>0</v>
      </c>
      <c r="AA235" s="2">
        <v>0</v>
      </c>
      <c r="AC235" s="2">
        <v>13845</v>
      </c>
      <c r="AD235" s="2">
        <v>0</v>
      </c>
      <c r="AE235" s="2">
        <v>0</v>
      </c>
      <c r="AF235" s="2">
        <v>0</v>
      </c>
      <c r="AG235" s="2">
        <v>0</v>
      </c>
      <c r="AI235" s="2">
        <v>-50036</v>
      </c>
      <c r="AJ235" s="2">
        <v>-50038</v>
      </c>
      <c r="AK235" s="2">
        <v>-17084</v>
      </c>
      <c r="AL235" s="2">
        <v>-13662</v>
      </c>
      <c r="AM235" s="2">
        <v>0</v>
      </c>
    </row>
    <row r="236" spans="1:39">
      <c r="A236" s="335">
        <v>92005</v>
      </c>
      <c r="B236" s="328" t="s">
        <v>923</v>
      </c>
      <c r="C236" s="239">
        <v>3.5299999999999997E-5</v>
      </c>
      <c r="E236" s="2">
        <v>17305</v>
      </c>
      <c r="F236" s="2">
        <v>5010</v>
      </c>
      <c r="G236" s="2">
        <v>9494</v>
      </c>
      <c r="H236" s="2">
        <v>2007</v>
      </c>
      <c r="I236" s="2">
        <v>0</v>
      </c>
      <c r="K236" s="2">
        <v>5288</v>
      </c>
      <c r="L236" s="2">
        <v>4974</v>
      </c>
      <c r="M236" s="2">
        <v>4459</v>
      </c>
      <c r="N236" s="2">
        <v>1785</v>
      </c>
      <c r="O236" s="2">
        <v>0</v>
      </c>
      <c r="Q236" s="2">
        <v>5614</v>
      </c>
      <c r="R236" s="2">
        <v>-4829</v>
      </c>
      <c r="S236" s="2">
        <v>681</v>
      </c>
      <c r="T236" s="2">
        <v>886</v>
      </c>
      <c r="U236" s="2">
        <v>0</v>
      </c>
      <c r="W236" s="2">
        <v>6324</v>
      </c>
      <c r="X236" s="2">
        <v>5181</v>
      </c>
      <c r="Y236" s="2">
        <v>4206</v>
      </c>
      <c r="Z236" s="2">
        <v>0</v>
      </c>
      <c r="AA236" s="2">
        <v>0</v>
      </c>
      <c r="AC236" s="2">
        <v>1212</v>
      </c>
      <c r="AD236" s="2">
        <v>815</v>
      </c>
      <c r="AE236" s="2">
        <v>814</v>
      </c>
      <c r="AF236" s="2">
        <v>0</v>
      </c>
      <c r="AG236" s="2">
        <v>0</v>
      </c>
      <c r="AI236" s="2">
        <v>-1133</v>
      </c>
      <c r="AJ236" s="2">
        <v>-1131</v>
      </c>
      <c r="AK236" s="2">
        <v>-666</v>
      </c>
      <c r="AL236" s="2">
        <v>-664</v>
      </c>
      <c r="AM236" s="2">
        <v>0</v>
      </c>
    </row>
    <row r="237" spans="1:39">
      <c r="A237" s="335">
        <v>92011</v>
      </c>
      <c r="B237" s="328" t="s">
        <v>924</v>
      </c>
      <c r="C237" s="239">
        <v>1.9100000000000001E-4</v>
      </c>
      <c r="E237" s="2">
        <v>93155</v>
      </c>
      <c r="F237" s="2">
        <v>28074</v>
      </c>
      <c r="G237" s="2">
        <v>47821</v>
      </c>
      <c r="H237" s="2">
        <v>13152</v>
      </c>
      <c r="I237" s="2">
        <v>0</v>
      </c>
      <c r="K237" s="2">
        <v>28613</v>
      </c>
      <c r="L237" s="2">
        <v>26916</v>
      </c>
      <c r="M237" s="2">
        <v>24124</v>
      </c>
      <c r="N237" s="2">
        <v>9659</v>
      </c>
      <c r="O237" s="2">
        <v>0</v>
      </c>
      <c r="Q237" s="2">
        <v>30377</v>
      </c>
      <c r="R237" s="2">
        <v>-26130</v>
      </c>
      <c r="S237" s="2">
        <v>3683</v>
      </c>
      <c r="T237" s="2">
        <v>4793</v>
      </c>
      <c r="U237" s="2">
        <v>0</v>
      </c>
      <c r="W237" s="2">
        <v>34220</v>
      </c>
      <c r="X237" s="2">
        <v>28034</v>
      </c>
      <c r="Y237" s="2">
        <v>22759</v>
      </c>
      <c r="Z237" s="2">
        <v>0</v>
      </c>
      <c r="AA237" s="2">
        <v>0</v>
      </c>
      <c r="AC237" s="2">
        <v>2689</v>
      </c>
      <c r="AD237" s="2">
        <v>1998</v>
      </c>
      <c r="AE237" s="2">
        <v>0</v>
      </c>
      <c r="AF237" s="2">
        <v>0</v>
      </c>
      <c r="AG237" s="2">
        <v>0</v>
      </c>
      <c r="AI237" s="2">
        <v>-2744</v>
      </c>
      <c r="AJ237" s="2">
        <v>-2744</v>
      </c>
      <c r="AK237" s="2">
        <v>-2745</v>
      </c>
      <c r="AL237" s="2">
        <v>-1300</v>
      </c>
      <c r="AM237" s="2">
        <v>0</v>
      </c>
    </row>
    <row r="238" spans="1:39">
      <c r="A238" s="335">
        <v>92017</v>
      </c>
      <c r="B238" s="328" t="s">
        <v>925</v>
      </c>
      <c r="C238" s="239">
        <v>3.1900000000000003E-5</v>
      </c>
      <c r="E238" s="2">
        <v>16061</v>
      </c>
      <c r="F238" s="2">
        <v>5475</v>
      </c>
      <c r="G238" s="2">
        <v>9011</v>
      </c>
      <c r="H238" s="2">
        <v>2732</v>
      </c>
      <c r="I238" s="2">
        <v>0</v>
      </c>
      <c r="K238" s="2">
        <v>4779</v>
      </c>
      <c r="L238" s="2">
        <v>4495</v>
      </c>
      <c r="M238" s="2">
        <v>4029</v>
      </c>
      <c r="N238" s="2">
        <v>1613</v>
      </c>
      <c r="O238" s="2">
        <v>0</v>
      </c>
      <c r="Q238" s="2">
        <v>5073</v>
      </c>
      <c r="R238" s="2">
        <v>-4364</v>
      </c>
      <c r="S238" s="2">
        <v>615</v>
      </c>
      <c r="T238" s="2">
        <v>800</v>
      </c>
      <c r="U238" s="2">
        <v>0</v>
      </c>
      <c r="W238" s="2">
        <v>5715</v>
      </c>
      <c r="X238" s="2">
        <v>4682</v>
      </c>
      <c r="Y238" s="2">
        <v>3801</v>
      </c>
      <c r="Z238" s="2">
        <v>0</v>
      </c>
      <c r="AA238" s="2">
        <v>0</v>
      </c>
      <c r="AC238" s="2">
        <v>661</v>
      </c>
      <c r="AD238" s="2">
        <v>662</v>
      </c>
      <c r="AE238" s="2">
        <v>566</v>
      </c>
      <c r="AF238" s="2">
        <v>319</v>
      </c>
      <c r="AG238" s="2">
        <v>0</v>
      </c>
      <c r="AI238" s="2">
        <v>-167</v>
      </c>
      <c r="AJ238" s="2">
        <v>0</v>
      </c>
      <c r="AK238" s="2">
        <v>0</v>
      </c>
      <c r="AL238" s="2">
        <v>0</v>
      </c>
      <c r="AM238" s="2">
        <v>0</v>
      </c>
    </row>
    <row r="239" spans="1:39">
      <c r="A239" s="335">
        <v>92021</v>
      </c>
      <c r="B239" s="328" t="s">
        <v>926</v>
      </c>
      <c r="C239" s="239">
        <v>1.054E-4</v>
      </c>
      <c r="E239" s="2">
        <v>46047</v>
      </c>
      <c r="F239" s="2">
        <v>4473</v>
      </c>
      <c r="G239" s="2">
        <v>13868</v>
      </c>
      <c r="H239" s="2">
        <v>-949</v>
      </c>
      <c r="I239" s="2">
        <v>0</v>
      </c>
      <c r="K239" s="2">
        <v>15790</v>
      </c>
      <c r="L239" s="2">
        <v>14853</v>
      </c>
      <c r="M239" s="2">
        <v>13313</v>
      </c>
      <c r="N239" s="2">
        <v>5330</v>
      </c>
      <c r="O239" s="2">
        <v>0</v>
      </c>
      <c r="Q239" s="2">
        <v>16763</v>
      </c>
      <c r="R239" s="2">
        <v>-14419</v>
      </c>
      <c r="S239" s="2">
        <v>2032</v>
      </c>
      <c r="T239" s="2">
        <v>2645</v>
      </c>
      <c r="U239" s="2">
        <v>0</v>
      </c>
      <c r="W239" s="2">
        <v>18884</v>
      </c>
      <c r="X239" s="2">
        <v>15470</v>
      </c>
      <c r="Y239" s="2">
        <v>12559</v>
      </c>
      <c r="Z239" s="2">
        <v>0</v>
      </c>
      <c r="AA239" s="2">
        <v>0</v>
      </c>
      <c r="AC239" s="2">
        <v>8644</v>
      </c>
      <c r="AD239" s="2">
        <v>2603</v>
      </c>
      <c r="AE239" s="2">
        <v>0</v>
      </c>
      <c r="AF239" s="2">
        <v>0</v>
      </c>
      <c r="AG239" s="2">
        <v>0</v>
      </c>
      <c r="AI239" s="2">
        <v>-14034</v>
      </c>
      <c r="AJ239" s="2">
        <v>-14034</v>
      </c>
      <c r="AK239" s="2">
        <v>-14036</v>
      </c>
      <c r="AL239" s="2">
        <v>-8924</v>
      </c>
      <c r="AM239" s="2">
        <v>0</v>
      </c>
    </row>
    <row r="240" spans="1:39">
      <c r="A240" s="335">
        <v>92101</v>
      </c>
      <c r="B240" s="328" t="s">
        <v>927</v>
      </c>
      <c r="C240" s="239">
        <v>7.8700000000000005E-4</v>
      </c>
      <c r="E240" s="2">
        <v>348552</v>
      </c>
      <c r="F240" s="2">
        <v>93443</v>
      </c>
      <c r="G240" s="2">
        <v>190359</v>
      </c>
      <c r="H240" s="2">
        <v>50604</v>
      </c>
      <c r="I240" s="2">
        <v>0</v>
      </c>
      <c r="K240" s="2">
        <v>117898</v>
      </c>
      <c r="L240" s="2">
        <v>110904</v>
      </c>
      <c r="M240" s="2">
        <v>99402</v>
      </c>
      <c r="N240" s="2">
        <v>39799</v>
      </c>
      <c r="O240" s="2">
        <v>0</v>
      </c>
      <c r="Q240" s="2">
        <v>125165</v>
      </c>
      <c r="R240" s="2">
        <v>-107666</v>
      </c>
      <c r="S240" s="2">
        <v>15174</v>
      </c>
      <c r="T240" s="2">
        <v>19749</v>
      </c>
      <c r="U240" s="2">
        <v>0</v>
      </c>
      <c r="W240" s="2">
        <v>141000</v>
      </c>
      <c r="X240" s="2">
        <v>115513</v>
      </c>
      <c r="Y240" s="2">
        <v>93777</v>
      </c>
      <c r="Z240" s="2">
        <v>0</v>
      </c>
      <c r="AA240" s="2">
        <v>0</v>
      </c>
      <c r="AC240" s="2">
        <v>0</v>
      </c>
      <c r="AD240" s="2">
        <v>0</v>
      </c>
      <c r="AE240" s="2">
        <v>0</v>
      </c>
      <c r="AF240" s="2">
        <v>0</v>
      </c>
      <c r="AG240" s="2">
        <v>0</v>
      </c>
      <c r="AI240" s="2">
        <v>-35511</v>
      </c>
      <c r="AJ240" s="2">
        <v>-25308</v>
      </c>
      <c r="AK240" s="2">
        <v>-17994</v>
      </c>
      <c r="AL240" s="2">
        <v>-8944</v>
      </c>
      <c r="AM240" s="2">
        <v>0</v>
      </c>
    </row>
    <row r="241" spans="1:39">
      <c r="A241" s="335">
        <v>92104</v>
      </c>
      <c r="B241" s="328" t="s">
        <v>928</v>
      </c>
      <c r="C241" s="239">
        <v>7.0999999999999998E-6</v>
      </c>
      <c r="E241" s="2">
        <v>4265</v>
      </c>
      <c r="F241" s="2">
        <v>1613</v>
      </c>
      <c r="G241" s="2">
        <v>2207</v>
      </c>
      <c r="H241" s="2">
        <v>649</v>
      </c>
      <c r="I241" s="2">
        <v>0</v>
      </c>
      <c r="K241" s="2">
        <v>1064</v>
      </c>
      <c r="L241" s="2">
        <v>1001</v>
      </c>
      <c r="M241" s="2">
        <v>897</v>
      </c>
      <c r="N241" s="2">
        <v>359</v>
      </c>
      <c r="O241" s="2">
        <v>0</v>
      </c>
      <c r="Q241" s="2">
        <v>1129</v>
      </c>
      <c r="R241" s="2">
        <v>-971</v>
      </c>
      <c r="S241" s="2">
        <v>137</v>
      </c>
      <c r="T241" s="2">
        <v>178</v>
      </c>
      <c r="U241" s="2">
        <v>0</v>
      </c>
      <c r="W241" s="2">
        <v>1272</v>
      </c>
      <c r="X241" s="2">
        <v>1042</v>
      </c>
      <c r="Y241" s="2">
        <v>846</v>
      </c>
      <c r="Z241" s="2">
        <v>0</v>
      </c>
      <c r="AA241" s="2">
        <v>0</v>
      </c>
      <c r="AC241" s="2">
        <v>800</v>
      </c>
      <c r="AD241" s="2">
        <v>541</v>
      </c>
      <c r="AE241" s="2">
        <v>327</v>
      </c>
      <c r="AF241" s="2">
        <v>112</v>
      </c>
      <c r="AG241" s="2">
        <v>0</v>
      </c>
      <c r="AI241" s="2">
        <v>0</v>
      </c>
      <c r="AJ241" s="2">
        <v>0</v>
      </c>
      <c r="AK241" s="2">
        <v>0</v>
      </c>
      <c r="AL241" s="2">
        <v>0</v>
      </c>
      <c r="AM241" s="2">
        <v>0</v>
      </c>
    </row>
    <row r="242" spans="1:39">
      <c r="A242" s="335">
        <v>92109</v>
      </c>
      <c r="B242" s="328" t="s">
        <v>3681</v>
      </c>
      <c r="C242" s="239">
        <v>1.6799999999999999E-4</v>
      </c>
      <c r="E242" s="2">
        <v>77626</v>
      </c>
      <c r="F242" s="2">
        <v>20853</v>
      </c>
      <c r="G242" s="2">
        <v>39894</v>
      </c>
      <c r="H242" s="2">
        <v>11476</v>
      </c>
      <c r="I242" s="2">
        <v>0</v>
      </c>
      <c r="K242" s="2">
        <v>25168</v>
      </c>
      <c r="L242" s="2">
        <v>23675</v>
      </c>
      <c r="M242" s="2">
        <v>21219</v>
      </c>
      <c r="N242" s="2">
        <v>8496</v>
      </c>
      <c r="O242" s="2">
        <v>0</v>
      </c>
      <c r="Q242" s="2">
        <v>26719</v>
      </c>
      <c r="R242" s="2">
        <v>-22983</v>
      </c>
      <c r="S242" s="2">
        <v>3239</v>
      </c>
      <c r="T242" s="2">
        <v>4216</v>
      </c>
      <c r="U242" s="2">
        <v>0</v>
      </c>
      <c r="W242" s="2">
        <v>30099</v>
      </c>
      <c r="X242" s="2">
        <v>24658</v>
      </c>
      <c r="Y242" s="2">
        <v>20018</v>
      </c>
      <c r="Z242" s="2">
        <v>0</v>
      </c>
      <c r="AA242" s="2">
        <v>0</v>
      </c>
      <c r="AC242" s="2">
        <v>221</v>
      </c>
      <c r="AD242" s="2">
        <v>84</v>
      </c>
      <c r="AE242" s="2">
        <v>0</v>
      </c>
      <c r="AF242" s="2">
        <v>0</v>
      </c>
      <c r="AG242" s="2">
        <v>0</v>
      </c>
      <c r="AI242" s="2">
        <v>-4581</v>
      </c>
      <c r="AJ242" s="2">
        <v>-4581</v>
      </c>
      <c r="AK242" s="2">
        <v>-4582</v>
      </c>
      <c r="AL242" s="2">
        <v>-1236</v>
      </c>
      <c r="AM242" s="2">
        <v>0</v>
      </c>
    </row>
    <row r="243" spans="1:39">
      <c r="A243" s="335">
        <v>92111</v>
      </c>
      <c r="B243" s="328" t="s">
        <v>930</v>
      </c>
      <c r="C243" s="239">
        <v>4.9209999999999998E-4</v>
      </c>
      <c r="E243" s="2">
        <v>230019</v>
      </c>
      <c r="F243" s="2">
        <v>68113</v>
      </c>
      <c r="G243" s="2">
        <v>123507</v>
      </c>
      <c r="H243" s="2">
        <v>30129</v>
      </c>
      <c r="I243" s="2">
        <v>0</v>
      </c>
      <c r="K243" s="2">
        <v>73720</v>
      </c>
      <c r="L243" s="2">
        <v>69347</v>
      </c>
      <c r="M243" s="2">
        <v>62155</v>
      </c>
      <c r="N243" s="2">
        <v>24886</v>
      </c>
      <c r="O243" s="2">
        <v>0</v>
      </c>
      <c r="Q243" s="2">
        <v>78264</v>
      </c>
      <c r="R243" s="2">
        <v>-67322</v>
      </c>
      <c r="S243" s="2">
        <v>9488</v>
      </c>
      <c r="T243" s="2">
        <v>12349</v>
      </c>
      <c r="U243" s="2">
        <v>0</v>
      </c>
      <c r="W243" s="2">
        <v>88166</v>
      </c>
      <c r="X243" s="2">
        <v>72228</v>
      </c>
      <c r="Y243" s="2">
        <v>58637</v>
      </c>
      <c r="Z243" s="2">
        <v>0</v>
      </c>
      <c r="AA243" s="2">
        <v>0</v>
      </c>
      <c r="AC243" s="2">
        <v>966</v>
      </c>
      <c r="AD243" s="2">
        <v>967</v>
      </c>
      <c r="AE243" s="2">
        <v>334</v>
      </c>
      <c r="AF243" s="2">
        <v>0</v>
      </c>
      <c r="AG243" s="2">
        <v>0</v>
      </c>
      <c r="AI243" s="2">
        <v>-11097</v>
      </c>
      <c r="AJ243" s="2">
        <v>-7107</v>
      </c>
      <c r="AK243" s="2">
        <v>-7107</v>
      </c>
      <c r="AL243" s="2">
        <v>-7106</v>
      </c>
      <c r="AM243" s="2">
        <v>0</v>
      </c>
    </row>
    <row r="244" spans="1:39">
      <c r="A244" s="335">
        <v>92113</v>
      </c>
      <c r="B244" s="328" t="s">
        <v>2759</v>
      </c>
      <c r="C244" s="239">
        <v>1.7099999999999999E-5</v>
      </c>
      <c r="E244" s="2">
        <v>13499</v>
      </c>
      <c r="F244" s="2">
        <v>4522</v>
      </c>
      <c r="G244" s="2">
        <v>7013</v>
      </c>
      <c r="H244" s="2">
        <v>2595</v>
      </c>
      <c r="I244" s="2">
        <v>0</v>
      </c>
      <c r="K244" s="2">
        <v>2562</v>
      </c>
      <c r="L244" s="2">
        <v>2410</v>
      </c>
      <c r="M244" s="2">
        <v>2160</v>
      </c>
      <c r="N244" s="2">
        <v>865</v>
      </c>
      <c r="O244" s="2">
        <v>0</v>
      </c>
      <c r="Q244" s="2">
        <v>2720</v>
      </c>
      <c r="R244" s="2">
        <v>-2339</v>
      </c>
      <c r="S244" s="2">
        <v>330</v>
      </c>
      <c r="T244" s="2">
        <v>429</v>
      </c>
      <c r="U244" s="2">
        <v>0</v>
      </c>
      <c r="W244" s="2">
        <v>3064</v>
      </c>
      <c r="X244" s="2">
        <v>2510</v>
      </c>
      <c r="Y244" s="2">
        <v>2038</v>
      </c>
      <c r="Z244" s="2">
        <v>0</v>
      </c>
      <c r="AA244" s="2">
        <v>0</v>
      </c>
      <c r="AC244" s="2">
        <v>5698</v>
      </c>
      <c r="AD244" s="2">
        <v>2484</v>
      </c>
      <c r="AE244" s="2">
        <v>2485</v>
      </c>
      <c r="AF244" s="2">
        <v>1301</v>
      </c>
      <c r="AG244" s="2">
        <v>0</v>
      </c>
      <c r="AI244" s="2">
        <v>-545</v>
      </c>
      <c r="AJ244" s="2">
        <v>-543</v>
      </c>
      <c r="AK244" s="2">
        <v>0</v>
      </c>
      <c r="AL244" s="2">
        <v>0</v>
      </c>
      <c r="AM244" s="2">
        <v>0</v>
      </c>
    </row>
    <row r="245" spans="1:39">
      <c r="A245" s="335">
        <v>92201</v>
      </c>
      <c r="B245" s="328" t="s">
        <v>932</v>
      </c>
      <c r="C245" s="239">
        <v>8.3589999999999999E-4</v>
      </c>
      <c r="E245" s="2">
        <v>389929</v>
      </c>
      <c r="F245" s="2">
        <v>105507</v>
      </c>
      <c r="G245" s="2">
        <v>211514</v>
      </c>
      <c r="H245" s="2">
        <v>53409</v>
      </c>
      <c r="I245" s="2">
        <v>0</v>
      </c>
      <c r="K245" s="2">
        <v>125224</v>
      </c>
      <c r="L245" s="2">
        <v>117795</v>
      </c>
      <c r="M245" s="2">
        <v>105578</v>
      </c>
      <c r="N245" s="2">
        <v>42272</v>
      </c>
      <c r="O245" s="2">
        <v>0</v>
      </c>
      <c r="Q245" s="2">
        <v>132942</v>
      </c>
      <c r="R245" s="2">
        <v>-114355</v>
      </c>
      <c r="S245" s="2">
        <v>16117</v>
      </c>
      <c r="T245" s="2">
        <v>20976</v>
      </c>
      <c r="U245" s="2">
        <v>0</v>
      </c>
      <c r="W245" s="2">
        <v>149762</v>
      </c>
      <c r="X245" s="2">
        <v>122690</v>
      </c>
      <c r="Y245" s="2">
        <v>99603</v>
      </c>
      <c r="Z245" s="2">
        <v>0</v>
      </c>
      <c r="AA245" s="2">
        <v>0</v>
      </c>
      <c r="AC245" s="2">
        <v>2679</v>
      </c>
      <c r="AD245" s="2">
        <v>54</v>
      </c>
      <c r="AE245" s="2">
        <v>55</v>
      </c>
      <c r="AF245" s="2">
        <v>0</v>
      </c>
      <c r="AG245" s="2">
        <v>0</v>
      </c>
      <c r="AI245" s="2">
        <v>-20678</v>
      </c>
      <c r="AJ245" s="2">
        <v>-20677</v>
      </c>
      <c r="AK245" s="2">
        <v>-9839</v>
      </c>
      <c r="AL245" s="2">
        <v>-9839</v>
      </c>
      <c r="AM245" s="2">
        <v>0</v>
      </c>
    </row>
    <row r="246" spans="1:39">
      <c r="A246" s="335">
        <v>92214</v>
      </c>
      <c r="B246" s="328" t="s">
        <v>1931</v>
      </c>
      <c r="C246" s="239">
        <v>2.02E-5</v>
      </c>
      <c r="E246" s="2">
        <v>13539</v>
      </c>
      <c r="F246" s="2">
        <v>6730</v>
      </c>
      <c r="G246" s="2">
        <v>9027</v>
      </c>
      <c r="H246" s="2">
        <v>1706</v>
      </c>
      <c r="I246" s="2">
        <v>0</v>
      </c>
      <c r="K246" s="2">
        <v>3026</v>
      </c>
      <c r="L246" s="2">
        <v>2847</v>
      </c>
      <c r="M246" s="2">
        <v>2551</v>
      </c>
      <c r="N246" s="2">
        <v>1022</v>
      </c>
      <c r="O246" s="2">
        <v>0</v>
      </c>
      <c r="Q246" s="2">
        <v>3213</v>
      </c>
      <c r="R246" s="2">
        <v>-2763</v>
      </c>
      <c r="S246" s="2">
        <v>389</v>
      </c>
      <c r="T246" s="2">
        <v>507</v>
      </c>
      <c r="U246" s="2">
        <v>0</v>
      </c>
      <c r="W246" s="2">
        <v>3619</v>
      </c>
      <c r="X246" s="2">
        <v>2965</v>
      </c>
      <c r="Y246" s="2">
        <v>2407</v>
      </c>
      <c r="Z246" s="2">
        <v>0</v>
      </c>
      <c r="AA246" s="2">
        <v>0</v>
      </c>
      <c r="AC246" s="2">
        <v>3681</v>
      </c>
      <c r="AD246" s="2">
        <v>3681</v>
      </c>
      <c r="AE246" s="2">
        <v>3680</v>
      </c>
      <c r="AF246" s="2">
        <v>177</v>
      </c>
      <c r="AG246" s="2">
        <v>0</v>
      </c>
      <c r="AI246" s="2">
        <v>0</v>
      </c>
      <c r="AJ246" s="2">
        <v>0</v>
      </c>
      <c r="AK246" s="2">
        <v>0</v>
      </c>
      <c r="AL246" s="2">
        <v>0</v>
      </c>
      <c r="AM246" s="2">
        <v>0</v>
      </c>
    </row>
    <row r="247" spans="1:39">
      <c r="A247" s="335">
        <v>92301</v>
      </c>
      <c r="B247" s="328" t="s">
        <v>933</v>
      </c>
      <c r="C247" s="239">
        <v>5.6146E-3</v>
      </c>
      <c r="E247" s="2">
        <v>2777646</v>
      </c>
      <c r="F247" s="2">
        <v>876221</v>
      </c>
      <c r="G247" s="2">
        <v>1523469</v>
      </c>
      <c r="H247" s="2">
        <v>452960</v>
      </c>
      <c r="I247" s="2">
        <v>0</v>
      </c>
      <c r="K247" s="2">
        <v>841106</v>
      </c>
      <c r="L247" s="2">
        <v>791209</v>
      </c>
      <c r="M247" s="2">
        <v>709152</v>
      </c>
      <c r="N247" s="2">
        <v>283936</v>
      </c>
      <c r="O247" s="2">
        <v>0</v>
      </c>
      <c r="Q247" s="2">
        <v>892952</v>
      </c>
      <c r="R247" s="2">
        <v>-768105</v>
      </c>
      <c r="S247" s="2">
        <v>108255</v>
      </c>
      <c r="T247" s="2">
        <v>140893</v>
      </c>
      <c r="U247" s="2">
        <v>0</v>
      </c>
      <c r="W247" s="2">
        <v>1005923</v>
      </c>
      <c r="X247" s="2">
        <v>824089</v>
      </c>
      <c r="Y247" s="2">
        <v>669019</v>
      </c>
      <c r="Z247" s="2">
        <v>0</v>
      </c>
      <c r="AA247" s="2">
        <v>0</v>
      </c>
      <c r="AC247" s="2">
        <v>45682</v>
      </c>
      <c r="AD247" s="2">
        <v>37045</v>
      </c>
      <c r="AE247" s="2">
        <v>37043</v>
      </c>
      <c r="AF247" s="2">
        <v>28131</v>
      </c>
      <c r="AG247" s="2">
        <v>0</v>
      </c>
      <c r="AI247" s="2">
        <v>-8017</v>
      </c>
      <c r="AJ247" s="2">
        <v>-8017</v>
      </c>
      <c r="AK247" s="2">
        <v>0</v>
      </c>
      <c r="AL247" s="2">
        <v>0</v>
      </c>
      <c r="AM247" s="2">
        <v>0</v>
      </c>
    </row>
    <row r="248" spans="1:39">
      <c r="A248" s="335">
        <v>92302</v>
      </c>
      <c r="B248" s="328" t="s">
        <v>934</v>
      </c>
      <c r="C248" s="239">
        <v>3.0249999999999998E-4</v>
      </c>
      <c r="E248" s="2">
        <v>137033</v>
      </c>
      <c r="F248" s="2">
        <v>35331</v>
      </c>
      <c r="G248" s="2">
        <v>75516</v>
      </c>
      <c r="H248" s="2">
        <v>16702</v>
      </c>
      <c r="I248" s="2">
        <v>0</v>
      </c>
      <c r="K248" s="2">
        <v>45317</v>
      </c>
      <c r="L248" s="2">
        <v>42628</v>
      </c>
      <c r="M248" s="2">
        <v>38207</v>
      </c>
      <c r="N248" s="2">
        <v>15298</v>
      </c>
      <c r="O248" s="2">
        <v>0</v>
      </c>
      <c r="Q248" s="2">
        <v>48110</v>
      </c>
      <c r="R248" s="2">
        <v>-41384</v>
      </c>
      <c r="S248" s="2">
        <v>5833</v>
      </c>
      <c r="T248" s="2">
        <v>7591</v>
      </c>
      <c r="U248" s="2">
        <v>0</v>
      </c>
      <c r="W248" s="2">
        <v>54197</v>
      </c>
      <c r="X248" s="2">
        <v>44400</v>
      </c>
      <c r="Y248" s="2">
        <v>36045</v>
      </c>
      <c r="Z248" s="2">
        <v>0</v>
      </c>
      <c r="AA248" s="2">
        <v>0</v>
      </c>
      <c r="AC248" s="2">
        <v>1615</v>
      </c>
      <c r="AD248" s="2">
        <v>1615</v>
      </c>
      <c r="AE248" s="2">
        <v>1616</v>
      </c>
      <c r="AF248" s="2">
        <v>0</v>
      </c>
      <c r="AG248" s="2">
        <v>0</v>
      </c>
      <c r="AI248" s="2">
        <v>-12206</v>
      </c>
      <c r="AJ248" s="2">
        <v>-11928</v>
      </c>
      <c r="AK248" s="2">
        <v>-6185</v>
      </c>
      <c r="AL248" s="2">
        <v>-6187</v>
      </c>
      <c r="AM248" s="2">
        <v>0</v>
      </c>
    </row>
    <row r="249" spans="1:39">
      <c r="A249" s="335">
        <v>92311</v>
      </c>
      <c r="B249" s="328" t="s">
        <v>935</v>
      </c>
      <c r="C249" s="239">
        <v>2.2645999999999999E-3</v>
      </c>
      <c r="E249" s="2">
        <v>1090134</v>
      </c>
      <c r="F249" s="2">
        <v>330398</v>
      </c>
      <c r="G249" s="2">
        <v>586142</v>
      </c>
      <c r="H249" s="2">
        <v>173389</v>
      </c>
      <c r="I249" s="2">
        <v>0</v>
      </c>
      <c r="K249" s="2">
        <v>339253</v>
      </c>
      <c r="L249" s="2">
        <v>319127</v>
      </c>
      <c r="M249" s="2">
        <v>286030</v>
      </c>
      <c r="N249" s="2">
        <v>114523</v>
      </c>
      <c r="O249" s="2">
        <v>0</v>
      </c>
      <c r="Q249" s="2">
        <v>360164</v>
      </c>
      <c r="R249" s="2">
        <v>-309809</v>
      </c>
      <c r="S249" s="2">
        <v>43664</v>
      </c>
      <c r="T249" s="2">
        <v>56828</v>
      </c>
      <c r="U249" s="2">
        <v>0</v>
      </c>
      <c r="W249" s="2">
        <v>405730</v>
      </c>
      <c r="X249" s="2">
        <v>332389</v>
      </c>
      <c r="Y249" s="2">
        <v>269843</v>
      </c>
      <c r="Z249" s="2">
        <v>0</v>
      </c>
      <c r="AA249" s="2">
        <v>0</v>
      </c>
      <c r="AC249" s="2">
        <v>4126</v>
      </c>
      <c r="AD249" s="2">
        <v>4124</v>
      </c>
      <c r="AE249" s="2">
        <v>2036</v>
      </c>
      <c r="AF249" s="2">
        <v>2038</v>
      </c>
      <c r="AG249" s="2">
        <v>0</v>
      </c>
      <c r="AI249" s="2">
        <v>-19139</v>
      </c>
      <c r="AJ249" s="2">
        <v>-15433</v>
      </c>
      <c r="AK249" s="2">
        <v>-15431</v>
      </c>
      <c r="AL249" s="2">
        <v>0</v>
      </c>
      <c r="AM249" s="2">
        <v>0</v>
      </c>
    </row>
    <row r="250" spans="1:39">
      <c r="A250" s="335">
        <v>92317</v>
      </c>
      <c r="B250" s="328" t="s">
        <v>936</v>
      </c>
      <c r="C250" s="239">
        <v>2.97E-5</v>
      </c>
      <c r="E250" s="2">
        <v>21860</v>
      </c>
      <c r="F250" s="2">
        <v>10822</v>
      </c>
      <c r="G250" s="2">
        <v>12386</v>
      </c>
      <c r="H250" s="2">
        <v>5675</v>
      </c>
      <c r="I250" s="2">
        <v>0</v>
      </c>
      <c r="K250" s="2">
        <v>4449</v>
      </c>
      <c r="L250" s="2">
        <v>4185</v>
      </c>
      <c r="M250" s="2">
        <v>3751</v>
      </c>
      <c r="N250" s="2">
        <v>1502</v>
      </c>
      <c r="O250" s="2">
        <v>0</v>
      </c>
      <c r="Q250" s="2">
        <v>4724</v>
      </c>
      <c r="R250" s="2">
        <v>-4063</v>
      </c>
      <c r="S250" s="2">
        <v>573</v>
      </c>
      <c r="T250" s="2">
        <v>745</v>
      </c>
      <c r="U250" s="2">
        <v>0</v>
      </c>
      <c r="W250" s="2">
        <v>5321</v>
      </c>
      <c r="X250" s="2">
        <v>4359</v>
      </c>
      <c r="Y250" s="2">
        <v>3539</v>
      </c>
      <c r="Z250" s="2">
        <v>0</v>
      </c>
      <c r="AA250" s="2">
        <v>0</v>
      </c>
      <c r="AC250" s="2">
        <v>7366</v>
      </c>
      <c r="AD250" s="2">
        <v>6341</v>
      </c>
      <c r="AE250" s="2">
        <v>4523</v>
      </c>
      <c r="AF250" s="2">
        <v>3428</v>
      </c>
      <c r="AG250" s="2">
        <v>0</v>
      </c>
      <c r="AI250" s="2">
        <v>0</v>
      </c>
      <c r="AJ250" s="2">
        <v>0</v>
      </c>
      <c r="AK250" s="2">
        <v>0</v>
      </c>
      <c r="AL250" s="2">
        <v>0</v>
      </c>
      <c r="AM250" s="2">
        <v>0</v>
      </c>
    </row>
    <row r="251" spans="1:39">
      <c r="A251" s="335">
        <v>92321</v>
      </c>
      <c r="B251" s="328" t="s">
        <v>937</v>
      </c>
      <c r="C251" s="239">
        <v>1.2122999999999999E-3</v>
      </c>
      <c r="E251" s="2">
        <v>594263</v>
      </c>
      <c r="F251" s="2">
        <v>185871</v>
      </c>
      <c r="G251" s="2">
        <v>328816</v>
      </c>
      <c r="H251" s="2">
        <v>89316</v>
      </c>
      <c r="I251" s="2">
        <v>0</v>
      </c>
      <c r="K251" s="2">
        <v>181611</v>
      </c>
      <c r="L251" s="2">
        <v>170837</v>
      </c>
      <c r="M251" s="2">
        <v>153120</v>
      </c>
      <c r="N251" s="2">
        <v>61307</v>
      </c>
      <c r="O251" s="2">
        <v>0</v>
      </c>
      <c r="Q251" s="2">
        <v>192805</v>
      </c>
      <c r="R251" s="2">
        <v>-165849</v>
      </c>
      <c r="S251" s="2">
        <v>23374</v>
      </c>
      <c r="T251" s="2">
        <v>30421</v>
      </c>
      <c r="U251" s="2">
        <v>0</v>
      </c>
      <c r="W251" s="2">
        <v>217198</v>
      </c>
      <c r="X251" s="2">
        <v>177937</v>
      </c>
      <c r="Y251" s="2">
        <v>144454</v>
      </c>
      <c r="Z251" s="2">
        <v>0</v>
      </c>
      <c r="AA251" s="2">
        <v>0</v>
      </c>
      <c r="AC251" s="2">
        <v>10277</v>
      </c>
      <c r="AD251" s="2">
        <v>10277</v>
      </c>
      <c r="AE251" s="2">
        <v>10279</v>
      </c>
      <c r="AF251" s="2">
        <v>0</v>
      </c>
      <c r="AG251" s="2">
        <v>0</v>
      </c>
      <c r="AI251" s="2">
        <v>-7628</v>
      </c>
      <c r="AJ251" s="2">
        <v>-7331</v>
      </c>
      <c r="AK251" s="2">
        <v>-2411</v>
      </c>
      <c r="AL251" s="2">
        <v>-2412</v>
      </c>
      <c r="AM251" s="2">
        <v>0</v>
      </c>
    </row>
    <row r="252" spans="1:39">
      <c r="A252" s="335">
        <v>92327</v>
      </c>
      <c r="B252" s="328" t="s">
        <v>938</v>
      </c>
      <c r="C252" s="239">
        <v>6.4999999999999996E-6</v>
      </c>
      <c r="E252" s="2">
        <v>5441</v>
      </c>
      <c r="F252" s="2">
        <v>2941</v>
      </c>
      <c r="G252" s="2">
        <v>3395</v>
      </c>
      <c r="H252" s="2">
        <v>1225</v>
      </c>
      <c r="I252" s="2">
        <v>0</v>
      </c>
      <c r="K252" s="2">
        <v>974</v>
      </c>
      <c r="L252" s="2">
        <v>916</v>
      </c>
      <c r="M252" s="2">
        <v>821</v>
      </c>
      <c r="N252" s="2">
        <v>329</v>
      </c>
      <c r="O252" s="2">
        <v>0</v>
      </c>
      <c r="Q252" s="2">
        <v>1034</v>
      </c>
      <c r="R252" s="2">
        <v>-889</v>
      </c>
      <c r="S252" s="2">
        <v>125</v>
      </c>
      <c r="T252" s="2">
        <v>163</v>
      </c>
      <c r="U252" s="2">
        <v>0</v>
      </c>
      <c r="W252" s="2">
        <v>1165</v>
      </c>
      <c r="X252" s="2">
        <v>954</v>
      </c>
      <c r="Y252" s="2">
        <v>775</v>
      </c>
      <c r="Z252" s="2">
        <v>0</v>
      </c>
      <c r="AA252" s="2">
        <v>0</v>
      </c>
      <c r="AC252" s="2">
        <v>2268</v>
      </c>
      <c r="AD252" s="2">
        <v>1960</v>
      </c>
      <c r="AE252" s="2">
        <v>1674</v>
      </c>
      <c r="AF252" s="2">
        <v>733</v>
      </c>
      <c r="AG252" s="2">
        <v>0</v>
      </c>
      <c r="AI252" s="2">
        <v>0</v>
      </c>
      <c r="AJ252" s="2">
        <v>0</v>
      </c>
      <c r="AK252" s="2">
        <v>0</v>
      </c>
      <c r="AL252" s="2">
        <v>0</v>
      </c>
      <c r="AM252" s="2">
        <v>0</v>
      </c>
    </row>
    <row r="253" spans="1:39">
      <c r="A253" s="335">
        <v>92331</v>
      </c>
      <c r="B253" s="328" t="s">
        <v>939</v>
      </c>
      <c r="C253" s="239">
        <v>1.351E-4</v>
      </c>
      <c r="E253" s="2">
        <v>64389</v>
      </c>
      <c r="F253" s="2">
        <v>20412</v>
      </c>
      <c r="G253" s="2">
        <v>36378</v>
      </c>
      <c r="H253" s="2">
        <v>11922</v>
      </c>
      <c r="I253" s="2">
        <v>0</v>
      </c>
      <c r="K253" s="2">
        <v>20239</v>
      </c>
      <c r="L253" s="2">
        <v>19038</v>
      </c>
      <c r="M253" s="2">
        <v>17064</v>
      </c>
      <c r="N253" s="2">
        <v>6832</v>
      </c>
      <c r="O253" s="2">
        <v>0</v>
      </c>
      <c r="Q253" s="2">
        <v>21486</v>
      </c>
      <c r="R253" s="2">
        <v>-18482</v>
      </c>
      <c r="S253" s="2">
        <v>2605</v>
      </c>
      <c r="T253" s="2">
        <v>3390</v>
      </c>
      <c r="U253" s="2">
        <v>0</v>
      </c>
      <c r="W253" s="2">
        <v>24205</v>
      </c>
      <c r="X253" s="2">
        <v>19829</v>
      </c>
      <c r="Y253" s="2">
        <v>16098</v>
      </c>
      <c r="Z253" s="2">
        <v>0</v>
      </c>
      <c r="AA253" s="2">
        <v>0</v>
      </c>
      <c r="AC253" s="2">
        <v>1702</v>
      </c>
      <c r="AD253" s="2">
        <v>1702</v>
      </c>
      <c r="AE253" s="2">
        <v>1702</v>
      </c>
      <c r="AF253" s="2">
        <v>1700</v>
      </c>
      <c r="AG253" s="2">
        <v>0</v>
      </c>
      <c r="AI253" s="2">
        <v>-3243</v>
      </c>
      <c r="AJ253" s="2">
        <v>-1675</v>
      </c>
      <c r="AK253" s="2">
        <v>-1091</v>
      </c>
      <c r="AL253" s="2">
        <v>0</v>
      </c>
      <c r="AM253" s="2">
        <v>0</v>
      </c>
    </row>
    <row r="254" spans="1:39">
      <c r="A254" s="335">
        <v>92341</v>
      </c>
      <c r="B254" s="328" t="s">
        <v>940</v>
      </c>
      <c r="C254" s="239">
        <v>8.4999999999999999E-6</v>
      </c>
      <c r="E254" s="2">
        <v>3542</v>
      </c>
      <c r="F254" s="2">
        <v>617</v>
      </c>
      <c r="G254" s="2">
        <v>1529</v>
      </c>
      <c r="H254" s="2">
        <v>275</v>
      </c>
      <c r="I254" s="2">
        <v>0</v>
      </c>
      <c r="K254" s="2">
        <v>1273</v>
      </c>
      <c r="L254" s="2">
        <v>1198</v>
      </c>
      <c r="M254" s="2">
        <v>1074</v>
      </c>
      <c r="N254" s="2">
        <v>430</v>
      </c>
      <c r="O254" s="2">
        <v>0</v>
      </c>
      <c r="Q254" s="2">
        <v>1352</v>
      </c>
      <c r="R254" s="2">
        <v>-1163</v>
      </c>
      <c r="S254" s="2">
        <v>164</v>
      </c>
      <c r="T254" s="2">
        <v>213</v>
      </c>
      <c r="U254" s="2">
        <v>0</v>
      </c>
      <c r="W254" s="2">
        <v>1523</v>
      </c>
      <c r="X254" s="2">
        <v>1248</v>
      </c>
      <c r="Y254" s="2">
        <v>1013</v>
      </c>
      <c r="Z254" s="2">
        <v>0</v>
      </c>
      <c r="AA254" s="2">
        <v>0</v>
      </c>
      <c r="AC254" s="2">
        <v>116</v>
      </c>
      <c r="AD254" s="2">
        <v>56</v>
      </c>
      <c r="AE254" s="2">
        <v>0</v>
      </c>
      <c r="AF254" s="2">
        <v>0</v>
      </c>
      <c r="AG254" s="2">
        <v>0</v>
      </c>
      <c r="AI254" s="2">
        <v>-722</v>
      </c>
      <c r="AJ254" s="2">
        <v>-722</v>
      </c>
      <c r="AK254" s="2">
        <v>-722</v>
      </c>
      <c r="AL254" s="2">
        <v>-368</v>
      </c>
      <c r="AM254" s="2">
        <v>0</v>
      </c>
    </row>
    <row r="255" spans="1:39">
      <c r="A255" s="335">
        <v>92351</v>
      </c>
      <c r="B255" s="328" t="s">
        <v>941</v>
      </c>
      <c r="C255" s="239">
        <v>1.7499999999999998E-5</v>
      </c>
      <c r="E255" s="2">
        <v>8216</v>
      </c>
      <c r="F255" s="2">
        <v>3304</v>
      </c>
      <c r="G255" s="2">
        <v>5253</v>
      </c>
      <c r="H255" s="2">
        <v>1143</v>
      </c>
      <c r="I255" s="2">
        <v>0</v>
      </c>
      <c r="K255" s="2">
        <v>2622</v>
      </c>
      <c r="L255" s="2">
        <v>2466</v>
      </c>
      <c r="M255" s="2">
        <v>2210</v>
      </c>
      <c r="N255" s="2">
        <v>885</v>
      </c>
      <c r="O255" s="2">
        <v>0</v>
      </c>
      <c r="Q255" s="2">
        <v>2783</v>
      </c>
      <c r="R255" s="2">
        <v>-2394</v>
      </c>
      <c r="S255" s="2">
        <v>337</v>
      </c>
      <c r="T255" s="2">
        <v>439</v>
      </c>
      <c r="U255" s="2">
        <v>0</v>
      </c>
      <c r="W255" s="2">
        <v>3135</v>
      </c>
      <c r="X255" s="2">
        <v>2569</v>
      </c>
      <c r="Y255" s="2">
        <v>2085</v>
      </c>
      <c r="Z255" s="2">
        <v>0</v>
      </c>
      <c r="AA255" s="2">
        <v>0</v>
      </c>
      <c r="AC255" s="2">
        <v>845</v>
      </c>
      <c r="AD255" s="2">
        <v>844</v>
      </c>
      <c r="AE255" s="2">
        <v>802</v>
      </c>
      <c r="AF255" s="2">
        <v>0</v>
      </c>
      <c r="AG255" s="2">
        <v>0</v>
      </c>
      <c r="AI255" s="2">
        <v>-1169</v>
      </c>
      <c r="AJ255" s="2">
        <v>-181</v>
      </c>
      <c r="AK255" s="2">
        <v>-181</v>
      </c>
      <c r="AL255" s="2">
        <v>-181</v>
      </c>
      <c r="AM255" s="2">
        <v>0</v>
      </c>
    </row>
    <row r="256" spans="1:39">
      <c r="A256" s="335">
        <v>92401</v>
      </c>
      <c r="B256" s="328" t="s">
        <v>942</v>
      </c>
      <c r="C256" s="239">
        <v>2.6340000000000001E-3</v>
      </c>
      <c r="E256" s="2">
        <v>1331047</v>
      </c>
      <c r="F256" s="2">
        <v>442787</v>
      </c>
      <c r="G256" s="2">
        <v>738152</v>
      </c>
      <c r="H256" s="2">
        <v>253686</v>
      </c>
      <c r="I256" s="2">
        <v>0</v>
      </c>
      <c r="K256" s="2">
        <v>394592</v>
      </c>
      <c r="L256" s="2">
        <v>371183</v>
      </c>
      <c r="M256" s="2">
        <v>332687</v>
      </c>
      <c r="N256" s="2">
        <v>133204</v>
      </c>
      <c r="O256" s="2">
        <v>0</v>
      </c>
      <c r="Q256" s="2">
        <v>418914</v>
      </c>
      <c r="R256" s="2">
        <v>-360344</v>
      </c>
      <c r="S256" s="2">
        <v>50786</v>
      </c>
      <c r="T256" s="2">
        <v>66098</v>
      </c>
      <c r="U256" s="2">
        <v>0</v>
      </c>
      <c r="W256" s="2">
        <v>471913</v>
      </c>
      <c r="X256" s="2">
        <v>386608</v>
      </c>
      <c r="Y256" s="2">
        <v>313860</v>
      </c>
      <c r="Z256" s="2">
        <v>0</v>
      </c>
      <c r="AA256" s="2">
        <v>0</v>
      </c>
      <c r="AC256" s="2">
        <v>59196</v>
      </c>
      <c r="AD256" s="2">
        <v>58908</v>
      </c>
      <c r="AE256" s="2">
        <v>54385</v>
      </c>
      <c r="AF256" s="2">
        <v>54384</v>
      </c>
      <c r="AG256" s="2">
        <v>0</v>
      </c>
      <c r="AI256" s="2">
        <v>-13568</v>
      </c>
      <c r="AJ256" s="2">
        <v>-13568</v>
      </c>
      <c r="AK256" s="2">
        <v>-13566</v>
      </c>
      <c r="AL256" s="2">
        <v>0</v>
      </c>
      <c r="AM256" s="2">
        <v>0</v>
      </c>
    </row>
    <row r="257" spans="1:39">
      <c r="A257" s="335">
        <v>92403</v>
      </c>
      <c r="B257" s="328" t="s">
        <v>943</v>
      </c>
      <c r="C257" s="239">
        <v>9.0999999999999993E-6</v>
      </c>
      <c r="E257" s="2">
        <v>4670</v>
      </c>
      <c r="F257" s="2">
        <v>1998</v>
      </c>
      <c r="G257" s="2">
        <v>2653</v>
      </c>
      <c r="H257" s="2">
        <v>847</v>
      </c>
      <c r="I257" s="2">
        <v>0</v>
      </c>
      <c r="K257" s="2">
        <v>1363</v>
      </c>
      <c r="L257" s="2">
        <v>1282</v>
      </c>
      <c r="M257" s="2">
        <v>1149</v>
      </c>
      <c r="N257" s="2">
        <v>460</v>
      </c>
      <c r="O257" s="2">
        <v>0</v>
      </c>
      <c r="Q257" s="2">
        <v>1447</v>
      </c>
      <c r="R257" s="2">
        <v>-1245</v>
      </c>
      <c r="S257" s="2">
        <v>175</v>
      </c>
      <c r="T257" s="2">
        <v>228</v>
      </c>
      <c r="U257" s="2">
        <v>0</v>
      </c>
      <c r="W257" s="2">
        <v>1630</v>
      </c>
      <c r="X257" s="2">
        <v>1336</v>
      </c>
      <c r="Y257" s="2">
        <v>1084</v>
      </c>
      <c r="Z257" s="2">
        <v>0</v>
      </c>
      <c r="AA257" s="2">
        <v>0</v>
      </c>
      <c r="AC257" s="2">
        <v>624</v>
      </c>
      <c r="AD257" s="2">
        <v>625</v>
      </c>
      <c r="AE257" s="2">
        <v>245</v>
      </c>
      <c r="AF257" s="2">
        <v>159</v>
      </c>
      <c r="AG257" s="2">
        <v>0</v>
      </c>
      <c r="AI257" s="2">
        <v>-394</v>
      </c>
      <c r="AJ257" s="2">
        <v>0</v>
      </c>
      <c r="AK257" s="2">
        <v>0</v>
      </c>
      <c r="AL257" s="2">
        <v>0</v>
      </c>
      <c r="AM257" s="2">
        <v>0</v>
      </c>
    </row>
    <row r="258" spans="1:39">
      <c r="A258" s="335">
        <v>92411</v>
      </c>
      <c r="B258" s="328" t="s">
        <v>944</v>
      </c>
      <c r="C258" s="239">
        <v>4.5199999999999998E-4</v>
      </c>
      <c r="E258" s="2">
        <v>198970</v>
      </c>
      <c r="F258" s="2">
        <v>56582</v>
      </c>
      <c r="G258" s="2">
        <v>109547</v>
      </c>
      <c r="H258" s="2">
        <v>35699</v>
      </c>
      <c r="I258" s="2">
        <v>0</v>
      </c>
      <c r="K258" s="2">
        <v>67713</v>
      </c>
      <c r="L258" s="2">
        <v>63696</v>
      </c>
      <c r="M258" s="2">
        <v>57090</v>
      </c>
      <c r="N258" s="2">
        <v>22858</v>
      </c>
      <c r="O258" s="2">
        <v>0</v>
      </c>
      <c r="Q258" s="2">
        <v>71887</v>
      </c>
      <c r="R258" s="2">
        <v>-61836</v>
      </c>
      <c r="S258" s="2">
        <v>8715</v>
      </c>
      <c r="T258" s="2">
        <v>11342</v>
      </c>
      <c r="U258" s="2">
        <v>0</v>
      </c>
      <c r="W258" s="2">
        <v>80981</v>
      </c>
      <c r="X258" s="2">
        <v>66343</v>
      </c>
      <c r="Y258" s="2">
        <v>53859</v>
      </c>
      <c r="Z258" s="2">
        <v>0</v>
      </c>
      <c r="AA258" s="2">
        <v>0</v>
      </c>
      <c r="AC258" s="2">
        <v>1499</v>
      </c>
      <c r="AD258" s="2">
        <v>1499</v>
      </c>
      <c r="AE258" s="2">
        <v>1499</v>
      </c>
      <c r="AF258" s="2">
        <v>1499</v>
      </c>
      <c r="AG258" s="2">
        <v>0</v>
      </c>
      <c r="AI258" s="2">
        <v>-23110</v>
      </c>
      <c r="AJ258" s="2">
        <v>-13120</v>
      </c>
      <c r="AK258" s="2">
        <v>-11616</v>
      </c>
      <c r="AL258" s="2">
        <v>0</v>
      </c>
      <c r="AM258" s="2">
        <v>0</v>
      </c>
    </row>
    <row r="259" spans="1:39">
      <c r="A259" s="335">
        <v>92417</v>
      </c>
      <c r="B259" s="328" t="s">
        <v>945</v>
      </c>
      <c r="C259" s="239">
        <v>1.73E-5</v>
      </c>
      <c r="E259" s="2">
        <v>6480</v>
      </c>
      <c r="F259" s="2">
        <v>867</v>
      </c>
      <c r="G259" s="2">
        <v>3221</v>
      </c>
      <c r="H259" s="2">
        <v>414</v>
      </c>
      <c r="I259" s="2">
        <v>0</v>
      </c>
      <c r="K259" s="2">
        <v>2592</v>
      </c>
      <c r="L259" s="2">
        <v>2438</v>
      </c>
      <c r="M259" s="2">
        <v>2185</v>
      </c>
      <c r="N259" s="2">
        <v>875</v>
      </c>
      <c r="O259" s="2">
        <v>0</v>
      </c>
      <c r="Q259" s="2">
        <v>2751</v>
      </c>
      <c r="R259" s="2">
        <v>-2367</v>
      </c>
      <c r="S259" s="2">
        <v>334</v>
      </c>
      <c r="T259" s="2">
        <v>434</v>
      </c>
      <c r="U259" s="2">
        <v>0</v>
      </c>
      <c r="W259" s="2">
        <v>3100</v>
      </c>
      <c r="X259" s="2">
        <v>2539</v>
      </c>
      <c r="Y259" s="2">
        <v>2061</v>
      </c>
      <c r="Z259" s="2">
        <v>0</v>
      </c>
      <c r="AA259" s="2">
        <v>0</v>
      </c>
      <c r="AC259" s="2">
        <v>0</v>
      </c>
      <c r="AD259" s="2">
        <v>0</v>
      </c>
      <c r="AE259" s="2">
        <v>0</v>
      </c>
      <c r="AF259" s="2">
        <v>0</v>
      </c>
      <c r="AG259" s="2">
        <v>0</v>
      </c>
      <c r="AI259" s="2">
        <v>-1963</v>
      </c>
      <c r="AJ259" s="2">
        <v>-1743</v>
      </c>
      <c r="AK259" s="2">
        <v>-1359</v>
      </c>
      <c r="AL259" s="2">
        <v>-895</v>
      </c>
      <c r="AM259" s="2">
        <v>0</v>
      </c>
    </row>
    <row r="260" spans="1:39">
      <c r="A260" s="335">
        <v>92421</v>
      </c>
      <c r="B260" s="328" t="s">
        <v>946</v>
      </c>
      <c r="C260" s="239">
        <v>1.6399999999999999E-5</v>
      </c>
      <c r="E260" s="2">
        <v>10865</v>
      </c>
      <c r="F260" s="2">
        <v>5682</v>
      </c>
      <c r="G260" s="2">
        <v>6871</v>
      </c>
      <c r="H260" s="2">
        <v>2777</v>
      </c>
      <c r="I260" s="2">
        <v>0</v>
      </c>
      <c r="K260" s="2">
        <v>2457</v>
      </c>
      <c r="L260" s="2">
        <v>2311</v>
      </c>
      <c r="M260" s="2">
        <v>2071</v>
      </c>
      <c r="N260" s="2">
        <v>829</v>
      </c>
      <c r="O260" s="2">
        <v>0</v>
      </c>
      <c r="Q260" s="2">
        <v>2608</v>
      </c>
      <c r="R260" s="2">
        <v>-2244</v>
      </c>
      <c r="S260" s="2">
        <v>316</v>
      </c>
      <c r="T260" s="2">
        <v>412</v>
      </c>
      <c r="U260" s="2">
        <v>0</v>
      </c>
      <c r="W260" s="2">
        <v>2938</v>
      </c>
      <c r="X260" s="2">
        <v>2407</v>
      </c>
      <c r="Y260" s="2">
        <v>1954</v>
      </c>
      <c r="Z260" s="2">
        <v>0</v>
      </c>
      <c r="AA260" s="2">
        <v>0</v>
      </c>
      <c r="AC260" s="2">
        <v>3206</v>
      </c>
      <c r="AD260" s="2">
        <v>3208</v>
      </c>
      <c r="AE260" s="2">
        <v>2530</v>
      </c>
      <c r="AF260" s="2">
        <v>1536</v>
      </c>
      <c r="AG260" s="2">
        <v>0</v>
      </c>
      <c r="AI260" s="2">
        <v>-344</v>
      </c>
      <c r="AJ260" s="2">
        <v>0</v>
      </c>
      <c r="AK260" s="2">
        <v>0</v>
      </c>
      <c r="AL260" s="2">
        <v>0</v>
      </c>
      <c r="AM260" s="2">
        <v>0</v>
      </c>
    </row>
    <row r="261" spans="1:39">
      <c r="A261" s="335">
        <v>92427</v>
      </c>
      <c r="B261" s="328" t="s">
        <v>947</v>
      </c>
      <c r="C261" s="239">
        <v>1.9E-6</v>
      </c>
      <c r="E261" s="2">
        <v>1877</v>
      </c>
      <c r="F261" s="2">
        <v>1057</v>
      </c>
      <c r="G261" s="2">
        <v>1068</v>
      </c>
      <c r="H261" s="2">
        <v>282</v>
      </c>
      <c r="I261" s="2">
        <v>0</v>
      </c>
      <c r="K261" s="2">
        <v>285</v>
      </c>
      <c r="L261" s="2">
        <v>268</v>
      </c>
      <c r="M261" s="2">
        <v>240</v>
      </c>
      <c r="N261" s="2">
        <v>96</v>
      </c>
      <c r="O261" s="2">
        <v>0</v>
      </c>
      <c r="Q261" s="2">
        <v>302</v>
      </c>
      <c r="R261" s="2">
        <v>-260</v>
      </c>
      <c r="S261" s="2">
        <v>37</v>
      </c>
      <c r="T261" s="2">
        <v>48</v>
      </c>
      <c r="U261" s="2">
        <v>0</v>
      </c>
      <c r="W261" s="2">
        <v>340</v>
      </c>
      <c r="X261" s="2">
        <v>279</v>
      </c>
      <c r="Y261" s="2">
        <v>226</v>
      </c>
      <c r="Z261" s="2">
        <v>0</v>
      </c>
      <c r="AA261" s="2">
        <v>0</v>
      </c>
      <c r="AC261" s="2">
        <v>950</v>
      </c>
      <c r="AD261" s="2">
        <v>770</v>
      </c>
      <c r="AE261" s="2">
        <v>565</v>
      </c>
      <c r="AF261" s="2">
        <v>138</v>
      </c>
      <c r="AG261" s="2">
        <v>0</v>
      </c>
      <c r="AI261" s="2">
        <v>0</v>
      </c>
      <c r="AJ261" s="2">
        <v>0</v>
      </c>
      <c r="AK261" s="2">
        <v>0</v>
      </c>
      <c r="AL261" s="2">
        <v>0</v>
      </c>
      <c r="AM261" s="2">
        <v>0</v>
      </c>
    </row>
    <row r="262" spans="1:39">
      <c r="A262" s="335">
        <v>92431</v>
      </c>
      <c r="B262" s="328" t="s">
        <v>948</v>
      </c>
      <c r="C262" s="239">
        <v>2.6999999999999999E-5</v>
      </c>
      <c r="E262" s="2">
        <v>17359</v>
      </c>
      <c r="F262" s="2">
        <v>9195</v>
      </c>
      <c r="G262" s="2">
        <v>8546</v>
      </c>
      <c r="H262" s="2">
        <v>3860</v>
      </c>
      <c r="I262" s="2">
        <v>0</v>
      </c>
      <c r="K262" s="2">
        <v>4045</v>
      </c>
      <c r="L262" s="2">
        <v>3805</v>
      </c>
      <c r="M262" s="2">
        <v>3410</v>
      </c>
      <c r="N262" s="2">
        <v>1365</v>
      </c>
      <c r="O262" s="2">
        <v>0</v>
      </c>
      <c r="Q262" s="2">
        <v>4294</v>
      </c>
      <c r="R262" s="2">
        <v>-3694</v>
      </c>
      <c r="S262" s="2">
        <v>521</v>
      </c>
      <c r="T262" s="2">
        <v>678</v>
      </c>
      <c r="U262" s="2">
        <v>0</v>
      </c>
      <c r="W262" s="2">
        <v>4837</v>
      </c>
      <c r="X262" s="2">
        <v>3963</v>
      </c>
      <c r="Y262" s="2">
        <v>3217</v>
      </c>
      <c r="Z262" s="2">
        <v>0</v>
      </c>
      <c r="AA262" s="2">
        <v>0</v>
      </c>
      <c r="AC262" s="2">
        <v>5542</v>
      </c>
      <c r="AD262" s="2">
        <v>5541</v>
      </c>
      <c r="AE262" s="2">
        <v>1817</v>
      </c>
      <c r="AF262" s="2">
        <v>1817</v>
      </c>
      <c r="AG262" s="2">
        <v>0</v>
      </c>
      <c r="AI262" s="2">
        <v>-1359</v>
      </c>
      <c r="AJ262" s="2">
        <v>-420</v>
      </c>
      <c r="AK262" s="2">
        <v>-419</v>
      </c>
      <c r="AL262" s="2">
        <v>0</v>
      </c>
      <c r="AM262" s="2">
        <v>0</v>
      </c>
    </row>
    <row r="263" spans="1:39">
      <c r="A263" s="335">
        <v>92441</v>
      </c>
      <c r="B263" s="328" t="s">
        <v>949</v>
      </c>
      <c r="C263" s="239">
        <v>8.6500000000000002E-5</v>
      </c>
      <c r="E263" s="2">
        <v>39815</v>
      </c>
      <c r="F263" s="2">
        <v>11760</v>
      </c>
      <c r="G263" s="2">
        <v>23532</v>
      </c>
      <c r="H263" s="2">
        <v>3341</v>
      </c>
      <c r="I263" s="2">
        <v>0</v>
      </c>
      <c r="K263" s="2">
        <v>12958</v>
      </c>
      <c r="L263" s="2">
        <v>12190</v>
      </c>
      <c r="M263" s="2">
        <v>10925</v>
      </c>
      <c r="N263" s="2">
        <v>4374</v>
      </c>
      <c r="O263" s="2">
        <v>0</v>
      </c>
      <c r="Q263" s="2">
        <v>13757</v>
      </c>
      <c r="R263" s="2">
        <v>-11834</v>
      </c>
      <c r="S263" s="2">
        <v>1668</v>
      </c>
      <c r="T263" s="2">
        <v>2171</v>
      </c>
      <c r="U263" s="2">
        <v>0</v>
      </c>
      <c r="W263" s="2">
        <v>15498</v>
      </c>
      <c r="X263" s="2">
        <v>12696</v>
      </c>
      <c r="Y263" s="2">
        <v>10307</v>
      </c>
      <c r="Z263" s="2">
        <v>0</v>
      </c>
      <c r="AA263" s="2">
        <v>0</v>
      </c>
      <c r="AC263" s="2">
        <v>3834</v>
      </c>
      <c r="AD263" s="2">
        <v>3834</v>
      </c>
      <c r="AE263" s="2">
        <v>3836</v>
      </c>
      <c r="AF263" s="2">
        <v>0</v>
      </c>
      <c r="AG263" s="2">
        <v>0</v>
      </c>
      <c r="AI263" s="2">
        <v>-6232</v>
      </c>
      <c r="AJ263" s="2">
        <v>-5126</v>
      </c>
      <c r="AK263" s="2">
        <v>-3204</v>
      </c>
      <c r="AL263" s="2">
        <v>-3204</v>
      </c>
      <c r="AM263" s="2">
        <v>0</v>
      </c>
    </row>
    <row r="264" spans="1:39">
      <c r="A264" s="335">
        <v>92444</v>
      </c>
      <c r="B264" s="328" t="s">
        <v>950</v>
      </c>
      <c r="C264" s="239">
        <v>5.1000000000000003E-6</v>
      </c>
      <c r="E264" s="2">
        <v>4421</v>
      </c>
      <c r="F264" s="2">
        <v>2473</v>
      </c>
      <c r="G264" s="2">
        <v>2832</v>
      </c>
      <c r="H264" s="2">
        <v>1415</v>
      </c>
      <c r="I264" s="2">
        <v>0</v>
      </c>
      <c r="K264" s="2">
        <v>764</v>
      </c>
      <c r="L264" s="2">
        <v>719</v>
      </c>
      <c r="M264" s="2">
        <v>644</v>
      </c>
      <c r="N264" s="2">
        <v>258</v>
      </c>
      <c r="O264" s="2">
        <v>0</v>
      </c>
      <c r="Q264" s="2">
        <v>811</v>
      </c>
      <c r="R264" s="2">
        <v>-698</v>
      </c>
      <c r="S264" s="2">
        <v>98</v>
      </c>
      <c r="T264" s="2">
        <v>128</v>
      </c>
      <c r="U264" s="2">
        <v>0</v>
      </c>
      <c r="W264" s="2">
        <v>914</v>
      </c>
      <c r="X264" s="2">
        <v>749</v>
      </c>
      <c r="Y264" s="2">
        <v>608</v>
      </c>
      <c r="Z264" s="2">
        <v>0</v>
      </c>
      <c r="AA264" s="2">
        <v>0</v>
      </c>
      <c r="AC264" s="2">
        <v>1932</v>
      </c>
      <c r="AD264" s="2">
        <v>1703</v>
      </c>
      <c r="AE264" s="2">
        <v>1482</v>
      </c>
      <c r="AF264" s="2">
        <v>1029</v>
      </c>
      <c r="AG264" s="2">
        <v>0</v>
      </c>
      <c r="AI264" s="2">
        <v>0</v>
      </c>
      <c r="AJ264" s="2">
        <v>0</v>
      </c>
      <c r="AK264" s="2">
        <v>0</v>
      </c>
      <c r="AL264" s="2">
        <v>0</v>
      </c>
      <c r="AM264" s="2">
        <v>0</v>
      </c>
    </row>
    <row r="265" spans="1:39">
      <c r="A265" s="335">
        <v>92451</v>
      </c>
      <c r="B265" s="328" t="s">
        <v>951</v>
      </c>
      <c r="C265" s="239">
        <v>1.143E-4</v>
      </c>
      <c r="E265" s="2">
        <v>67254</v>
      </c>
      <c r="F265" s="2">
        <v>23500</v>
      </c>
      <c r="G265" s="2">
        <v>35427</v>
      </c>
      <c r="H265" s="2">
        <v>10972</v>
      </c>
      <c r="I265" s="2">
        <v>0</v>
      </c>
      <c r="K265" s="2">
        <v>17123</v>
      </c>
      <c r="L265" s="2">
        <v>16107</v>
      </c>
      <c r="M265" s="2">
        <v>14437</v>
      </c>
      <c r="N265" s="2">
        <v>5780</v>
      </c>
      <c r="O265" s="2">
        <v>0</v>
      </c>
      <c r="Q265" s="2">
        <v>18178</v>
      </c>
      <c r="R265" s="2">
        <v>-15637</v>
      </c>
      <c r="S265" s="2">
        <v>2204</v>
      </c>
      <c r="T265" s="2">
        <v>2868</v>
      </c>
      <c r="U265" s="2">
        <v>0</v>
      </c>
      <c r="W265" s="2">
        <v>20478</v>
      </c>
      <c r="X265" s="2">
        <v>16776</v>
      </c>
      <c r="Y265" s="2">
        <v>13620</v>
      </c>
      <c r="Z265" s="2">
        <v>0</v>
      </c>
      <c r="AA265" s="2">
        <v>0</v>
      </c>
      <c r="AC265" s="2">
        <v>11475</v>
      </c>
      <c r="AD265" s="2">
        <v>6254</v>
      </c>
      <c r="AE265" s="2">
        <v>5166</v>
      </c>
      <c r="AF265" s="2">
        <v>2324</v>
      </c>
      <c r="AG265" s="2">
        <v>0</v>
      </c>
      <c r="AI265" s="2">
        <v>0</v>
      </c>
      <c r="AJ265" s="2">
        <v>0</v>
      </c>
      <c r="AK265" s="2">
        <v>0</v>
      </c>
      <c r="AL265" s="2">
        <v>0</v>
      </c>
      <c r="AM265" s="2">
        <v>0</v>
      </c>
    </row>
    <row r="266" spans="1:39">
      <c r="A266" s="335">
        <v>92461</v>
      </c>
      <c r="B266" s="328" t="s">
        <v>952</v>
      </c>
      <c r="C266" s="239">
        <v>5.8400000000000003E-5</v>
      </c>
      <c r="E266" s="2">
        <v>33881</v>
      </c>
      <c r="F266" s="2">
        <v>11886</v>
      </c>
      <c r="G266" s="2">
        <v>17208</v>
      </c>
      <c r="H266" s="2">
        <v>4800</v>
      </c>
      <c r="I266" s="2">
        <v>0</v>
      </c>
      <c r="K266" s="2">
        <v>8749</v>
      </c>
      <c r="L266" s="2">
        <v>8230</v>
      </c>
      <c r="M266" s="2">
        <v>7376</v>
      </c>
      <c r="N266" s="2">
        <v>2953</v>
      </c>
      <c r="O266" s="2">
        <v>0</v>
      </c>
      <c r="Q266" s="2">
        <v>9288</v>
      </c>
      <c r="R266" s="2">
        <v>-7989</v>
      </c>
      <c r="S266" s="2">
        <v>1126</v>
      </c>
      <c r="T266" s="2">
        <v>1465</v>
      </c>
      <c r="U266" s="2">
        <v>0</v>
      </c>
      <c r="W266" s="2">
        <v>10463</v>
      </c>
      <c r="X266" s="2">
        <v>8572</v>
      </c>
      <c r="Y266" s="2">
        <v>6959</v>
      </c>
      <c r="Z266" s="2">
        <v>0</v>
      </c>
      <c r="AA266" s="2">
        <v>0</v>
      </c>
      <c r="AC266" s="2">
        <v>5381</v>
      </c>
      <c r="AD266" s="2">
        <v>3073</v>
      </c>
      <c r="AE266" s="2">
        <v>1747</v>
      </c>
      <c r="AF266" s="2">
        <v>382</v>
      </c>
      <c r="AG266" s="2">
        <v>0</v>
      </c>
      <c r="AI266" s="2">
        <v>0</v>
      </c>
      <c r="AJ266" s="2">
        <v>0</v>
      </c>
      <c r="AK266" s="2">
        <v>0</v>
      </c>
      <c r="AL266" s="2">
        <v>0</v>
      </c>
      <c r="AM266" s="2">
        <v>0</v>
      </c>
    </row>
    <row r="267" spans="1:39">
      <c r="A267" s="335">
        <v>92501</v>
      </c>
      <c r="B267" s="328" t="s">
        <v>953</v>
      </c>
      <c r="C267" s="239">
        <v>3.7055999999999999E-3</v>
      </c>
      <c r="E267" s="2">
        <v>1883183</v>
      </c>
      <c r="F267" s="2">
        <v>627480</v>
      </c>
      <c r="G267" s="2">
        <v>1024813</v>
      </c>
      <c r="H267" s="2">
        <v>301797</v>
      </c>
      <c r="I267" s="2">
        <v>0</v>
      </c>
      <c r="K267" s="2">
        <v>555125</v>
      </c>
      <c r="L267" s="2">
        <v>522193</v>
      </c>
      <c r="M267" s="2">
        <v>468036</v>
      </c>
      <c r="N267" s="2">
        <v>187396</v>
      </c>
      <c r="O267" s="2">
        <v>0</v>
      </c>
      <c r="Q267" s="2">
        <v>589342</v>
      </c>
      <c r="R267" s="2">
        <v>-506945</v>
      </c>
      <c r="S267" s="2">
        <v>71448</v>
      </c>
      <c r="T267" s="2">
        <v>92988</v>
      </c>
      <c r="U267" s="2">
        <v>0</v>
      </c>
      <c r="W267" s="2">
        <v>663903</v>
      </c>
      <c r="X267" s="2">
        <v>543893</v>
      </c>
      <c r="Y267" s="2">
        <v>441548</v>
      </c>
      <c r="Z267" s="2">
        <v>0</v>
      </c>
      <c r="AA267" s="2">
        <v>0</v>
      </c>
      <c r="AC267" s="2">
        <v>74813</v>
      </c>
      <c r="AD267" s="2">
        <v>68339</v>
      </c>
      <c r="AE267" s="2">
        <v>43781</v>
      </c>
      <c r="AF267" s="2">
        <v>21413</v>
      </c>
      <c r="AG267" s="2">
        <v>0</v>
      </c>
      <c r="AI267" s="2">
        <v>0</v>
      </c>
      <c r="AJ267" s="2">
        <v>0</v>
      </c>
      <c r="AK267" s="2">
        <v>0</v>
      </c>
      <c r="AL267" s="2">
        <v>0</v>
      </c>
      <c r="AM267" s="2">
        <v>0</v>
      </c>
    </row>
    <row r="268" spans="1:39">
      <c r="A268" s="335">
        <v>92502</v>
      </c>
      <c r="B268" s="328" t="s">
        <v>3682</v>
      </c>
      <c r="C268" s="239">
        <v>2.3600000000000001E-5</v>
      </c>
      <c r="E268" s="2">
        <v>13229</v>
      </c>
      <c r="F268" s="2">
        <v>4196</v>
      </c>
      <c r="G268" s="2">
        <v>6792</v>
      </c>
      <c r="H268" s="2">
        <v>2122</v>
      </c>
      <c r="I268" s="2">
        <v>0</v>
      </c>
      <c r="K268" s="2">
        <v>3535</v>
      </c>
      <c r="L268" s="2">
        <v>3326</v>
      </c>
      <c r="M268" s="2">
        <v>2981</v>
      </c>
      <c r="N268" s="2">
        <v>1193</v>
      </c>
      <c r="O268" s="2">
        <v>0</v>
      </c>
      <c r="Q268" s="2">
        <v>3753</v>
      </c>
      <c r="R268" s="2">
        <v>-3229</v>
      </c>
      <c r="S268" s="2">
        <v>455</v>
      </c>
      <c r="T268" s="2">
        <v>592</v>
      </c>
      <c r="U268" s="2">
        <v>0</v>
      </c>
      <c r="W268" s="2">
        <v>4228</v>
      </c>
      <c r="X268" s="2">
        <v>3464</v>
      </c>
      <c r="Y268" s="2">
        <v>2812</v>
      </c>
      <c r="Z268" s="2">
        <v>0</v>
      </c>
      <c r="AA268" s="2">
        <v>0</v>
      </c>
      <c r="AC268" s="2">
        <v>1713</v>
      </c>
      <c r="AD268" s="2">
        <v>635</v>
      </c>
      <c r="AE268" s="2">
        <v>544</v>
      </c>
      <c r="AF268" s="2">
        <v>337</v>
      </c>
      <c r="AG268" s="2">
        <v>0</v>
      </c>
      <c r="AI268" s="2">
        <v>0</v>
      </c>
      <c r="AJ268" s="2">
        <v>0</v>
      </c>
      <c r="AK268" s="2">
        <v>0</v>
      </c>
      <c r="AL268" s="2">
        <v>0</v>
      </c>
      <c r="AM268" s="2">
        <v>0</v>
      </c>
    </row>
    <row r="269" spans="1:39">
      <c r="A269" s="335">
        <v>92504</v>
      </c>
      <c r="B269" s="328" t="s">
        <v>3683</v>
      </c>
      <c r="C269" s="239">
        <v>7.6299999999999998E-5</v>
      </c>
      <c r="E269" s="2">
        <v>46748</v>
      </c>
      <c r="F269" s="2">
        <v>19562</v>
      </c>
      <c r="G269" s="2">
        <v>24129</v>
      </c>
      <c r="H269" s="2">
        <v>8282</v>
      </c>
      <c r="I269" s="2">
        <v>0</v>
      </c>
      <c r="K269" s="2">
        <v>11430</v>
      </c>
      <c r="L269" s="2">
        <v>10752</v>
      </c>
      <c r="M269" s="2">
        <v>9637</v>
      </c>
      <c r="N269" s="2">
        <v>3859</v>
      </c>
      <c r="O269" s="2">
        <v>0</v>
      </c>
      <c r="Q269" s="2">
        <v>12135</v>
      </c>
      <c r="R269" s="2">
        <v>-10438</v>
      </c>
      <c r="S269" s="2">
        <v>1471</v>
      </c>
      <c r="T269" s="2">
        <v>1915</v>
      </c>
      <c r="U269" s="2">
        <v>0</v>
      </c>
      <c r="W269" s="2">
        <v>13670</v>
      </c>
      <c r="X269" s="2">
        <v>11199</v>
      </c>
      <c r="Y269" s="2">
        <v>9092</v>
      </c>
      <c r="Z269" s="2">
        <v>0</v>
      </c>
      <c r="AA269" s="2">
        <v>0</v>
      </c>
      <c r="AC269" s="2">
        <v>9513</v>
      </c>
      <c r="AD269" s="2">
        <v>8049</v>
      </c>
      <c r="AE269" s="2">
        <v>3929</v>
      </c>
      <c r="AF269" s="2">
        <v>2508</v>
      </c>
      <c r="AG269" s="2">
        <v>0</v>
      </c>
      <c r="AI269" s="2">
        <v>0</v>
      </c>
      <c r="AJ269" s="2">
        <v>0</v>
      </c>
      <c r="AK269" s="2">
        <v>0</v>
      </c>
      <c r="AL269" s="2">
        <v>0</v>
      </c>
      <c r="AM269" s="2">
        <v>0</v>
      </c>
    </row>
    <row r="270" spans="1:39">
      <c r="A270" s="335">
        <v>92505</v>
      </c>
      <c r="B270" s="328" t="s">
        <v>956</v>
      </c>
      <c r="C270" s="239">
        <v>1.7090000000000001E-4</v>
      </c>
      <c r="E270" s="2">
        <v>106928</v>
      </c>
      <c r="F270" s="2">
        <v>45235</v>
      </c>
      <c r="G270" s="2">
        <v>57644</v>
      </c>
      <c r="H270" s="2">
        <v>19330</v>
      </c>
      <c r="I270" s="2">
        <v>0</v>
      </c>
      <c r="K270" s="2">
        <v>25602</v>
      </c>
      <c r="L270" s="2">
        <v>24083</v>
      </c>
      <c r="M270" s="2">
        <v>21586</v>
      </c>
      <c r="N270" s="2">
        <v>8643</v>
      </c>
      <c r="O270" s="2">
        <v>0</v>
      </c>
      <c r="Q270" s="2">
        <v>27180</v>
      </c>
      <c r="R270" s="2">
        <v>-23380</v>
      </c>
      <c r="S270" s="2">
        <v>3295</v>
      </c>
      <c r="T270" s="2">
        <v>4289</v>
      </c>
      <c r="U270" s="2">
        <v>0</v>
      </c>
      <c r="W270" s="2">
        <v>30619</v>
      </c>
      <c r="X270" s="2">
        <v>25084</v>
      </c>
      <c r="Y270" s="2">
        <v>20364</v>
      </c>
      <c r="Z270" s="2">
        <v>0</v>
      </c>
      <c r="AA270" s="2">
        <v>0</v>
      </c>
      <c r="AC270" s="2">
        <v>23527</v>
      </c>
      <c r="AD270" s="2">
        <v>19448</v>
      </c>
      <c r="AE270" s="2">
        <v>12399</v>
      </c>
      <c r="AF270" s="2">
        <v>6398</v>
      </c>
      <c r="AG270" s="2">
        <v>0</v>
      </c>
      <c r="AI270" s="2">
        <v>0</v>
      </c>
      <c r="AJ270" s="2">
        <v>0</v>
      </c>
      <c r="AK270" s="2">
        <v>0</v>
      </c>
      <c r="AL270" s="2">
        <v>0</v>
      </c>
      <c r="AM270" s="2">
        <v>0</v>
      </c>
    </row>
    <row r="271" spans="1:39">
      <c r="A271" s="335">
        <v>92506</v>
      </c>
      <c r="B271" s="328" t="s">
        <v>957</v>
      </c>
      <c r="C271" s="239">
        <v>5.38E-5</v>
      </c>
      <c r="E271" s="2">
        <v>32405</v>
      </c>
      <c r="F271" s="2">
        <v>12699</v>
      </c>
      <c r="G271" s="2">
        <v>17233</v>
      </c>
      <c r="H271" s="2">
        <v>3737</v>
      </c>
      <c r="I271" s="2">
        <v>0</v>
      </c>
      <c r="K271" s="2">
        <v>8060</v>
      </c>
      <c r="L271" s="2">
        <v>7581</v>
      </c>
      <c r="M271" s="2">
        <v>6795</v>
      </c>
      <c r="N271" s="2">
        <v>2721</v>
      </c>
      <c r="O271" s="2">
        <v>0</v>
      </c>
      <c r="Q271" s="2">
        <v>8556</v>
      </c>
      <c r="R271" s="2">
        <v>-7360</v>
      </c>
      <c r="S271" s="2">
        <v>1037</v>
      </c>
      <c r="T271" s="2">
        <v>1350</v>
      </c>
      <c r="U271" s="2">
        <v>0</v>
      </c>
      <c r="W271" s="2">
        <v>9639</v>
      </c>
      <c r="X271" s="2">
        <v>7897</v>
      </c>
      <c r="Y271" s="2">
        <v>6411</v>
      </c>
      <c r="Z271" s="2">
        <v>0</v>
      </c>
      <c r="AA271" s="2">
        <v>0</v>
      </c>
      <c r="AC271" s="2">
        <v>6483</v>
      </c>
      <c r="AD271" s="2">
        <v>4914</v>
      </c>
      <c r="AE271" s="2">
        <v>3323</v>
      </c>
      <c r="AF271" s="2">
        <v>0</v>
      </c>
      <c r="AG271" s="2">
        <v>0</v>
      </c>
      <c r="AI271" s="2">
        <v>-333</v>
      </c>
      <c r="AJ271" s="2">
        <v>-333</v>
      </c>
      <c r="AK271" s="2">
        <v>-333</v>
      </c>
      <c r="AL271" s="2">
        <v>-334</v>
      </c>
      <c r="AM271" s="2">
        <v>0</v>
      </c>
    </row>
    <row r="272" spans="1:39">
      <c r="A272" s="335">
        <v>92507</v>
      </c>
      <c r="B272" s="328" t="s">
        <v>958</v>
      </c>
      <c r="C272" s="239">
        <v>1.01E-4</v>
      </c>
      <c r="E272" s="2">
        <v>47558</v>
      </c>
      <c r="F272" s="2">
        <v>16359</v>
      </c>
      <c r="G272" s="2">
        <v>25326</v>
      </c>
      <c r="H272" s="2">
        <v>8098</v>
      </c>
      <c r="I272" s="2">
        <v>0</v>
      </c>
      <c r="K272" s="2">
        <v>15131</v>
      </c>
      <c r="L272" s="2">
        <v>14233</v>
      </c>
      <c r="M272" s="2">
        <v>12757</v>
      </c>
      <c r="N272" s="2">
        <v>5108</v>
      </c>
      <c r="O272" s="2">
        <v>0</v>
      </c>
      <c r="Q272" s="2">
        <v>16063</v>
      </c>
      <c r="R272" s="2">
        <v>-13817</v>
      </c>
      <c r="S272" s="2">
        <v>1947</v>
      </c>
      <c r="T272" s="2">
        <v>2534</v>
      </c>
      <c r="U272" s="2">
        <v>0</v>
      </c>
      <c r="W272" s="2">
        <v>18095</v>
      </c>
      <c r="X272" s="2">
        <v>14824</v>
      </c>
      <c r="Y272" s="2">
        <v>12035</v>
      </c>
      <c r="Z272" s="2">
        <v>0</v>
      </c>
      <c r="AA272" s="2">
        <v>0</v>
      </c>
      <c r="AC272" s="2">
        <v>2987</v>
      </c>
      <c r="AD272" s="2">
        <v>2988</v>
      </c>
      <c r="AE272" s="2">
        <v>456</v>
      </c>
      <c r="AF272" s="2">
        <v>456</v>
      </c>
      <c r="AG272" s="2">
        <v>0</v>
      </c>
      <c r="AI272" s="2">
        <v>-4718</v>
      </c>
      <c r="AJ272" s="2">
        <v>-1869</v>
      </c>
      <c r="AK272" s="2">
        <v>-1869</v>
      </c>
      <c r="AL272" s="2">
        <v>0</v>
      </c>
      <c r="AM272" s="2">
        <v>0</v>
      </c>
    </row>
    <row r="273" spans="1:39">
      <c r="A273" s="335">
        <v>92508</v>
      </c>
      <c r="B273" s="328" t="s">
        <v>3684</v>
      </c>
      <c r="C273" s="239">
        <v>3.102E-4</v>
      </c>
      <c r="E273" s="2">
        <v>160214</v>
      </c>
      <c r="F273" s="2">
        <v>56063</v>
      </c>
      <c r="G273" s="2">
        <v>90999</v>
      </c>
      <c r="H273" s="2">
        <v>30918</v>
      </c>
      <c r="I273" s="2">
        <v>0</v>
      </c>
      <c r="K273" s="2">
        <v>46470</v>
      </c>
      <c r="L273" s="2">
        <v>43713</v>
      </c>
      <c r="M273" s="2">
        <v>39180</v>
      </c>
      <c r="N273" s="2">
        <v>15687</v>
      </c>
      <c r="O273" s="2">
        <v>0</v>
      </c>
      <c r="Q273" s="2">
        <v>49335</v>
      </c>
      <c r="R273" s="2">
        <v>-42437</v>
      </c>
      <c r="S273" s="2">
        <v>5981</v>
      </c>
      <c r="T273" s="2">
        <v>7784</v>
      </c>
      <c r="U273" s="2">
        <v>0</v>
      </c>
      <c r="W273" s="2">
        <v>55576</v>
      </c>
      <c r="X273" s="2">
        <v>45530</v>
      </c>
      <c r="Y273" s="2">
        <v>36963</v>
      </c>
      <c r="Z273" s="2">
        <v>0</v>
      </c>
      <c r="AA273" s="2">
        <v>0</v>
      </c>
      <c r="AC273" s="2">
        <v>9256</v>
      </c>
      <c r="AD273" s="2">
        <v>9257</v>
      </c>
      <c r="AE273" s="2">
        <v>8875</v>
      </c>
      <c r="AF273" s="2">
        <v>7447</v>
      </c>
      <c r="AG273" s="2">
        <v>0</v>
      </c>
      <c r="AI273" s="2">
        <v>-423</v>
      </c>
      <c r="AJ273" s="2">
        <v>0</v>
      </c>
      <c r="AK273" s="2">
        <v>0</v>
      </c>
      <c r="AL273" s="2">
        <v>0</v>
      </c>
      <c r="AM273" s="2">
        <v>0</v>
      </c>
    </row>
    <row r="274" spans="1:39">
      <c r="A274" s="335">
        <v>92511</v>
      </c>
      <c r="B274" s="328" t="s">
        <v>960</v>
      </c>
      <c r="C274" s="239">
        <v>3.5699999999999998E-3</v>
      </c>
      <c r="E274" s="2">
        <v>1732826</v>
      </c>
      <c r="F274" s="2">
        <v>569271</v>
      </c>
      <c r="G274" s="2">
        <v>991509</v>
      </c>
      <c r="H274" s="2">
        <v>313556</v>
      </c>
      <c r="I274" s="2">
        <v>0</v>
      </c>
      <c r="K274" s="2">
        <v>534811</v>
      </c>
      <c r="L274" s="2">
        <v>503084</v>
      </c>
      <c r="M274" s="2">
        <v>450909</v>
      </c>
      <c r="N274" s="2">
        <v>180538</v>
      </c>
      <c r="O274" s="2">
        <v>0</v>
      </c>
      <c r="Q274" s="2">
        <v>567776</v>
      </c>
      <c r="R274" s="2">
        <v>-488394</v>
      </c>
      <c r="S274" s="2">
        <v>68833</v>
      </c>
      <c r="T274" s="2">
        <v>89586</v>
      </c>
      <c r="U274" s="2">
        <v>0</v>
      </c>
      <c r="W274" s="2">
        <v>639608</v>
      </c>
      <c r="X274" s="2">
        <v>523990</v>
      </c>
      <c r="Y274" s="2">
        <v>425390</v>
      </c>
      <c r="Z274" s="2">
        <v>0</v>
      </c>
      <c r="AA274" s="2">
        <v>0</v>
      </c>
      <c r="AC274" s="2">
        <v>46377</v>
      </c>
      <c r="AD274" s="2">
        <v>46377</v>
      </c>
      <c r="AE274" s="2">
        <v>46377</v>
      </c>
      <c r="AF274" s="2">
        <v>43432</v>
      </c>
      <c r="AG274" s="2">
        <v>0</v>
      </c>
      <c r="AI274" s="2">
        <v>-55746</v>
      </c>
      <c r="AJ274" s="2">
        <v>-15786</v>
      </c>
      <c r="AK274" s="2">
        <v>0</v>
      </c>
      <c r="AL274" s="2">
        <v>0</v>
      </c>
      <c r="AM274" s="2">
        <v>0</v>
      </c>
    </row>
    <row r="275" spans="1:39">
      <c r="A275" s="335">
        <v>92521</v>
      </c>
      <c r="B275" s="328" t="s">
        <v>962</v>
      </c>
      <c r="C275" s="239">
        <v>7.7399999999999998E-5</v>
      </c>
      <c r="E275" s="2">
        <v>33044</v>
      </c>
      <c r="F275" s="2">
        <v>8507</v>
      </c>
      <c r="G275" s="2">
        <v>18310</v>
      </c>
      <c r="H275" s="2">
        <v>4113</v>
      </c>
      <c r="I275" s="2">
        <v>0</v>
      </c>
      <c r="K275" s="2">
        <v>11595</v>
      </c>
      <c r="L275" s="2">
        <v>10907</v>
      </c>
      <c r="M275" s="2">
        <v>9776</v>
      </c>
      <c r="N275" s="2">
        <v>3914</v>
      </c>
      <c r="O275" s="2">
        <v>0</v>
      </c>
      <c r="Q275" s="2">
        <v>12310</v>
      </c>
      <c r="R275" s="2">
        <v>-10589</v>
      </c>
      <c r="S275" s="2">
        <v>1492</v>
      </c>
      <c r="T275" s="2">
        <v>1942</v>
      </c>
      <c r="U275" s="2">
        <v>0</v>
      </c>
      <c r="W275" s="2">
        <v>13867</v>
      </c>
      <c r="X275" s="2">
        <v>11360</v>
      </c>
      <c r="Y275" s="2">
        <v>9223</v>
      </c>
      <c r="Z275" s="2">
        <v>0</v>
      </c>
      <c r="AA275" s="2">
        <v>0</v>
      </c>
      <c r="AC275" s="2">
        <v>0</v>
      </c>
      <c r="AD275" s="2">
        <v>0</v>
      </c>
      <c r="AE275" s="2">
        <v>0</v>
      </c>
      <c r="AF275" s="2">
        <v>0</v>
      </c>
      <c r="AG275" s="2">
        <v>0</v>
      </c>
      <c r="AI275" s="2">
        <v>-4728</v>
      </c>
      <c r="AJ275" s="2">
        <v>-3171</v>
      </c>
      <c r="AK275" s="2">
        <v>-2181</v>
      </c>
      <c r="AL275" s="2">
        <v>-1743</v>
      </c>
      <c r="AM275" s="2">
        <v>0</v>
      </c>
    </row>
    <row r="276" spans="1:39">
      <c r="A276" s="335">
        <v>92531</v>
      </c>
      <c r="B276" s="328" t="s">
        <v>963</v>
      </c>
      <c r="C276" s="239">
        <v>8.2580000000000001E-4</v>
      </c>
      <c r="E276" s="2">
        <v>359951</v>
      </c>
      <c r="F276" s="2">
        <v>99488</v>
      </c>
      <c r="G276" s="2">
        <v>196685</v>
      </c>
      <c r="H276" s="2">
        <v>52735</v>
      </c>
      <c r="I276" s="2">
        <v>0</v>
      </c>
      <c r="K276" s="2">
        <v>123711</v>
      </c>
      <c r="L276" s="2">
        <v>116372</v>
      </c>
      <c r="M276" s="2">
        <v>104303</v>
      </c>
      <c r="N276" s="2">
        <v>41762</v>
      </c>
      <c r="O276" s="2">
        <v>0</v>
      </c>
      <c r="Q276" s="2">
        <v>131336</v>
      </c>
      <c r="R276" s="2">
        <v>-112974</v>
      </c>
      <c r="S276" s="2">
        <v>15922</v>
      </c>
      <c r="T276" s="2">
        <v>20723</v>
      </c>
      <c r="U276" s="2">
        <v>0</v>
      </c>
      <c r="W276" s="2">
        <v>147952</v>
      </c>
      <c r="X276" s="2">
        <v>121208</v>
      </c>
      <c r="Y276" s="2">
        <v>98400</v>
      </c>
      <c r="Z276" s="2">
        <v>0</v>
      </c>
      <c r="AA276" s="2">
        <v>0</v>
      </c>
      <c r="AC276" s="2">
        <v>0</v>
      </c>
      <c r="AD276" s="2">
        <v>0</v>
      </c>
      <c r="AE276" s="2">
        <v>0</v>
      </c>
      <c r="AF276" s="2">
        <v>0</v>
      </c>
      <c r="AG276" s="2">
        <v>0</v>
      </c>
      <c r="AI276" s="2">
        <v>-43048</v>
      </c>
      <c r="AJ276" s="2">
        <v>-25118</v>
      </c>
      <c r="AK276" s="2">
        <v>-21940</v>
      </c>
      <c r="AL276" s="2">
        <v>-9750</v>
      </c>
      <c r="AM276" s="2">
        <v>0</v>
      </c>
    </row>
    <row r="277" spans="1:39">
      <c r="A277" s="335">
        <v>92541</v>
      </c>
      <c r="B277" s="328" t="s">
        <v>964</v>
      </c>
      <c r="C277" s="239">
        <v>1.3740000000000001E-4</v>
      </c>
      <c r="E277" s="2">
        <v>65993</v>
      </c>
      <c r="F277" s="2">
        <v>18405</v>
      </c>
      <c r="G277" s="2">
        <v>35258</v>
      </c>
      <c r="H277" s="2">
        <v>13037</v>
      </c>
      <c r="I277" s="2">
        <v>0</v>
      </c>
      <c r="K277" s="2">
        <v>20583</v>
      </c>
      <c r="L277" s="2">
        <v>19362</v>
      </c>
      <c r="M277" s="2">
        <v>17354</v>
      </c>
      <c r="N277" s="2">
        <v>6948</v>
      </c>
      <c r="O277" s="2">
        <v>0</v>
      </c>
      <c r="Q277" s="2">
        <v>21852</v>
      </c>
      <c r="R277" s="2">
        <v>-18797</v>
      </c>
      <c r="S277" s="2">
        <v>2649</v>
      </c>
      <c r="T277" s="2">
        <v>3448</v>
      </c>
      <c r="U277" s="2">
        <v>0</v>
      </c>
      <c r="W277" s="2">
        <v>24617</v>
      </c>
      <c r="X277" s="2">
        <v>20167</v>
      </c>
      <c r="Y277" s="2">
        <v>16372</v>
      </c>
      <c r="Z277" s="2">
        <v>0</v>
      </c>
      <c r="AA277" s="2">
        <v>0</v>
      </c>
      <c r="AC277" s="2">
        <v>3909</v>
      </c>
      <c r="AD277" s="2">
        <v>2641</v>
      </c>
      <c r="AE277" s="2">
        <v>2641</v>
      </c>
      <c r="AF277" s="2">
        <v>2641</v>
      </c>
      <c r="AG277" s="2">
        <v>0</v>
      </c>
      <c r="AI277" s="2">
        <v>-4968</v>
      </c>
      <c r="AJ277" s="2">
        <v>-4968</v>
      </c>
      <c r="AK277" s="2">
        <v>-3758</v>
      </c>
      <c r="AL277" s="2">
        <v>0</v>
      </c>
      <c r="AM277" s="2">
        <v>0</v>
      </c>
    </row>
    <row r="278" spans="1:39">
      <c r="A278" s="335">
        <v>92551</v>
      </c>
      <c r="B278" s="328" t="s">
        <v>965</v>
      </c>
      <c r="C278" s="239">
        <v>5.7099999999999999E-5</v>
      </c>
      <c r="E278" s="2">
        <v>27296</v>
      </c>
      <c r="F278" s="2">
        <v>9684</v>
      </c>
      <c r="G278" s="2">
        <v>15153</v>
      </c>
      <c r="H278" s="2">
        <v>6124</v>
      </c>
      <c r="I278" s="2">
        <v>0</v>
      </c>
      <c r="K278" s="2">
        <v>8554</v>
      </c>
      <c r="L278" s="2">
        <v>8047</v>
      </c>
      <c r="M278" s="2">
        <v>7212</v>
      </c>
      <c r="N278" s="2">
        <v>2888</v>
      </c>
      <c r="O278" s="2">
        <v>0</v>
      </c>
      <c r="Q278" s="2">
        <v>9081</v>
      </c>
      <c r="R278" s="2">
        <v>-7812</v>
      </c>
      <c r="S278" s="2">
        <v>1101</v>
      </c>
      <c r="T278" s="2">
        <v>1433</v>
      </c>
      <c r="U278" s="2">
        <v>0</v>
      </c>
      <c r="W278" s="2">
        <v>10230</v>
      </c>
      <c r="X278" s="2">
        <v>8381</v>
      </c>
      <c r="Y278" s="2">
        <v>6804</v>
      </c>
      <c r="Z278" s="2">
        <v>0</v>
      </c>
      <c r="AA278" s="2">
        <v>0</v>
      </c>
      <c r="AC278" s="2">
        <v>2834</v>
      </c>
      <c r="AD278" s="2">
        <v>2835</v>
      </c>
      <c r="AE278" s="2">
        <v>1802</v>
      </c>
      <c r="AF278" s="2">
        <v>1803</v>
      </c>
      <c r="AG278" s="2">
        <v>0</v>
      </c>
      <c r="AI278" s="2">
        <v>-3403</v>
      </c>
      <c r="AJ278" s="2">
        <v>-1767</v>
      </c>
      <c r="AK278" s="2">
        <v>-1766</v>
      </c>
      <c r="AL278" s="2">
        <v>0</v>
      </c>
      <c r="AM278" s="2">
        <v>0</v>
      </c>
    </row>
    <row r="279" spans="1:39">
      <c r="A279" s="335">
        <v>92561</v>
      </c>
      <c r="B279" s="328" t="s">
        <v>966</v>
      </c>
      <c r="C279" s="239">
        <v>1.7900000000000001E-5</v>
      </c>
      <c r="E279" s="2">
        <v>9029</v>
      </c>
      <c r="F279" s="2">
        <v>2252</v>
      </c>
      <c r="G279" s="2">
        <v>4103</v>
      </c>
      <c r="H279" s="2">
        <v>750</v>
      </c>
      <c r="I279" s="2">
        <v>0</v>
      </c>
      <c r="K279" s="2">
        <v>2682</v>
      </c>
      <c r="L279" s="2">
        <v>2522</v>
      </c>
      <c r="M279" s="2">
        <v>2261</v>
      </c>
      <c r="N279" s="2">
        <v>905</v>
      </c>
      <c r="O279" s="2">
        <v>0</v>
      </c>
      <c r="Q279" s="2">
        <v>2847</v>
      </c>
      <c r="R279" s="2">
        <v>-2449</v>
      </c>
      <c r="S279" s="2">
        <v>345</v>
      </c>
      <c r="T279" s="2">
        <v>449</v>
      </c>
      <c r="U279" s="2">
        <v>0</v>
      </c>
      <c r="W279" s="2">
        <v>3207</v>
      </c>
      <c r="X279" s="2">
        <v>2627</v>
      </c>
      <c r="Y279" s="2">
        <v>2133</v>
      </c>
      <c r="Z279" s="2">
        <v>0</v>
      </c>
      <c r="AA279" s="2">
        <v>0</v>
      </c>
      <c r="AC279" s="2">
        <v>930</v>
      </c>
      <c r="AD279" s="2">
        <v>189</v>
      </c>
      <c r="AE279" s="2">
        <v>0</v>
      </c>
      <c r="AF279" s="2">
        <v>0</v>
      </c>
      <c r="AG279" s="2">
        <v>0</v>
      </c>
      <c r="AI279" s="2">
        <v>-637</v>
      </c>
      <c r="AJ279" s="2">
        <v>-637</v>
      </c>
      <c r="AK279" s="2">
        <v>-636</v>
      </c>
      <c r="AL279" s="2">
        <v>-604</v>
      </c>
      <c r="AM279" s="2">
        <v>0</v>
      </c>
    </row>
    <row r="280" spans="1:39">
      <c r="A280" s="335">
        <v>92571</v>
      </c>
      <c r="B280" s="328" t="s">
        <v>967</v>
      </c>
      <c r="C280" s="239">
        <v>8.1999999999999994E-6</v>
      </c>
      <c r="E280" s="2">
        <v>6632</v>
      </c>
      <c r="F280" s="2">
        <v>3101</v>
      </c>
      <c r="G280" s="2">
        <v>2490</v>
      </c>
      <c r="H280" s="2">
        <v>672</v>
      </c>
      <c r="I280" s="2">
        <v>0</v>
      </c>
      <c r="K280" s="2">
        <v>1228</v>
      </c>
      <c r="L280" s="2">
        <v>1156</v>
      </c>
      <c r="M280" s="2">
        <v>1036</v>
      </c>
      <c r="N280" s="2">
        <v>415</v>
      </c>
      <c r="O280" s="2">
        <v>0</v>
      </c>
      <c r="Q280" s="2">
        <v>1304</v>
      </c>
      <c r="R280" s="2">
        <v>-1122</v>
      </c>
      <c r="S280" s="2">
        <v>158</v>
      </c>
      <c r="T280" s="2">
        <v>206</v>
      </c>
      <c r="U280" s="2">
        <v>0</v>
      </c>
      <c r="W280" s="2">
        <v>1469</v>
      </c>
      <c r="X280" s="2">
        <v>1204</v>
      </c>
      <c r="Y280" s="2">
        <v>977</v>
      </c>
      <c r="Z280" s="2">
        <v>0</v>
      </c>
      <c r="AA280" s="2">
        <v>0</v>
      </c>
      <c r="AC280" s="2">
        <v>2631</v>
      </c>
      <c r="AD280" s="2">
        <v>1863</v>
      </c>
      <c r="AE280" s="2">
        <v>319</v>
      </c>
      <c r="AF280" s="2">
        <v>51</v>
      </c>
      <c r="AG280" s="2">
        <v>0</v>
      </c>
      <c r="AI280" s="2">
        <v>0</v>
      </c>
      <c r="AJ280" s="2">
        <v>0</v>
      </c>
      <c r="AK280" s="2">
        <v>0</v>
      </c>
      <c r="AL280" s="2">
        <v>0</v>
      </c>
      <c r="AM280" s="2">
        <v>0</v>
      </c>
    </row>
    <row r="281" spans="1:39">
      <c r="A281" s="335">
        <v>92601</v>
      </c>
      <c r="B281" s="328" t="s">
        <v>968</v>
      </c>
      <c r="C281" s="239">
        <v>1.32598E-2</v>
      </c>
      <c r="E281" s="2">
        <v>6172772</v>
      </c>
      <c r="F281" s="2">
        <v>1698386</v>
      </c>
      <c r="G281" s="2">
        <v>3219553</v>
      </c>
      <c r="H281" s="2">
        <v>1001449</v>
      </c>
      <c r="I281" s="2">
        <v>0</v>
      </c>
      <c r="K281" s="2">
        <v>1986411</v>
      </c>
      <c r="L281" s="2">
        <v>1868571</v>
      </c>
      <c r="M281" s="2">
        <v>1674779</v>
      </c>
      <c r="N281" s="2">
        <v>670561</v>
      </c>
      <c r="O281" s="2">
        <v>0</v>
      </c>
      <c r="Q281" s="2">
        <v>2108852</v>
      </c>
      <c r="R281" s="2">
        <v>-1814007</v>
      </c>
      <c r="S281" s="2">
        <v>255662</v>
      </c>
      <c r="T281" s="2">
        <v>332741</v>
      </c>
      <c r="U281" s="2">
        <v>0</v>
      </c>
      <c r="W281" s="2">
        <v>2375652</v>
      </c>
      <c r="X281" s="2">
        <v>1946220</v>
      </c>
      <c r="Y281" s="2">
        <v>1579998</v>
      </c>
      <c r="Z281" s="2">
        <v>0</v>
      </c>
      <c r="AA281" s="2">
        <v>0</v>
      </c>
      <c r="AC281" s="2">
        <v>4255</v>
      </c>
      <c r="AD281" s="2">
        <v>0</v>
      </c>
      <c r="AE281" s="2">
        <v>0</v>
      </c>
      <c r="AF281" s="2">
        <v>0</v>
      </c>
      <c r="AG281" s="2">
        <v>0</v>
      </c>
      <c r="AI281" s="2">
        <v>-302398</v>
      </c>
      <c r="AJ281" s="2">
        <v>-302398</v>
      </c>
      <c r="AK281" s="2">
        <v>-290886</v>
      </c>
      <c r="AL281" s="2">
        <v>-1853</v>
      </c>
      <c r="AM281" s="2">
        <v>0</v>
      </c>
    </row>
    <row r="282" spans="1:39">
      <c r="A282" s="335">
        <v>92602</v>
      </c>
      <c r="B282" s="328" t="s">
        <v>3685</v>
      </c>
      <c r="C282" s="239">
        <v>4.8999999999999997E-6</v>
      </c>
      <c r="E282" s="2">
        <v>1368</v>
      </c>
      <c r="F282" s="2">
        <v>-247</v>
      </c>
      <c r="G282" s="2">
        <v>336</v>
      </c>
      <c r="H282" s="2">
        <v>-115</v>
      </c>
      <c r="I282" s="2">
        <v>0</v>
      </c>
      <c r="K282" s="2">
        <v>734</v>
      </c>
      <c r="L282" s="2">
        <v>691</v>
      </c>
      <c r="M282" s="2">
        <v>619</v>
      </c>
      <c r="N282" s="2">
        <v>248</v>
      </c>
      <c r="O282" s="2">
        <v>0</v>
      </c>
      <c r="Q282" s="2">
        <v>779</v>
      </c>
      <c r="R282" s="2">
        <v>-670</v>
      </c>
      <c r="S282" s="2">
        <v>94</v>
      </c>
      <c r="T282" s="2">
        <v>123</v>
      </c>
      <c r="U282" s="2">
        <v>0</v>
      </c>
      <c r="W282" s="2">
        <v>878</v>
      </c>
      <c r="X282" s="2">
        <v>719</v>
      </c>
      <c r="Y282" s="2">
        <v>584</v>
      </c>
      <c r="Z282" s="2">
        <v>0</v>
      </c>
      <c r="AA282" s="2">
        <v>0</v>
      </c>
      <c r="AC282" s="2">
        <v>0</v>
      </c>
      <c r="AD282" s="2">
        <v>0</v>
      </c>
      <c r="AE282" s="2">
        <v>0</v>
      </c>
      <c r="AF282" s="2">
        <v>0</v>
      </c>
      <c r="AG282" s="2">
        <v>0</v>
      </c>
      <c r="AI282" s="2">
        <v>-1023</v>
      </c>
      <c r="AJ282" s="2">
        <v>-987</v>
      </c>
      <c r="AK282" s="2">
        <v>-961</v>
      </c>
      <c r="AL282" s="2">
        <v>-486</v>
      </c>
      <c r="AM282" s="2">
        <v>0</v>
      </c>
    </row>
    <row r="283" spans="1:39">
      <c r="A283" s="335">
        <v>92604</v>
      </c>
      <c r="B283" s="328" t="s">
        <v>3686</v>
      </c>
      <c r="C283" s="239">
        <v>3.501E-4</v>
      </c>
      <c r="E283" s="2">
        <v>195578</v>
      </c>
      <c r="F283" s="2">
        <v>70688</v>
      </c>
      <c r="G283" s="2">
        <v>106586</v>
      </c>
      <c r="H283" s="2">
        <v>35406</v>
      </c>
      <c r="I283" s="2">
        <v>0</v>
      </c>
      <c r="K283" s="2">
        <v>52447</v>
      </c>
      <c r="L283" s="2">
        <v>49336</v>
      </c>
      <c r="M283" s="2">
        <v>44219</v>
      </c>
      <c r="N283" s="2">
        <v>17705</v>
      </c>
      <c r="O283" s="2">
        <v>0</v>
      </c>
      <c r="Q283" s="2">
        <v>55680</v>
      </c>
      <c r="R283" s="2">
        <v>-47895</v>
      </c>
      <c r="S283" s="2">
        <v>6750</v>
      </c>
      <c r="T283" s="2">
        <v>8785</v>
      </c>
      <c r="U283" s="2">
        <v>0</v>
      </c>
      <c r="W283" s="2">
        <v>62725</v>
      </c>
      <c r="X283" s="2">
        <v>51386</v>
      </c>
      <c r="Y283" s="2">
        <v>41717</v>
      </c>
      <c r="Z283" s="2">
        <v>0</v>
      </c>
      <c r="AA283" s="2">
        <v>0</v>
      </c>
      <c r="AC283" s="2">
        <v>24726</v>
      </c>
      <c r="AD283" s="2">
        <v>17861</v>
      </c>
      <c r="AE283" s="2">
        <v>13900</v>
      </c>
      <c r="AF283" s="2">
        <v>8916</v>
      </c>
      <c r="AG283" s="2">
        <v>0</v>
      </c>
      <c r="AI283" s="2">
        <v>0</v>
      </c>
      <c r="AJ283" s="2">
        <v>0</v>
      </c>
      <c r="AK283" s="2">
        <v>0</v>
      </c>
      <c r="AL283" s="2">
        <v>0</v>
      </c>
      <c r="AM283" s="2">
        <v>0</v>
      </c>
    </row>
    <row r="284" spans="1:39">
      <c r="A284" s="335">
        <v>92607</v>
      </c>
      <c r="B284" s="328" t="s">
        <v>971</v>
      </c>
      <c r="C284" s="239">
        <v>5.6700000000000003E-5</v>
      </c>
      <c r="E284" s="2">
        <v>30160</v>
      </c>
      <c r="F284" s="2">
        <v>10547</v>
      </c>
      <c r="G284" s="2">
        <v>16081</v>
      </c>
      <c r="H284" s="2">
        <v>4099</v>
      </c>
      <c r="I284" s="2">
        <v>0</v>
      </c>
      <c r="K284" s="2">
        <v>8494</v>
      </c>
      <c r="L284" s="2">
        <v>7990</v>
      </c>
      <c r="M284" s="2">
        <v>7161</v>
      </c>
      <c r="N284" s="2">
        <v>2867</v>
      </c>
      <c r="O284" s="2">
        <v>0</v>
      </c>
      <c r="Q284" s="2">
        <v>9018</v>
      </c>
      <c r="R284" s="2">
        <v>-7757</v>
      </c>
      <c r="S284" s="2">
        <v>1093</v>
      </c>
      <c r="T284" s="2">
        <v>1423</v>
      </c>
      <c r="U284" s="2">
        <v>0</v>
      </c>
      <c r="W284" s="2">
        <v>10158</v>
      </c>
      <c r="X284" s="2">
        <v>8322</v>
      </c>
      <c r="Y284" s="2">
        <v>6756</v>
      </c>
      <c r="Z284" s="2">
        <v>0</v>
      </c>
      <c r="AA284" s="2">
        <v>0</v>
      </c>
      <c r="AC284" s="2">
        <v>2679</v>
      </c>
      <c r="AD284" s="2">
        <v>2181</v>
      </c>
      <c r="AE284" s="2">
        <v>1260</v>
      </c>
      <c r="AF284" s="2">
        <v>0</v>
      </c>
      <c r="AG284" s="2">
        <v>0</v>
      </c>
      <c r="AI284" s="2">
        <v>-189</v>
      </c>
      <c r="AJ284" s="2">
        <v>-189</v>
      </c>
      <c r="AK284" s="2">
        <v>-189</v>
      </c>
      <c r="AL284" s="2">
        <v>-191</v>
      </c>
      <c r="AM284" s="2">
        <v>0</v>
      </c>
    </row>
    <row r="285" spans="1:39">
      <c r="A285" s="335">
        <v>92611</v>
      </c>
      <c r="B285" s="328" t="s">
        <v>973</v>
      </c>
      <c r="C285" s="239">
        <v>1.22078E-2</v>
      </c>
      <c r="E285" s="2">
        <v>5439266</v>
      </c>
      <c r="F285" s="2">
        <v>1431113</v>
      </c>
      <c r="G285" s="2">
        <v>2939487</v>
      </c>
      <c r="H285" s="2">
        <v>769993</v>
      </c>
      <c r="I285" s="2">
        <v>0</v>
      </c>
      <c r="K285" s="2">
        <v>1828814</v>
      </c>
      <c r="L285" s="2">
        <v>1720323</v>
      </c>
      <c r="M285" s="2">
        <v>1541906</v>
      </c>
      <c r="N285" s="2">
        <v>617361</v>
      </c>
      <c r="O285" s="2">
        <v>0</v>
      </c>
      <c r="Q285" s="2">
        <v>1941541</v>
      </c>
      <c r="R285" s="2">
        <v>-1670088</v>
      </c>
      <c r="S285" s="2">
        <v>235379</v>
      </c>
      <c r="T285" s="2">
        <v>306343</v>
      </c>
      <c r="U285" s="2">
        <v>0</v>
      </c>
      <c r="W285" s="2">
        <v>2187174</v>
      </c>
      <c r="X285" s="2">
        <v>1791812</v>
      </c>
      <c r="Y285" s="2">
        <v>1454645</v>
      </c>
      <c r="Z285" s="2">
        <v>0</v>
      </c>
      <c r="AA285" s="2">
        <v>0</v>
      </c>
      <c r="AC285" s="2">
        <v>0</v>
      </c>
      <c r="AD285" s="2">
        <v>0</v>
      </c>
      <c r="AE285" s="2">
        <v>0</v>
      </c>
      <c r="AF285" s="2">
        <v>0</v>
      </c>
      <c r="AG285" s="2">
        <v>0</v>
      </c>
      <c r="AI285" s="2">
        <v>-518263</v>
      </c>
      <c r="AJ285" s="2">
        <v>-410934</v>
      </c>
      <c r="AK285" s="2">
        <v>-292443</v>
      </c>
      <c r="AL285" s="2">
        <v>-153711</v>
      </c>
      <c r="AM285" s="2">
        <v>0</v>
      </c>
    </row>
    <row r="286" spans="1:39">
      <c r="A286" s="335">
        <v>92613</v>
      </c>
      <c r="B286" s="328" t="s">
        <v>2761</v>
      </c>
      <c r="C286" s="239">
        <v>2.23E-4</v>
      </c>
      <c r="E286" s="2">
        <v>114191</v>
      </c>
      <c r="F286" s="2">
        <v>35870</v>
      </c>
      <c r="G286" s="2">
        <v>59691</v>
      </c>
      <c r="H286" s="2">
        <v>17799</v>
      </c>
      <c r="I286" s="2">
        <v>0</v>
      </c>
      <c r="K286" s="2">
        <v>33407</v>
      </c>
      <c r="L286" s="2">
        <v>31425</v>
      </c>
      <c r="M286" s="2">
        <v>28166</v>
      </c>
      <c r="N286" s="2">
        <v>11277</v>
      </c>
      <c r="O286" s="2">
        <v>0</v>
      </c>
      <c r="Q286" s="2">
        <v>35466</v>
      </c>
      <c r="R286" s="2">
        <v>-30508</v>
      </c>
      <c r="S286" s="2">
        <v>4300</v>
      </c>
      <c r="T286" s="2">
        <v>5596</v>
      </c>
      <c r="U286" s="2">
        <v>0</v>
      </c>
      <c r="W286" s="2">
        <v>39953</v>
      </c>
      <c r="X286" s="2">
        <v>32731</v>
      </c>
      <c r="Y286" s="2">
        <v>26572</v>
      </c>
      <c r="Z286" s="2">
        <v>0</v>
      </c>
      <c r="AA286" s="2">
        <v>0</v>
      </c>
      <c r="AC286" s="2">
        <v>5636</v>
      </c>
      <c r="AD286" s="2">
        <v>2493</v>
      </c>
      <c r="AE286" s="2">
        <v>926</v>
      </c>
      <c r="AF286" s="2">
        <v>926</v>
      </c>
      <c r="AG286" s="2">
        <v>0</v>
      </c>
      <c r="AI286" s="2">
        <v>-271</v>
      </c>
      <c r="AJ286" s="2">
        <v>-271</v>
      </c>
      <c r="AK286" s="2">
        <v>-273</v>
      </c>
      <c r="AL286" s="2">
        <v>0</v>
      </c>
      <c r="AM286" s="2">
        <v>0</v>
      </c>
    </row>
    <row r="287" spans="1:39">
      <c r="A287" s="335">
        <v>92614</v>
      </c>
      <c r="B287" s="328" t="s">
        <v>3687</v>
      </c>
      <c r="C287" s="239">
        <v>5.7201999999999999E-3</v>
      </c>
      <c r="E287" s="2">
        <v>4535359</v>
      </c>
      <c r="F287" s="2">
        <v>2240982</v>
      </c>
      <c r="G287" s="2">
        <v>2447005</v>
      </c>
      <c r="H287" s="2">
        <v>950653</v>
      </c>
      <c r="I287" s="2">
        <v>0</v>
      </c>
      <c r="K287" s="2">
        <v>856926</v>
      </c>
      <c r="L287" s="2">
        <v>806091</v>
      </c>
      <c r="M287" s="2">
        <v>722490</v>
      </c>
      <c r="N287" s="2">
        <v>289276</v>
      </c>
      <c r="O287" s="2">
        <v>0</v>
      </c>
      <c r="Q287" s="2">
        <v>909746</v>
      </c>
      <c r="R287" s="2">
        <v>-782552</v>
      </c>
      <c r="S287" s="2">
        <v>110291</v>
      </c>
      <c r="T287" s="2">
        <v>143543</v>
      </c>
      <c r="U287" s="2">
        <v>0</v>
      </c>
      <c r="W287" s="2">
        <v>1024842</v>
      </c>
      <c r="X287" s="2">
        <v>839588</v>
      </c>
      <c r="Y287" s="2">
        <v>681602</v>
      </c>
      <c r="Z287" s="2">
        <v>0</v>
      </c>
      <c r="AA287" s="2">
        <v>0</v>
      </c>
      <c r="AC287" s="2">
        <v>1743845</v>
      </c>
      <c r="AD287" s="2">
        <v>1377855</v>
      </c>
      <c r="AE287" s="2">
        <v>932622</v>
      </c>
      <c r="AF287" s="2">
        <v>517834</v>
      </c>
      <c r="AG287" s="2">
        <v>0</v>
      </c>
      <c r="AI287" s="2">
        <v>0</v>
      </c>
      <c r="AJ287" s="2">
        <v>0</v>
      </c>
      <c r="AK287" s="2">
        <v>0</v>
      </c>
      <c r="AL287" s="2">
        <v>0</v>
      </c>
      <c r="AM287" s="2">
        <v>0</v>
      </c>
    </row>
    <row r="288" spans="1:39">
      <c r="A288" s="335">
        <v>92621</v>
      </c>
      <c r="B288" s="328" t="s">
        <v>976</v>
      </c>
      <c r="C288" s="239">
        <v>2.8900000000000001E-5</v>
      </c>
      <c r="E288" s="2">
        <v>13364</v>
      </c>
      <c r="F288" s="2">
        <v>3851</v>
      </c>
      <c r="G288" s="2">
        <v>8330</v>
      </c>
      <c r="H288" s="2">
        <v>3030</v>
      </c>
      <c r="I288" s="2">
        <v>0</v>
      </c>
      <c r="K288" s="2">
        <v>4329</v>
      </c>
      <c r="L288" s="2">
        <v>4073</v>
      </c>
      <c r="M288" s="2">
        <v>3650</v>
      </c>
      <c r="N288" s="2">
        <v>1462</v>
      </c>
      <c r="O288" s="2">
        <v>0</v>
      </c>
      <c r="Q288" s="2">
        <v>4596</v>
      </c>
      <c r="R288" s="2">
        <v>-3954</v>
      </c>
      <c r="S288" s="2">
        <v>557</v>
      </c>
      <c r="T288" s="2">
        <v>725</v>
      </c>
      <c r="U288" s="2">
        <v>0</v>
      </c>
      <c r="W288" s="2">
        <v>5178</v>
      </c>
      <c r="X288" s="2">
        <v>4242</v>
      </c>
      <c r="Y288" s="2">
        <v>3444</v>
      </c>
      <c r="Z288" s="2">
        <v>0</v>
      </c>
      <c r="AA288" s="2">
        <v>0</v>
      </c>
      <c r="AC288" s="2">
        <v>841</v>
      </c>
      <c r="AD288" s="2">
        <v>841</v>
      </c>
      <c r="AE288" s="2">
        <v>841</v>
      </c>
      <c r="AF288" s="2">
        <v>843</v>
      </c>
      <c r="AG288" s="2">
        <v>0</v>
      </c>
      <c r="AI288" s="2">
        <v>-1580</v>
      </c>
      <c r="AJ288" s="2">
        <v>-1351</v>
      </c>
      <c r="AK288" s="2">
        <v>-162</v>
      </c>
      <c r="AL288" s="2">
        <v>0</v>
      </c>
      <c r="AM288" s="2">
        <v>0</v>
      </c>
    </row>
    <row r="289" spans="1:39">
      <c r="A289" s="335">
        <v>92631</v>
      </c>
      <c r="B289" s="328" t="s">
        <v>977</v>
      </c>
      <c r="C289" s="239">
        <v>9.3329999999999997E-4</v>
      </c>
      <c r="E289" s="2">
        <v>411404</v>
      </c>
      <c r="F289" s="2">
        <v>111372</v>
      </c>
      <c r="G289" s="2">
        <v>236682</v>
      </c>
      <c r="H289" s="2">
        <v>69896</v>
      </c>
      <c r="I289" s="2">
        <v>0</v>
      </c>
      <c r="K289" s="2">
        <v>139815</v>
      </c>
      <c r="L289" s="2">
        <v>131521</v>
      </c>
      <c r="M289" s="2">
        <v>117880</v>
      </c>
      <c r="N289" s="2">
        <v>47198</v>
      </c>
      <c r="O289" s="2">
        <v>0</v>
      </c>
      <c r="Q289" s="2">
        <v>148433</v>
      </c>
      <c r="R289" s="2">
        <v>-127680</v>
      </c>
      <c r="S289" s="2">
        <v>17995</v>
      </c>
      <c r="T289" s="2">
        <v>23420</v>
      </c>
      <c r="U289" s="2">
        <v>0</v>
      </c>
      <c r="W289" s="2">
        <v>167212</v>
      </c>
      <c r="X289" s="2">
        <v>136986</v>
      </c>
      <c r="Y289" s="2">
        <v>111209</v>
      </c>
      <c r="Z289" s="2">
        <v>0</v>
      </c>
      <c r="AA289" s="2">
        <v>0</v>
      </c>
      <c r="AC289" s="2">
        <v>0</v>
      </c>
      <c r="AD289" s="2">
        <v>0</v>
      </c>
      <c r="AE289" s="2">
        <v>0</v>
      </c>
      <c r="AF289" s="2">
        <v>0</v>
      </c>
      <c r="AG289" s="2">
        <v>0</v>
      </c>
      <c r="AI289" s="2">
        <v>-44056</v>
      </c>
      <c r="AJ289" s="2">
        <v>-29455</v>
      </c>
      <c r="AK289" s="2">
        <v>-10402</v>
      </c>
      <c r="AL289" s="2">
        <v>-722</v>
      </c>
      <c r="AM289" s="2">
        <v>0</v>
      </c>
    </row>
    <row r="290" spans="1:39">
      <c r="A290" s="335">
        <v>92641</v>
      </c>
      <c r="B290" s="328" t="s">
        <v>978</v>
      </c>
      <c r="C290" s="239">
        <v>1.11E-5</v>
      </c>
      <c r="E290" s="2">
        <v>6777</v>
      </c>
      <c r="F290" s="2">
        <v>2959</v>
      </c>
      <c r="G290" s="2">
        <v>4033</v>
      </c>
      <c r="H290" s="2">
        <v>1578</v>
      </c>
      <c r="I290" s="2">
        <v>0</v>
      </c>
      <c r="K290" s="2">
        <v>1663</v>
      </c>
      <c r="L290" s="2">
        <v>1564</v>
      </c>
      <c r="M290" s="2">
        <v>1402</v>
      </c>
      <c r="N290" s="2">
        <v>561</v>
      </c>
      <c r="O290" s="2">
        <v>0</v>
      </c>
      <c r="Q290" s="2">
        <v>1765</v>
      </c>
      <c r="R290" s="2">
        <v>-1519</v>
      </c>
      <c r="S290" s="2">
        <v>214</v>
      </c>
      <c r="T290" s="2">
        <v>279</v>
      </c>
      <c r="U290" s="2">
        <v>0</v>
      </c>
      <c r="W290" s="2">
        <v>1989</v>
      </c>
      <c r="X290" s="2">
        <v>1629</v>
      </c>
      <c r="Y290" s="2">
        <v>1323</v>
      </c>
      <c r="Z290" s="2">
        <v>0</v>
      </c>
      <c r="AA290" s="2">
        <v>0</v>
      </c>
      <c r="AC290" s="2">
        <v>1360</v>
      </c>
      <c r="AD290" s="2">
        <v>1285</v>
      </c>
      <c r="AE290" s="2">
        <v>1094</v>
      </c>
      <c r="AF290" s="2">
        <v>738</v>
      </c>
      <c r="AG290" s="2">
        <v>0</v>
      </c>
      <c r="AI290" s="2">
        <v>0</v>
      </c>
      <c r="AJ290" s="2">
        <v>0</v>
      </c>
      <c r="AK290" s="2">
        <v>0</v>
      </c>
      <c r="AL290" s="2">
        <v>0</v>
      </c>
      <c r="AM290" s="2">
        <v>0</v>
      </c>
    </row>
    <row r="291" spans="1:39">
      <c r="A291" s="335">
        <v>92651</v>
      </c>
      <c r="B291" s="328" t="s">
        <v>979</v>
      </c>
      <c r="C291" s="239">
        <v>4.3000000000000003E-6</v>
      </c>
      <c r="E291" s="2">
        <v>3268</v>
      </c>
      <c r="F291" s="2">
        <v>1507</v>
      </c>
      <c r="G291" s="2">
        <v>1605</v>
      </c>
      <c r="H291" s="2">
        <v>390</v>
      </c>
      <c r="I291" s="2">
        <v>0</v>
      </c>
      <c r="K291" s="2">
        <v>644</v>
      </c>
      <c r="L291" s="2">
        <v>606</v>
      </c>
      <c r="M291" s="2">
        <v>543</v>
      </c>
      <c r="N291" s="2">
        <v>217</v>
      </c>
      <c r="O291" s="2">
        <v>0</v>
      </c>
      <c r="Q291" s="2">
        <v>684</v>
      </c>
      <c r="R291" s="2">
        <v>-588</v>
      </c>
      <c r="S291" s="2">
        <v>83</v>
      </c>
      <c r="T291" s="2">
        <v>108</v>
      </c>
      <c r="U291" s="2">
        <v>0</v>
      </c>
      <c r="W291" s="2">
        <v>770</v>
      </c>
      <c r="X291" s="2">
        <v>631</v>
      </c>
      <c r="Y291" s="2">
        <v>512</v>
      </c>
      <c r="Z291" s="2">
        <v>0</v>
      </c>
      <c r="AA291" s="2">
        <v>0</v>
      </c>
      <c r="AC291" s="2">
        <v>1170</v>
      </c>
      <c r="AD291" s="2">
        <v>858</v>
      </c>
      <c r="AE291" s="2">
        <v>467</v>
      </c>
      <c r="AF291" s="2">
        <v>65</v>
      </c>
      <c r="AG291" s="2">
        <v>0</v>
      </c>
      <c r="AI291" s="2">
        <v>0</v>
      </c>
      <c r="AJ291" s="2">
        <v>0</v>
      </c>
      <c r="AK291" s="2">
        <v>0</v>
      </c>
      <c r="AL291" s="2">
        <v>0</v>
      </c>
      <c r="AM291" s="2">
        <v>0</v>
      </c>
    </row>
    <row r="292" spans="1:39">
      <c r="A292" s="335">
        <v>92661</v>
      </c>
      <c r="B292" s="328" t="s">
        <v>980</v>
      </c>
      <c r="C292" s="239">
        <v>6.2509999999999996E-4</v>
      </c>
      <c r="E292" s="2">
        <v>486220</v>
      </c>
      <c r="F292" s="2">
        <v>236178</v>
      </c>
      <c r="G292" s="2">
        <v>247185</v>
      </c>
      <c r="H292" s="2">
        <v>93587</v>
      </c>
      <c r="I292" s="2">
        <v>0</v>
      </c>
      <c r="K292" s="2">
        <v>93644</v>
      </c>
      <c r="L292" s="2">
        <v>88089</v>
      </c>
      <c r="M292" s="2">
        <v>78953</v>
      </c>
      <c r="N292" s="2">
        <v>31612</v>
      </c>
      <c r="O292" s="2">
        <v>0</v>
      </c>
      <c r="Q292" s="2">
        <v>99417</v>
      </c>
      <c r="R292" s="2">
        <v>-85517</v>
      </c>
      <c r="S292" s="2">
        <v>12053</v>
      </c>
      <c r="T292" s="2">
        <v>15686</v>
      </c>
      <c r="U292" s="2">
        <v>0</v>
      </c>
      <c r="W292" s="2">
        <v>111994</v>
      </c>
      <c r="X292" s="2">
        <v>91750</v>
      </c>
      <c r="Y292" s="2">
        <v>74485</v>
      </c>
      <c r="Z292" s="2">
        <v>0</v>
      </c>
      <c r="AA292" s="2">
        <v>0</v>
      </c>
      <c r="AC292" s="2">
        <v>181165</v>
      </c>
      <c r="AD292" s="2">
        <v>141856</v>
      </c>
      <c r="AE292" s="2">
        <v>81694</v>
      </c>
      <c r="AF292" s="2">
        <v>46289</v>
      </c>
      <c r="AG292" s="2">
        <v>0</v>
      </c>
      <c r="AI292" s="2">
        <v>0</v>
      </c>
      <c r="AJ292" s="2">
        <v>0</v>
      </c>
      <c r="AK292" s="2">
        <v>0</v>
      </c>
      <c r="AL292" s="2">
        <v>0</v>
      </c>
      <c r="AM292" s="2">
        <v>0</v>
      </c>
    </row>
    <row r="293" spans="1:39">
      <c r="A293" s="335">
        <v>92671</v>
      </c>
      <c r="B293" s="328" t="s">
        <v>981</v>
      </c>
      <c r="C293" s="239">
        <v>2.0999999999999998E-6</v>
      </c>
      <c r="E293" s="2">
        <v>3993</v>
      </c>
      <c r="F293" s="2">
        <v>2724</v>
      </c>
      <c r="G293" s="2">
        <v>2195</v>
      </c>
      <c r="H293" s="2">
        <v>985</v>
      </c>
      <c r="I293" s="2">
        <v>0</v>
      </c>
      <c r="K293" s="2">
        <v>315</v>
      </c>
      <c r="L293" s="2">
        <v>296</v>
      </c>
      <c r="M293" s="2">
        <v>265</v>
      </c>
      <c r="N293" s="2">
        <v>106</v>
      </c>
      <c r="O293" s="2">
        <v>0</v>
      </c>
      <c r="Q293" s="2">
        <v>334</v>
      </c>
      <c r="R293" s="2">
        <v>-287</v>
      </c>
      <c r="S293" s="2">
        <v>40</v>
      </c>
      <c r="T293" s="2">
        <v>53</v>
      </c>
      <c r="U293" s="2">
        <v>0</v>
      </c>
      <c r="W293" s="2">
        <v>376</v>
      </c>
      <c r="X293" s="2">
        <v>308</v>
      </c>
      <c r="Y293" s="2">
        <v>250</v>
      </c>
      <c r="Z293" s="2">
        <v>0</v>
      </c>
      <c r="AA293" s="2">
        <v>0</v>
      </c>
      <c r="AC293" s="2">
        <v>2968</v>
      </c>
      <c r="AD293" s="2">
        <v>2407</v>
      </c>
      <c r="AE293" s="2">
        <v>1640</v>
      </c>
      <c r="AF293" s="2">
        <v>826</v>
      </c>
      <c r="AG293" s="2">
        <v>0</v>
      </c>
      <c r="AI293" s="2">
        <v>0</v>
      </c>
      <c r="AJ293" s="2">
        <v>0</v>
      </c>
      <c r="AK293" s="2">
        <v>0</v>
      </c>
      <c r="AL293" s="2">
        <v>0</v>
      </c>
      <c r="AM293" s="2">
        <v>0</v>
      </c>
    </row>
    <row r="294" spans="1:39">
      <c r="A294" s="335">
        <v>92681</v>
      </c>
      <c r="B294" s="328" t="s">
        <v>982</v>
      </c>
      <c r="C294" s="239">
        <v>1.1800000000000001E-5</v>
      </c>
      <c r="E294" s="2">
        <v>10659</v>
      </c>
      <c r="F294" s="2">
        <v>5149</v>
      </c>
      <c r="G294" s="2">
        <v>4980</v>
      </c>
      <c r="H294" s="2">
        <v>1456</v>
      </c>
      <c r="I294" s="2">
        <v>0</v>
      </c>
      <c r="K294" s="2">
        <v>1768</v>
      </c>
      <c r="L294" s="2">
        <v>1663</v>
      </c>
      <c r="M294" s="2">
        <v>1490</v>
      </c>
      <c r="N294" s="2">
        <v>597</v>
      </c>
      <c r="O294" s="2">
        <v>0</v>
      </c>
      <c r="Q294" s="2">
        <v>1877</v>
      </c>
      <c r="R294" s="2">
        <v>-1614</v>
      </c>
      <c r="S294" s="2">
        <v>228</v>
      </c>
      <c r="T294" s="2">
        <v>296</v>
      </c>
      <c r="U294" s="2">
        <v>0</v>
      </c>
      <c r="W294" s="2">
        <v>2114</v>
      </c>
      <c r="X294" s="2">
        <v>1732</v>
      </c>
      <c r="Y294" s="2">
        <v>1406</v>
      </c>
      <c r="Z294" s="2">
        <v>0</v>
      </c>
      <c r="AA294" s="2">
        <v>0</v>
      </c>
      <c r="AC294" s="2">
        <v>4900</v>
      </c>
      <c r="AD294" s="2">
        <v>3368</v>
      </c>
      <c r="AE294" s="2">
        <v>1856</v>
      </c>
      <c r="AF294" s="2">
        <v>563</v>
      </c>
      <c r="AG294" s="2">
        <v>0</v>
      </c>
      <c r="AI294" s="2">
        <v>0</v>
      </c>
      <c r="AJ294" s="2">
        <v>0</v>
      </c>
      <c r="AK294" s="2">
        <v>0</v>
      </c>
      <c r="AL294" s="2">
        <v>0</v>
      </c>
      <c r="AM294" s="2">
        <v>0</v>
      </c>
    </row>
    <row r="295" spans="1:39">
      <c r="A295" s="335">
        <v>92701</v>
      </c>
      <c r="B295" s="328" t="s">
        <v>983</v>
      </c>
      <c r="C295" s="239">
        <v>3.0688999999999998E-3</v>
      </c>
      <c r="E295" s="2">
        <v>1498148</v>
      </c>
      <c r="F295" s="2">
        <v>459736</v>
      </c>
      <c r="G295" s="2">
        <v>800073</v>
      </c>
      <c r="H295" s="2">
        <v>257479</v>
      </c>
      <c r="I295" s="2">
        <v>0</v>
      </c>
      <c r="K295" s="2">
        <v>459743</v>
      </c>
      <c r="L295" s="2">
        <v>432469</v>
      </c>
      <c r="M295" s="2">
        <v>387617</v>
      </c>
      <c r="N295" s="2">
        <v>155197</v>
      </c>
      <c r="O295" s="2">
        <v>0</v>
      </c>
      <c r="Q295" s="2">
        <v>488081</v>
      </c>
      <c r="R295" s="2">
        <v>-419841</v>
      </c>
      <c r="S295" s="2">
        <v>59171</v>
      </c>
      <c r="T295" s="2">
        <v>77011</v>
      </c>
      <c r="U295" s="2">
        <v>0</v>
      </c>
      <c r="W295" s="2">
        <v>549830</v>
      </c>
      <c r="X295" s="2">
        <v>450441</v>
      </c>
      <c r="Y295" s="2">
        <v>365681</v>
      </c>
      <c r="Z295" s="2">
        <v>0</v>
      </c>
      <c r="AA295" s="2">
        <v>0</v>
      </c>
      <c r="AC295" s="2">
        <v>38161</v>
      </c>
      <c r="AD295" s="2">
        <v>34334</v>
      </c>
      <c r="AE295" s="2">
        <v>25269</v>
      </c>
      <c r="AF295" s="2">
        <v>25271</v>
      </c>
      <c r="AG295" s="2">
        <v>0</v>
      </c>
      <c r="AI295" s="2">
        <v>-37667</v>
      </c>
      <c r="AJ295" s="2">
        <v>-37667</v>
      </c>
      <c r="AK295" s="2">
        <v>-37665</v>
      </c>
      <c r="AL295" s="2">
        <v>0</v>
      </c>
      <c r="AM295" s="2">
        <v>0</v>
      </c>
    </row>
    <row r="296" spans="1:39">
      <c r="A296" s="335">
        <v>92704</v>
      </c>
      <c r="B296" s="328" t="s">
        <v>3688</v>
      </c>
      <c r="C296" s="239">
        <v>3.6900000000000002E-5</v>
      </c>
      <c r="E296" s="2">
        <v>15807</v>
      </c>
      <c r="F296" s="2">
        <v>3791</v>
      </c>
      <c r="G296" s="2">
        <v>9056</v>
      </c>
      <c r="H296" s="2">
        <v>2408</v>
      </c>
      <c r="I296" s="2">
        <v>0</v>
      </c>
      <c r="K296" s="2">
        <v>5528</v>
      </c>
      <c r="L296" s="2">
        <v>5200</v>
      </c>
      <c r="M296" s="2">
        <v>4661</v>
      </c>
      <c r="N296" s="2">
        <v>1866</v>
      </c>
      <c r="O296" s="2">
        <v>0</v>
      </c>
      <c r="Q296" s="2">
        <v>5869</v>
      </c>
      <c r="R296" s="2">
        <v>-5048</v>
      </c>
      <c r="S296" s="2">
        <v>711</v>
      </c>
      <c r="T296" s="2">
        <v>926</v>
      </c>
      <c r="U296" s="2">
        <v>0</v>
      </c>
      <c r="W296" s="2">
        <v>6611</v>
      </c>
      <c r="X296" s="2">
        <v>5416</v>
      </c>
      <c r="Y296" s="2">
        <v>4397</v>
      </c>
      <c r="Z296" s="2">
        <v>0</v>
      </c>
      <c r="AA296" s="2">
        <v>0</v>
      </c>
      <c r="AC296" s="2">
        <v>0</v>
      </c>
      <c r="AD296" s="2">
        <v>0</v>
      </c>
      <c r="AE296" s="2">
        <v>0</v>
      </c>
      <c r="AF296" s="2">
        <v>0</v>
      </c>
      <c r="AG296" s="2">
        <v>0</v>
      </c>
      <c r="AI296" s="2">
        <v>-2201</v>
      </c>
      <c r="AJ296" s="2">
        <v>-1777</v>
      </c>
      <c r="AK296" s="2">
        <v>-713</v>
      </c>
      <c r="AL296" s="2">
        <v>-384</v>
      </c>
      <c r="AM296" s="2">
        <v>0</v>
      </c>
    </row>
    <row r="297" spans="1:39">
      <c r="A297" s="335">
        <v>92801</v>
      </c>
      <c r="B297" s="328" t="s">
        <v>985</v>
      </c>
      <c r="C297" s="239">
        <v>5.4352999999999997E-3</v>
      </c>
      <c r="E297" s="2">
        <v>2764256</v>
      </c>
      <c r="F297" s="2">
        <v>922817</v>
      </c>
      <c r="G297" s="2">
        <v>1538619</v>
      </c>
      <c r="H297" s="2">
        <v>469350</v>
      </c>
      <c r="I297" s="2">
        <v>0</v>
      </c>
      <c r="K297" s="2">
        <v>814246</v>
      </c>
      <c r="L297" s="2">
        <v>765942</v>
      </c>
      <c r="M297" s="2">
        <v>686506</v>
      </c>
      <c r="N297" s="2">
        <v>274869</v>
      </c>
      <c r="O297" s="2">
        <v>0</v>
      </c>
      <c r="Q297" s="2">
        <v>864436</v>
      </c>
      <c r="R297" s="2">
        <v>-743576</v>
      </c>
      <c r="S297" s="2">
        <v>104798</v>
      </c>
      <c r="T297" s="2">
        <v>136393</v>
      </c>
      <c r="U297" s="2">
        <v>0</v>
      </c>
      <c r="W297" s="2">
        <v>973799</v>
      </c>
      <c r="X297" s="2">
        <v>797772</v>
      </c>
      <c r="Y297" s="2">
        <v>647654</v>
      </c>
      <c r="Z297" s="2">
        <v>0</v>
      </c>
      <c r="AA297" s="2">
        <v>0</v>
      </c>
      <c r="AC297" s="2">
        <v>111775</v>
      </c>
      <c r="AD297" s="2">
        <v>102679</v>
      </c>
      <c r="AE297" s="2">
        <v>99661</v>
      </c>
      <c r="AF297" s="2">
        <v>58088</v>
      </c>
      <c r="AG297" s="2">
        <v>0</v>
      </c>
      <c r="AI297" s="2">
        <v>0</v>
      </c>
      <c r="AJ297" s="2">
        <v>0</v>
      </c>
      <c r="AK297" s="2">
        <v>0</v>
      </c>
      <c r="AL297" s="2">
        <v>0</v>
      </c>
      <c r="AM297" s="2">
        <v>0</v>
      </c>
    </row>
    <row r="298" spans="1:39">
      <c r="A298" s="335">
        <v>92802</v>
      </c>
      <c r="B298" s="328" t="s">
        <v>986</v>
      </c>
      <c r="C298" s="239">
        <v>1.198E-4</v>
      </c>
      <c r="E298" s="2">
        <v>51047</v>
      </c>
      <c r="F298" s="2">
        <v>12855</v>
      </c>
      <c r="G298" s="2">
        <v>27975</v>
      </c>
      <c r="H298" s="2">
        <v>6612</v>
      </c>
      <c r="I298" s="2">
        <v>0</v>
      </c>
      <c r="K298" s="2">
        <v>17947</v>
      </c>
      <c r="L298" s="2">
        <v>16882</v>
      </c>
      <c r="M298" s="2">
        <v>15131</v>
      </c>
      <c r="N298" s="2">
        <v>6058</v>
      </c>
      <c r="O298" s="2">
        <v>0</v>
      </c>
      <c r="Q298" s="2">
        <v>19053</v>
      </c>
      <c r="R298" s="2">
        <v>-16389</v>
      </c>
      <c r="S298" s="2">
        <v>2310</v>
      </c>
      <c r="T298" s="2">
        <v>3006</v>
      </c>
      <c r="U298" s="2">
        <v>0</v>
      </c>
      <c r="W298" s="2">
        <v>21464</v>
      </c>
      <c r="X298" s="2">
        <v>17584</v>
      </c>
      <c r="Y298" s="2">
        <v>14275</v>
      </c>
      <c r="Z298" s="2">
        <v>0</v>
      </c>
      <c r="AA298" s="2">
        <v>0</v>
      </c>
      <c r="AC298" s="2">
        <v>0</v>
      </c>
      <c r="AD298" s="2">
        <v>0</v>
      </c>
      <c r="AE298" s="2">
        <v>0</v>
      </c>
      <c r="AF298" s="2">
        <v>0</v>
      </c>
      <c r="AG298" s="2">
        <v>0</v>
      </c>
      <c r="AI298" s="2">
        <v>-7417</v>
      </c>
      <c r="AJ298" s="2">
        <v>-5222</v>
      </c>
      <c r="AK298" s="2">
        <v>-3741</v>
      </c>
      <c r="AL298" s="2">
        <v>-2452</v>
      </c>
      <c r="AM298" s="2">
        <v>0</v>
      </c>
    </row>
    <row r="299" spans="1:39">
      <c r="A299" s="335">
        <v>92804</v>
      </c>
      <c r="B299" s="328" t="s">
        <v>987</v>
      </c>
      <c r="C299" s="239">
        <v>1.427E-4</v>
      </c>
      <c r="E299" s="2">
        <v>66853</v>
      </c>
      <c r="F299" s="2">
        <v>17458</v>
      </c>
      <c r="G299" s="2">
        <v>36483</v>
      </c>
      <c r="H299" s="2">
        <v>8376</v>
      </c>
      <c r="I299" s="2">
        <v>0</v>
      </c>
      <c r="K299" s="2">
        <v>21377</v>
      </c>
      <c r="L299" s="2">
        <v>20109</v>
      </c>
      <c r="M299" s="2">
        <v>18024</v>
      </c>
      <c r="N299" s="2">
        <v>7216</v>
      </c>
      <c r="O299" s="2">
        <v>0</v>
      </c>
      <c r="Q299" s="2">
        <v>22695</v>
      </c>
      <c r="R299" s="2">
        <v>-19522</v>
      </c>
      <c r="S299" s="2">
        <v>2751</v>
      </c>
      <c r="T299" s="2">
        <v>3581</v>
      </c>
      <c r="U299" s="2">
        <v>0</v>
      </c>
      <c r="W299" s="2">
        <v>25566</v>
      </c>
      <c r="X299" s="2">
        <v>20945</v>
      </c>
      <c r="Y299" s="2">
        <v>17004</v>
      </c>
      <c r="Z299" s="2">
        <v>0</v>
      </c>
      <c r="AA299" s="2">
        <v>0</v>
      </c>
      <c r="AC299" s="2">
        <v>2412</v>
      </c>
      <c r="AD299" s="2">
        <v>1125</v>
      </c>
      <c r="AE299" s="2">
        <v>1126</v>
      </c>
      <c r="AF299" s="2">
        <v>0</v>
      </c>
      <c r="AG299" s="2">
        <v>0</v>
      </c>
      <c r="AI299" s="2">
        <v>-5197</v>
      </c>
      <c r="AJ299" s="2">
        <v>-5199</v>
      </c>
      <c r="AK299" s="2">
        <v>-2422</v>
      </c>
      <c r="AL299" s="2">
        <v>-2421</v>
      </c>
      <c r="AM299" s="2">
        <v>0</v>
      </c>
    </row>
    <row r="300" spans="1:39">
      <c r="A300" s="335">
        <v>92811</v>
      </c>
      <c r="B300" s="328" t="s">
        <v>988</v>
      </c>
      <c r="C300" s="239">
        <v>9.1160000000000004E-4</v>
      </c>
      <c r="E300" s="2">
        <v>409780</v>
      </c>
      <c r="F300" s="2">
        <v>123693</v>
      </c>
      <c r="G300" s="2">
        <v>228098</v>
      </c>
      <c r="H300" s="2">
        <v>60837</v>
      </c>
      <c r="I300" s="2">
        <v>0</v>
      </c>
      <c r="K300" s="2">
        <v>136564</v>
      </c>
      <c r="L300" s="2">
        <v>128463</v>
      </c>
      <c r="M300" s="2">
        <v>115140</v>
      </c>
      <c r="N300" s="2">
        <v>46101</v>
      </c>
      <c r="O300" s="2">
        <v>0</v>
      </c>
      <c r="Q300" s="2">
        <v>144982</v>
      </c>
      <c r="R300" s="2">
        <v>-124711</v>
      </c>
      <c r="S300" s="2">
        <v>17577</v>
      </c>
      <c r="T300" s="2">
        <v>22876</v>
      </c>
      <c r="U300" s="2">
        <v>0</v>
      </c>
      <c r="W300" s="2">
        <v>163324</v>
      </c>
      <c r="X300" s="2">
        <v>133801</v>
      </c>
      <c r="Y300" s="2">
        <v>108624</v>
      </c>
      <c r="Z300" s="2">
        <v>0</v>
      </c>
      <c r="AA300" s="2">
        <v>0</v>
      </c>
      <c r="AC300" s="2">
        <v>0</v>
      </c>
      <c r="AD300" s="2">
        <v>0</v>
      </c>
      <c r="AE300" s="2">
        <v>0</v>
      </c>
      <c r="AF300" s="2">
        <v>0</v>
      </c>
      <c r="AG300" s="2">
        <v>0</v>
      </c>
      <c r="AI300" s="2">
        <v>-35090</v>
      </c>
      <c r="AJ300" s="2">
        <v>-13860</v>
      </c>
      <c r="AK300" s="2">
        <v>-13243</v>
      </c>
      <c r="AL300" s="2">
        <v>-8140</v>
      </c>
      <c r="AM300" s="2">
        <v>0</v>
      </c>
    </row>
    <row r="301" spans="1:39">
      <c r="A301" s="335">
        <v>92821</v>
      </c>
      <c r="B301" s="328" t="s">
        <v>989</v>
      </c>
      <c r="C301" s="239">
        <v>9.8409999999999991E-4</v>
      </c>
      <c r="E301" s="2">
        <v>489676</v>
      </c>
      <c r="F301" s="2">
        <v>154727</v>
      </c>
      <c r="G301" s="2">
        <v>265177</v>
      </c>
      <c r="H301" s="2">
        <v>75534</v>
      </c>
      <c r="I301" s="2">
        <v>0</v>
      </c>
      <c r="K301" s="2">
        <v>147425</v>
      </c>
      <c r="L301" s="2">
        <v>138679</v>
      </c>
      <c r="M301" s="2">
        <v>124297</v>
      </c>
      <c r="N301" s="2">
        <v>49767</v>
      </c>
      <c r="O301" s="2">
        <v>0</v>
      </c>
      <c r="Q301" s="2">
        <v>156512</v>
      </c>
      <c r="R301" s="2">
        <v>-134630</v>
      </c>
      <c r="S301" s="2">
        <v>18974</v>
      </c>
      <c r="T301" s="2">
        <v>24695</v>
      </c>
      <c r="U301" s="2">
        <v>0</v>
      </c>
      <c r="W301" s="2">
        <v>176313</v>
      </c>
      <c r="X301" s="2">
        <v>144442</v>
      </c>
      <c r="Y301" s="2">
        <v>117262</v>
      </c>
      <c r="Z301" s="2">
        <v>0</v>
      </c>
      <c r="AA301" s="2">
        <v>0</v>
      </c>
      <c r="AC301" s="2">
        <v>9426</v>
      </c>
      <c r="AD301" s="2">
        <v>6236</v>
      </c>
      <c r="AE301" s="2">
        <v>4644</v>
      </c>
      <c r="AF301" s="2">
        <v>1072</v>
      </c>
      <c r="AG301" s="2">
        <v>0</v>
      </c>
      <c r="AI301" s="2">
        <v>0</v>
      </c>
      <c r="AJ301" s="2">
        <v>0</v>
      </c>
      <c r="AK301" s="2">
        <v>0</v>
      </c>
      <c r="AL301" s="2">
        <v>0</v>
      </c>
      <c r="AM301" s="2">
        <v>0</v>
      </c>
    </row>
    <row r="302" spans="1:39">
      <c r="A302" s="335">
        <v>92831</v>
      </c>
      <c r="B302" s="328" t="s">
        <v>990</v>
      </c>
      <c r="C302" s="239">
        <v>2.5230000000000001E-4</v>
      </c>
      <c r="E302" s="2">
        <v>139242</v>
      </c>
      <c r="F302" s="2">
        <v>50633</v>
      </c>
      <c r="G302" s="2">
        <v>79898</v>
      </c>
      <c r="H302" s="2">
        <v>25322</v>
      </c>
      <c r="I302" s="2">
        <v>0</v>
      </c>
      <c r="K302" s="2">
        <v>37796</v>
      </c>
      <c r="L302" s="2">
        <v>35554</v>
      </c>
      <c r="M302" s="2">
        <v>31867</v>
      </c>
      <c r="N302" s="2">
        <v>12759</v>
      </c>
      <c r="O302" s="2">
        <v>0</v>
      </c>
      <c r="Q302" s="2">
        <v>40126</v>
      </c>
      <c r="R302" s="2">
        <v>-34516</v>
      </c>
      <c r="S302" s="2">
        <v>4865</v>
      </c>
      <c r="T302" s="2">
        <v>6331</v>
      </c>
      <c r="U302" s="2">
        <v>0</v>
      </c>
      <c r="W302" s="2">
        <v>45203</v>
      </c>
      <c r="X302" s="2">
        <v>37032</v>
      </c>
      <c r="Y302" s="2">
        <v>30063</v>
      </c>
      <c r="Z302" s="2">
        <v>0</v>
      </c>
      <c r="AA302" s="2">
        <v>0</v>
      </c>
      <c r="AC302" s="2">
        <v>16657</v>
      </c>
      <c r="AD302" s="2">
        <v>13101</v>
      </c>
      <c r="AE302" s="2">
        <v>13103</v>
      </c>
      <c r="AF302" s="2">
        <v>6232</v>
      </c>
      <c r="AG302" s="2">
        <v>0</v>
      </c>
      <c r="AI302" s="2">
        <v>-540</v>
      </c>
      <c r="AJ302" s="2">
        <v>-538</v>
      </c>
      <c r="AK302" s="2">
        <v>0</v>
      </c>
      <c r="AL302" s="2">
        <v>0</v>
      </c>
      <c r="AM302" s="2">
        <v>0</v>
      </c>
    </row>
    <row r="303" spans="1:39">
      <c r="A303" s="335">
        <v>92841</v>
      </c>
      <c r="B303" s="328" t="s">
        <v>991</v>
      </c>
      <c r="C303" s="239">
        <v>2.4340000000000001E-4</v>
      </c>
      <c r="E303" s="2">
        <v>109687</v>
      </c>
      <c r="F303" s="2">
        <v>28188</v>
      </c>
      <c r="G303" s="2">
        <v>58627</v>
      </c>
      <c r="H303" s="2">
        <v>16459</v>
      </c>
      <c r="I303" s="2">
        <v>0</v>
      </c>
      <c r="K303" s="2">
        <v>36463</v>
      </c>
      <c r="L303" s="2">
        <v>34300</v>
      </c>
      <c r="M303" s="2">
        <v>30743</v>
      </c>
      <c r="N303" s="2">
        <v>12309</v>
      </c>
      <c r="O303" s="2">
        <v>0</v>
      </c>
      <c r="Q303" s="2">
        <v>38711</v>
      </c>
      <c r="R303" s="2">
        <v>-33298</v>
      </c>
      <c r="S303" s="2">
        <v>4693</v>
      </c>
      <c r="T303" s="2">
        <v>6108</v>
      </c>
      <c r="U303" s="2">
        <v>0</v>
      </c>
      <c r="W303" s="2">
        <v>43608</v>
      </c>
      <c r="X303" s="2">
        <v>35725</v>
      </c>
      <c r="Y303" s="2">
        <v>29003</v>
      </c>
      <c r="Z303" s="2">
        <v>0</v>
      </c>
      <c r="AA303" s="2">
        <v>0</v>
      </c>
      <c r="AC303" s="2">
        <v>0</v>
      </c>
      <c r="AD303" s="2">
        <v>0</v>
      </c>
      <c r="AE303" s="2">
        <v>0</v>
      </c>
      <c r="AF303" s="2">
        <v>0</v>
      </c>
      <c r="AG303" s="2">
        <v>0</v>
      </c>
      <c r="AI303" s="2">
        <v>-9095</v>
      </c>
      <c r="AJ303" s="2">
        <v>-8539</v>
      </c>
      <c r="AK303" s="2">
        <v>-5812</v>
      </c>
      <c r="AL303" s="2">
        <v>-1958</v>
      </c>
      <c r="AM303" s="2">
        <v>0</v>
      </c>
    </row>
    <row r="304" spans="1:39">
      <c r="A304" s="335">
        <v>92851</v>
      </c>
      <c r="B304" s="328" t="s">
        <v>992</v>
      </c>
      <c r="C304" s="239">
        <v>4.2850000000000001E-4</v>
      </c>
      <c r="E304" s="2">
        <v>184767</v>
      </c>
      <c r="F304" s="2">
        <v>47734</v>
      </c>
      <c r="G304" s="2">
        <v>97762</v>
      </c>
      <c r="H304" s="2">
        <v>25177</v>
      </c>
      <c r="I304" s="2">
        <v>0</v>
      </c>
      <c r="K304" s="2">
        <v>64192</v>
      </c>
      <c r="L304" s="2">
        <v>60384</v>
      </c>
      <c r="M304" s="2">
        <v>54122</v>
      </c>
      <c r="N304" s="2">
        <v>21670</v>
      </c>
      <c r="O304" s="2">
        <v>0</v>
      </c>
      <c r="Q304" s="2">
        <v>68149</v>
      </c>
      <c r="R304" s="2">
        <v>-58621</v>
      </c>
      <c r="S304" s="2">
        <v>8262</v>
      </c>
      <c r="T304" s="2">
        <v>10753</v>
      </c>
      <c r="U304" s="2">
        <v>0</v>
      </c>
      <c r="W304" s="2">
        <v>76771</v>
      </c>
      <c r="X304" s="2">
        <v>62894</v>
      </c>
      <c r="Y304" s="2">
        <v>51059</v>
      </c>
      <c r="Z304" s="2">
        <v>0</v>
      </c>
      <c r="AA304" s="2">
        <v>0</v>
      </c>
      <c r="AC304" s="2">
        <v>0</v>
      </c>
      <c r="AD304" s="2">
        <v>0</v>
      </c>
      <c r="AE304" s="2">
        <v>0</v>
      </c>
      <c r="AF304" s="2">
        <v>0</v>
      </c>
      <c r="AG304" s="2">
        <v>0</v>
      </c>
      <c r="AI304" s="2">
        <v>-24345</v>
      </c>
      <c r="AJ304" s="2">
        <v>-16923</v>
      </c>
      <c r="AK304" s="2">
        <v>-15681</v>
      </c>
      <c r="AL304" s="2">
        <v>-7246</v>
      </c>
      <c r="AM304" s="2">
        <v>0</v>
      </c>
    </row>
    <row r="305" spans="1:39">
      <c r="A305" s="335">
        <v>92861</v>
      </c>
      <c r="B305" s="328" t="s">
        <v>993</v>
      </c>
      <c r="C305" s="239">
        <v>3.6309999999999999E-4</v>
      </c>
      <c r="E305" s="2">
        <v>145778</v>
      </c>
      <c r="F305" s="2">
        <v>34819</v>
      </c>
      <c r="G305" s="2">
        <v>80842</v>
      </c>
      <c r="H305" s="2">
        <v>18969</v>
      </c>
      <c r="I305" s="2">
        <v>0</v>
      </c>
      <c r="K305" s="2">
        <v>54395</v>
      </c>
      <c r="L305" s="2">
        <v>51168</v>
      </c>
      <c r="M305" s="2">
        <v>45861</v>
      </c>
      <c r="N305" s="2">
        <v>18362</v>
      </c>
      <c r="O305" s="2">
        <v>0</v>
      </c>
      <c r="Q305" s="2">
        <v>57748</v>
      </c>
      <c r="R305" s="2">
        <v>-49674</v>
      </c>
      <c r="S305" s="2">
        <v>7001</v>
      </c>
      <c r="T305" s="2">
        <v>9112</v>
      </c>
      <c r="U305" s="2">
        <v>0</v>
      </c>
      <c r="W305" s="2">
        <v>65054</v>
      </c>
      <c r="X305" s="2">
        <v>53294</v>
      </c>
      <c r="Y305" s="2">
        <v>43266</v>
      </c>
      <c r="Z305" s="2">
        <v>0</v>
      </c>
      <c r="AA305" s="2">
        <v>0</v>
      </c>
      <c r="AC305" s="2">
        <v>0</v>
      </c>
      <c r="AD305" s="2">
        <v>0</v>
      </c>
      <c r="AE305" s="2">
        <v>0</v>
      </c>
      <c r="AF305" s="2">
        <v>0</v>
      </c>
      <c r="AG305" s="2">
        <v>0</v>
      </c>
      <c r="AI305" s="2">
        <v>-31419</v>
      </c>
      <c r="AJ305" s="2">
        <v>-19969</v>
      </c>
      <c r="AK305" s="2">
        <v>-15286</v>
      </c>
      <c r="AL305" s="2">
        <v>-8505</v>
      </c>
      <c r="AM305" s="2">
        <v>0</v>
      </c>
    </row>
    <row r="306" spans="1:39">
      <c r="A306" s="335">
        <v>92901</v>
      </c>
      <c r="B306" s="328" t="s">
        <v>994</v>
      </c>
      <c r="C306" s="239">
        <v>5.4326000000000001E-3</v>
      </c>
      <c r="E306" s="2">
        <v>2626324</v>
      </c>
      <c r="F306" s="2">
        <v>810290</v>
      </c>
      <c r="G306" s="2">
        <v>1447236</v>
      </c>
      <c r="H306" s="2">
        <v>420798</v>
      </c>
      <c r="I306" s="2">
        <v>0</v>
      </c>
      <c r="K306" s="2">
        <v>813842</v>
      </c>
      <c r="L306" s="2">
        <v>765562</v>
      </c>
      <c r="M306" s="2">
        <v>686165</v>
      </c>
      <c r="N306" s="2">
        <v>274732</v>
      </c>
      <c r="O306" s="2">
        <v>0</v>
      </c>
      <c r="Q306" s="2">
        <v>864006</v>
      </c>
      <c r="R306" s="2">
        <v>-743207</v>
      </c>
      <c r="S306" s="2">
        <v>104746</v>
      </c>
      <c r="T306" s="2">
        <v>136326</v>
      </c>
      <c r="U306" s="2">
        <v>0</v>
      </c>
      <c r="W306" s="2">
        <v>973315</v>
      </c>
      <c r="X306" s="2">
        <v>797375</v>
      </c>
      <c r="Y306" s="2">
        <v>647332</v>
      </c>
      <c r="Z306" s="2">
        <v>0</v>
      </c>
      <c r="AA306" s="2">
        <v>0</v>
      </c>
      <c r="AC306" s="2">
        <v>9740</v>
      </c>
      <c r="AD306" s="2">
        <v>9740</v>
      </c>
      <c r="AE306" s="2">
        <v>9740</v>
      </c>
      <c r="AF306" s="2">
        <v>9740</v>
      </c>
      <c r="AG306" s="2">
        <v>0</v>
      </c>
      <c r="AI306" s="2">
        <v>-34579</v>
      </c>
      <c r="AJ306" s="2">
        <v>-19180</v>
      </c>
      <c r="AK306" s="2">
        <v>-747</v>
      </c>
      <c r="AL306" s="2">
        <v>0</v>
      </c>
      <c r="AM306" s="2">
        <v>0</v>
      </c>
    </row>
    <row r="307" spans="1:39">
      <c r="A307" s="335">
        <v>92911</v>
      </c>
      <c r="B307" s="328" t="s">
        <v>995</v>
      </c>
      <c r="C307" s="239">
        <v>1.9161E-3</v>
      </c>
      <c r="E307" s="2">
        <v>941970</v>
      </c>
      <c r="F307" s="2">
        <v>308616</v>
      </c>
      <c r="G307" s="2">
        <v>519658</v>
      </c>
      <c r="H307" s="2">
        <v>152923</v>
      </c>
      <c r="I307" s="2">
        <v>0</v>
      </c>
      <c r="K307" s="2">
        <v>287045</v>
      </c>
      <c r="L307" s="2">
        <v>270017</v>
      </c>
      <c r="M307" s="2">
        <v>242013</v>
      </c>
      <c r="N307" s="2">
        <v>96899</v>
      </c>
      <c r="O307" s="2">
        <v>0</v>
      </c>
      <c r="Q307" s="2">
        <v>304738</v>
      </c>
      <c r="R307" s="2">
        <v>-262132</v>
      </c>
      <c r="S307" s="2">
        <v>36944</v>
      </c>
      <c r="T307" s="2">
        <v>48083</v>
      </c>
      <c r="U307" s="2">
        <v>0</v>
      </c>
      <c r="W307" s="2">
        <v>343292</v>
      </c>
      <c r="X307" s="2">
        <v>281237</v>
      </c>
      <c r="Y307" s="2">
        <v>228317</v>
      </c>
      <c r="Z307" s="2">
        <v>0</v>
      </c>
      <c r="AA307" s="2">
        <v>0</v>
      </c>
      <c r="AC307" s="2">
        <v>19496</v>
      </c>
      <c r="AD307" s="2">
        <v>19494</v>
      </c>
      <c r="AE307" s="2">
        <v>12384</v>
      </c>
      <c r="AF307" s="2">
        <v>7941</v>
      </c>
      <c r="AG307" s="2">
        <v>0</v>
      </c>
      <c r="AI307" s="2">
        <v>-12601</v>
      </c>
      <c r="AJ307" s="2">
        <v>0</v>
      </c>
      <c r="AK307" s="2">
        <v>0</v>
      </c>
      <c r="AL307" s="2">
        <v>0</v>
      </c>
      <c r="AM307" s="2">
        <v>0</v>
      </c>
    </row>
    <row r="308" spans="1:39">
      <c r="A308" s="335">
        <v>92913</v>
      </c>
      <c r="B308" s="328" t="s">
        <v>996</v>
      </c>
      <c r="C308" s="239">
        <v>2.0400000000000001E-5</v>
      </c>
      <c r="E308" s="2">
        <v>46393</v>
      </c>
      <c r="F308" s="2">
        <v>32002</v>
      </c>
      <c r="G308" s="2">
        <v>25080</v>
      </c>
      <c r="H308" s="2">
        <v>12018</v>
      </c>
      <c r="I308" s="2">
        <v>0</v>
      </c>
      <c r="K308" s="2">
        <v>3056</v>
      </c>
      <c r="L308" s="2">
        <v>2875</v>
      </c>
      <c r="M308" s="2">
        <v>2577</v>
      </c>
      <c r="N308" s="2">
        <v>1032</v>
      </c>
      <c r="O308" s="2">
        <v>0</v>
      </c>
      <c r="Q308" s="2">
        <v>3244</v>
      </c>
      <c r="R308" s="2">
        <v>-2791</v>
      </c>
      <c r="S308" s="2">
        <v>393</v>
      </c>
      <c r="T308" s="2">
        <v>512</v>
      </c>
      <c r="U308" s="2">
        <v>0</v>
      </c>
      <c r="W308" s="2">
        <v>3655</v>
      </c>
      <c r="X308" s="2">
        <v>2994</v>
      </c>
      <c r="Y308" s="2">
        <v>2431</v>
      </c>
      <c r="Z308" s="2">
        <v>0</v>
      </c>
      <c r="AA308" s="2">
        <v>0</v>
      </c>
      <c r="AC308" s="2">
        <v>36438</v>
      </c>
      <c r="AD308" s="2">
        <v>28924</v>
      </c>
      <c r="AE308" s="2">
        <v>19679</v>
      </c>
      <c r="AF308" s="2">
        <v>10474</v>
      </c>
      <c r="AG308" s="2">
        <v>0</v>
      </c>
      <c r="AI308" s="2">
        <v>0</v>
      </c>
      <c r="AJ308" s="2">
        <v>0</v>
      </c>
      <c r="AK308" s="2">
        <v>0</v>
      </c>
      <c r="AL308" s="2">
        <v>0</v>
      </c>
      <c r="AM308" s="2">
        <v>0</v>
      </c>
    </row>
    <row r="309" spans="1:39">
      <c r="A309" s="335">
        <v>92914</v>
      </c>
      <c r="B309" s="328" t="s">
        <v>997</v>
      </c>
      <c r="C309" s="239">
        <v>2.55E-5</v>
      </c>
      <c r="E309" s="2">
        <v>16832</v>
      </c>
      <c r="F309" s="2">
        <v>8235</v>
      </c>
      <c r="G309" s="2">
        <v>6848</v>
      </c>
      <c r="H309" s="2">
        <v>2336</v>
      </c>
      <c r="I309" s="2">
        <v>0</v>
      </c>
      <c r="K309" s="2">
        <v>3820</v>
      </c>
      <c r="L309" s="2">
        <v>3593</v>
      </c>
      <c r="M309" s="2">
        <v>3221</v>
      </c>
      <c r="N309" s="2">
        <v>1290</v>
      </c>
      <c r="O309" s="2">
        <v>0</v>
      </c>
      <c r="Q309" s="2">
        <v>4056</v>
      </c>
      <c r="R309" s="2">
        <v>-3489</v>
      </c>
      <c r="S309" s="2">
        <v>492</v>
      </c>
      <c r="T309" s="2">
        <v>640</v>
      </c>
      <c r="U309" s="2">
        <v>0</v>
      </c>
      <c r="W309" s="2">
        <v>4569</v>
      </c>
      <c r="X309" s="2">
        <v>3743</v>
      </c>
      <c r="Y309" s="2">
        <v>3039</v>
      </c>
      <c r="Z309" s="2">
        <v>0</v>
      </c>
      <c r="AA309" s="2">
        <v>0</v>
      </c>
      <c r="AC309" s="2">
        <v>4699</v>
      </c>
      <c r="AD309" s="2">
        <v>4700</v>
      </c>
      <c r="AE309" s="2">
        <v>406</v>
      </c>
      <c r="AF309" s="2">
        <v>406</v>
      </c>
      <c r="AG309" s="2">
        <v>0</v>
      </c>
      <c r="AI309" s="2">
        <v>-312</v>
      </c>
      <c r="AJ309" s="2">
        <v>-312</v>
      </c>
      <c r="AK309" s="2">
        <v>-310</v>
      </c>
      <c r="AL309" s="2">
        <v>0</v>
      </c>
      <c r="AM309" s="2">
        <v>0</v>
      </c>
    </row>
    <row r="310" spans="1:39">
      <c r="A310" s="335">
        <v>92917</v>
      </c>
      <c r="B310" s="328" t="s">
        <v>998</v>
      </c>
      <c r="C310" s="239">
        <v>1.9199999999999999E-5</v>
      </c>
      <c r="E310" s="2">
        <v>15431</v>
      </c>
      <c r="F310" s="2">
        <v>7580</v>
      </c>
      <c r="G310" s="2">
        <v>8782</v>
      </c>
      <c r="H310" s="2">
        <v>3276</v>
      </c>
      <c r="I310" s="2">
        <v>0</v>
      </c>
      <c r="K310" s="2">
        <v>2876</v>
      </c>
      <c r="L310" s="2">
        <v>2706</v>
      </c>
      <c r="M310" s="2">
        <v>2425</v>
      </c>
      <c r="N310" s="2">
        <v>971</v>
      </c>
      <c r="O310" s="2">
        <v>0</v>
      </c>
      <c r="Q310" s="2">
        <v>3054</v>
      </c>
      <c r="R310" s="2">
        <v>-2627</v>
      </c>
      <c r="S310" s="2">
        <v>370</v>
      </c>
      <c r="T310" s="2">
        <v>482</v>
      </c>
      <c r="U310" s="2">
        <v>0</v>
      </c>
      <c r="W310" s="2">
        <v>3440</v>
      </c>
      <c r="X310" s="2">
        <v>2818</v>
      </c>
      <c r="Y310" s="2">
        <v>2288</v>
      </c>
      <c r="Z310" s="2">
        <v>0</v>
      </c>
      <c r="AA310" s="2">
        <v>0</v>
      </c>
      <c r="AC310" s="2">
        <v>6061</v>
      </c>
      <c r="AD310" s="2">
        <v>4683</v>
      </c>
      <c r="AE310" s="2">
        <v>3699</v>
      </c>
      <c r="AF310" s="2">
        <v>1823</v>
      </c>
      <c r="AG310" s="2">
        <v>0</v>
      </c>
      <c r="AI310" s="2">
        <v>0</v>
      </c>
      <c r="AJ310" s="2">
        <v>0</v>
      </c>
      <c r="AK310" s="2">
        <v>0</v>
      </c>
      <c r="AL310" s="2">
        <v>0</v>
      </c>
      <c r="AM310" s="2">
        <v>0</v>
      </c>
    </row>
    <row r="311" spans="1:39">
      <c r="A311" s="335">
        <v>92921</v>
      </c>
      <c r="B311" s="328" t="s">
        <v>999</v>
      </c>
      <c r="C311" s="239">
        <v>9.6600000000000003E-5</v>
      </c>
      <c r="E311" s="2">
        <v>55769</v>
      </c>
      <c r="F311" s="2">
        <v>23971</v>
      </c>
      <c r="G311" s="2">
        <v>31656</v>
      </c>
      <c r="H311" s="2">
        <v>9714</v>
      </c>
      <c r="I311" s="2">
        <v>0</v>
      </c>
      <c r="K311" s="2">
        <v>14471</v>
      </c>
      <c r="L311" s="2">
        <v>13613</v>
      </c>
      <c r="M311" s="2">
        <v>12201</v>
      </c>
      <c r="N311" s="2">
        <v>4885</v>
      </c>
      <c r="O311" s="2">
        <v>0</v>
      </c>
      <c r="Q311" s="2">
        <v>15363</v>
      </c>
      <c r="R311" s="2">
        <v>-13215</v>
      </c>
      <c r="S311" s="2">
        <v>1863</v>
      </c>
      <c r="T311" s="2">
        <v>2424</v>
      </c>
      <c r="U311" s="2">
        <v>0</v>
      </c>
      <c r="W311" s="2">
        <v>17307</v>
      </c>
      <c r="X311" s="2">
        <v>14179</v>
      </c>
      <c r="Y311" s="2">
        <v>11511</v>
      </c>
      <c r="Z311" s="2">
        <v>0</v>
      </c>
      <c r="AA311" s="2">
        <v>0</v>
      </c>
      <c r="AC311" s="2">
        <v>9394</v>
      </c>
      <c r="AD311" s="2">
        <v>9394</v>
      </c>
      <c r="AE311" s="2">
        <v>6081</v>
      </c>
      <c r="AF311" s="2">
        <v>2405</v>
      </c>
      <c r="AG311" s="2">
        <v>0</v>
      </c>
      <c r="AI311" s="2">
        <v>-766</v>
      </c>
      <c r="AJ311" s="2">
        <v>0</v>
      </c>
      <c r="AK311" s="2">
        <v>0</v>
      </c>
      <c r="AL311" s="2">
        <v>0</v>
      </c>
      <c r="AM311" s="2">
        <v>0</v>
      </c>
    </row>
    <row r="312" spans="1:39">
      <c r="A312" s="335">
        <v>92931</v>
      </c>
      <c r="B312" s="328" t="s">
        <v>1000</v>
      </c>
      <c r="C312" s="239">
        <v>2.2504999999999999E-3</v>
      </c>
      <c r="E312" s="2">
        <v>1022051</v>
      </c>
      <c r="F312" s="2">
        <v>282763</v>
      </c>
      <c r="G312" s="2">
        <v>555078</v>
      </c>
      <c r="H312" s="2">
        <v>122507</v>
      </c>
      <c r="I312" s="2">
        <v>0</v>
      </c>
      <c r="K312" s="2">
        <v>337141</v>
      </c>
      <c r="L312" s="2">
        <v>317140</v>
      </c>
      <c r="M312" s="2">
        <v>284249</v>
      </c>
      <c r="N312" s="2">
        <v>113810</v>
      </c>
      <c r="O312" s="2">
        <v>0</v>
      </c>
      <c r="Q312" s="2">
        <v>357922</v>
      </c>
      <c r="R312" s="2">
        <v>-307880</v>
      </c>
      <c r="S312" s="2">
        <v>43392</v>
      </c>
      <c r="T312" s="2">
        <v>56474</v>
      </c>
      <c r="U312" s="2">
        <v>0</v>
      </c>
      <c r="W312" s="2">
        <v>403204</v>
      </c>
      <c r="X312" s="2">
        <v>330319</v>
      </c>
      <c r="Y312" s="2">
        <v>268163</v>
      </c>
      <c r="Z312" s="2">
        <v>0</v>
      </c>
      <c r="AA312" s="2">
        <v>0</v>
      </c>
      <c r="AC312" s="2">
        <v>7052</v>
      </c>
      <c r="AD312" s="2">
        <v>7052</v>
      </c>
      <c r="AE312" s="2">
        <v>7050</v>
      </c>
      <c r="AF312" s="2">
        <v>0</v>
      </c>
      <c r="AG312" s="2">
        <v>0</v>
      </c>
      <c r="AI312" s="2">
        <v>-83268</v>
      </c>
      <c r="AJ312" s="2">
        <v>-63868</v>
      </c>
      <c r="AK312" s="2">
        <v>-47776</v>
      </c>
      <c r="AL312" s="2">
        <v>-47777</v>
      </c>
      <c r="AM312" s="2">
        <v>0</v>
      </c>
    </row>
    <row r="313" spans="1:39">
      <c r="A313" s="335">
        <v>92941</v>
      </c>
      <c r="B313" s="328" t="s">
        <v>81</v>
      </c>
      <c r="C313" s="239">
        <v>4.1999999999999996E-6</v>
      </c>
      <c r="E313" s="2">
        <v>1409</v>
      </c>
      <c r="F313" s="2">
        <v>-233</v>
      </c>
      <c r="G313" s="2">
        <v>689</v>
      </c>
      <c r="H313" s="2">
        <v>585</v>
      </c>
      <c r="I313" s="2">
        <v>0</v>
      </c>
      <c r="K313" s="2">
        <v>629</v>
      </c>
      <c r="L313" s="2">
        <v>592</v>
      </c>
      <c r="M313" s="2">
        <v>530</v>
      </c>
      <c r="N313" s="2">
        <v>212</v>
      </c>
      <c r="O313" s="2">
        <v>0</v>
      </c>
      <c r="Q313" s="2">
        <v>668</v>
      </c>
      <c r="R313" s="2">
        <v>-575</v>
      </c>
      <c r="S313" s="2">
        <v>81</v>
      </c>
      <c r="T313" s="2">
        <v>105</v>
      </c>
      <c r="U313" s="2">
        <v>0</v>
      </c>
      <c r="W313" s="2">
        <v>752</v>
      </c>
      <c r="X313" s="2">
        <v>616</v>
      </c>
      <c r="Y313" s="2">
        <v>500</v>
      </c>
      <c r="Z313" s="2">
        <v>0</v>
      </c>
      <c r="AA313" s="2">
        <v>0</v>
      </c>
      <c r="AC313" s="2">
        <v>493</v>
      </c>
      <c r="AD313" s="2">
        <v>269</v>
      </c>
      <c r="AE313" s="2">
        <v>269</v>
      </c>
      <c r="AF313" s="2">
        <v>268</v>
      </c>
      <c r="AG313" s="2">
        <v>0</v>
      </c>
      <c r="AI313" s="2">
        <v>-1133</v>
      </c>
      <c r="AJ313" s="2">
        <v>-1135</v>
      </c>
      <c r="AK313" s="2">
        <v>-691</v>
      </c>
      <c r="AL313" s="2">
        <v>0</v>
      </c>
      <c r="AM313" s="2">
        <v>0</v>
      </c>
    </row>
    <row r="314" spans="1:39">
      <c r="A314" s="335">
        <v>93001</v>
      </c>
      <c r="B314" s="328" t="s">
        <v>1001</v>
      </c>
      <c r="C314" s="239">
        <v>2.2536000000000001E-3</v>
      </c>
      <c r="E314" s="2">
        <v>1068457</v>
      </c>
      <c r="F314" s="2">
        <v>314558</v>
      </c>
      <c r="G314" s="2">
        <v>587586</v>
      </c>
      <c r="H314" s="2">
        <v>158789</v>
      </c>
      <c r="I314" s="2">
        <v>0</v>
      </c>
      <c r="K314" s="2">
        <v>337605</v>
      </c>
      <c r="L314" s="2">
        <v>317577</v>
      </c>
      <c r="M314" s="2">
        <v>284641</v>
      </c>
      <c r="N314" s="2">
        <v>113967</v>
      </c>
      <c r="O314" s="2">
        <v>0</v>
      </c>
      <c r="Q314" s="2">
        <v>358415</v>
      </c>
      <c r="R314" s="2">
        <v>-308304</v>
      </c>
      <c r="S314" s="2">
        <v>43452</v>
      </c>
      <c r="T314" s="2">
        <v>56552</v>
      </c>
      <c r="U314" s="2">
        <v>0</v>
      </c>
      <c r="W314" s="2">
        <v>403759</v>
      </c>
      <c r="X314" s="2">
        <v>330774</v>
      </c>
      <c r="Y314" s="2">
        <v>268532</v>
      </c>
      <c r="Z314" s="2">
        <v>0</v>
      </c>
      <c r="AA314" s="2">
        <v>0</v>
      </c>
      <c r="AC314" s="2">
        <v>2689</v>
      </c>
      <c r="AD314" s="2">
        <v>2689</v>
      </c>
      <c r="AE314" s="2">
        <v>2690</v>
      </c>
      <c r="AF314" s="2">
        <v>0</v>
      </c>
      <c r="AG314" s="2">
        <v>0</v>
      </c>
      <c r="AI314" s="2">
        <v>-34011</v>
      </c>
      <c r="AJ314" s="2">
        <v>-28178</v>
      </c>
      <c r="AK314" s="2">
        <v>-11729</v>
      </c>
      <c r="AL314" s="2">
        <v>-11730</v>
      </c>
      <c r="AM314" s="2">
        <v>0</v>
      </c>
    </row>
    <row r="315" spans="1:39">
      <c r="A315" s="335">
        <v>93009</v>
      </c>
      <c r="B315" s="328" t="s">
        <v>3689</v>
      </c>
      <c r="C315" s="239">
        <v>1.2799999999999999E-5</v>
      </c>
      <c r="E315" s="2">
        <v>4642</v>
      </c>
      <c r="F315" s="2">
        <v>711</v>
      </c>
      <c r="G315" s="2">
        <v>2562</v>
      </c>
      <c r="H315" s="2">
        <v>500</v>
      </c>
      <c r="I315" s="2">
        <v>0</v>
      </c>
      <c r="K315" s="2">
        <v>1918</v>
      </c>
      <c r="L315" s="2">
        <v>1804</v>
      </c>
      <c r="M315" s="2">
        <v>1617</v>
      </c>
      <c r="N315" s="2">
        <v>647</v>
      </c>
      <c r="O315" s="2">
        <v>0</v>
      </c>
      <c r="Q315" s="2">
        <v>2036</v>
      </c>
      <c r="R315" s="2">
        <v>-1751</v>
      </c>
      <c r="S315" s="2">
        <v>247</v>
      </c>
      <c r="T315" s="2">
        <v>321</v>
      </c>
      <c r="U315" s="2">
        <v>0</v>
      </c>
      <c r="W315" s="2">
        <v>2293</v>
      </c>
      <c r="X315" s="2">
        <v>1879</v>
      </c>
      <c r="Y315" s="2">
        <v>1525</v>
      </c>
      <c r="Z315" s="2">
        <v>0</v>
      </c>
      <c r="AA315" s="2">
        <v>0</v>
      </c>
      <c r="AC315" s="2">
        <v>0</v>
      </c>
      <c r="AD315" s="2">
        <v>0</v>
      </c>
      <c r="AE315" s="2">
        <v>0</v>
      </c>
      <c r="AF315" s="2">
        <v>0</v>
      </c>
      <c r="AG315" s="2">
        <v>0</v>
      </c>
      <c r="AI315" s="2">
        <v>-1605</v>
      </c>
      <c r="AJ315" s="2">
        <v>-1221</v>
      </c>
      <c r="AK315" s="2">
        <v>-827</v>
      </c>
      <c r="AL315" s="2">
        <v>-468</v>
      </c>
      <c r="AM315" s="2">
        <v>0</v>
      </c>
    </row>
    <row r="316" spans="1:39">
      <c r="A316" s="335">
        <v>93011</v>
      </c>
      <c r="B316" s="328" t="s">
        <v>1003</v>
      </c>
      <c r="C316" s="239">
        <v>3.0909999999999998E-4</v>
      </c>
      <c r="E316" s="2">
        <v>166605</v>
      </c>
      <c r="F316" s="2">
        <v>63096</v>
      </c>
      <c r="G316" s="2">
        <v>101227</v>
      </c>
      <c r="H316" s="2">
        <v>30043</v>
      </c>
      <c r="I316" s="2">
        <v>0</v>
      </c>
      <c r="K316" s="2">
        <v>46305</v>
      </c>
      <c r="L316" s="2">
        <v>43558</v>
      </c>
      <c r="M316" s="2">
        <v>39041</v>
      </c>
      <c r="N316" s="2">
        <v>15631</v>
      </c>
      <c r="O316" s="2">
        <v>0</v>
      </c>
      <c r="Q316" s="2">
        <v>49160</v>
      </c>
      <c r="R316" s="2">
        <v>-42286</v>
      </c>
      <c r="S316" s="2">
        <v>5960</v>
      </c>
      <c r="T316" s="2">
        <v>7757</v>
      </c>
      <c r="U316" s="2">
        <v>0</v>
      </c>
      <c r="W316" s="2">
        <v>55379</v>
      </c>
      <c r="X316" s="2">
        <v>45368</v>
      </c>
      <c r="Y316" s="2">
        <v>36831</v>
      </c>
      <c r="Z316" s="2">
        <v>0</v>
      </c>
      <c r="AA316" s="2">
        <v>0</v>
      </c>
      <c r="AC316" s="2">
        <v>19395</v>
      </c>
      <c r="AD316" s="2">
        <v>19395</v>
      </c>
      <c r="AE316" s="2">
        <v>19395</v>
      </c>
      <c r="AF316" s="2">
        <v>6655</v>
      </c>
      <c r="AG316" s="2">
        <v>0</v>
      </c>
      <c r="AI316" s="2">
        <v>-3634</v>
      </c>
      <c r="AJ316" s="2">
        <v>-2939</v>
      </c>
      <c r="AK316" s="2">
        <v>0</v>
      </c>
      <c r="AL316" s="2">
        <v>0</v>
      </c>
      <c r="AM316" s="2">
        <v>0</v>
      </c>
    </row>
    <row r="317" spans="1:39">
      <c r="A317" s="335">
        <v>93021</v>
      </c>
      <c r="B317" s="328" t="s">
        <v>1004</v>
      </c>
      <c r="C317" s="239">
        <v>3.0499999999999999E-5</v>
      </c>
      <c r="E317" s="2">
        <v>12273</v>
      </c>
      <c r="F317" s="2">
        <v>3487</v>
      </c>
      <c r="G317" s="2">
        <v>6610</v>
      </c>
      <c r="H317" s="2">
        <v>1462</v>
      </c>
      <c r="I317" s="2">
        <v>0</v>
      </c>
      <c r="K317" s="2">
        <v>4569</v>
      </c>
      <c r="L317" s="2">
        <v>4298</v>
      </c>
      <c r="M317" s="2">
        <v>3852</v>
      </c>
      <c r="N317" s="2">
        <v>1542</v>
      </c>
      <c r="O317" s="2">
        <v>0</v>
      </c>
      <c r="Q317" s="2">
        <v>4851</v>
      </c>
      <c r="R317" s="2">
        <v>-4173</v>
      </c>
      <c r="S317" s="2">
        <v>588</v>
      </c>
      <c r="T317" s="2">
        <v>765</v>
      </c>
      <c r="U317" s="2">
        <v>0</v>
      </c>
      <c r="W317" s="2">
        <v>5464</v>
      </c>
      <c r="X317" s="2">
        <v>4477</v>
      </c>
      <c r="Y317" s="2">
        <v>3634</v>
      </c>
      <c r="Z317" s="2">
        <v>0</v>
      </c>
      <c r="AA317" s="2">
        <v>0</v>
      </c>
      <c r="AC317" s="2">
        <v>347</v>
      </c>
      <c r="AD317" s="2">
        <v>347</v>
      </c>
      <c r="AE317" s="2">
        <v>0</v>
      </c>
      <c r="AF317" s="2">
        <v>0</v>
      </c>
      <c r="AG317" s="2">
        <v>0</v>
      </c>
      <c r="AI317" s="2">
        <v>-2958</v>
      </c>
      <c r="AJ317" s="2">
        <v>-1462</v>
      </c>
      <c r="AK317" s="2">
        <v>-1464</v>
      </c>
      <c r="AL317" s="2">
        <v>-845</v>
      </c>
      <c r="AM317" s="2">
        <v>0</v>
      </c>
    </row>
    <row r="318" spans="1:39">
      <c r="A318" s="335">
        <v>93031</v>
      </c>
      <c r="B318" s="328" t="s">
        <v>1006</v>
      </c>
      <c r="C318" s="239">
        <v>7.7000000000000008E-6</v>
      </c>
      <c r="E318" s="2">
        <v>10853</v>
      </c>
      <c r="F318" s="2">
        <v>5353</v>
      </c>
      <c r="G318" s="2">
        <v>4261</v>
      </c>
      <c r="H318" s="2">
        <v>921</v>
      </c>
      <c r="I318" s="2">
        <v>0</v>
      </c>
      <c r="K318" s="2">
        <v>1154</v>
      </c>
      <c r="L318" s="2">
        <v>1085</v>
      </c>
      <c r="M318" s="2">
        <v>973</v>
      </c>
      <c r="N318" s="2">
        <v>389</v>
      </c>
      <c r="O318" s="2">
        <v>0</v>
      </c>
      <c r="Q318" s="2">
        <v>1225</v>
      </c>
      <c r="R318" s="2">
        <v>-1053</v>
      </c>
      <c r="S318" s="2">
        <v>148</v>
      </c>
      <c r="T318" s="2">
        <v>193</v>
      </c>
      <c r="U318" s="2">
        <v>0</v>
      </c>
      <c r="W318" s="2">
        <v>1380</v>
      </c>
      <c r="X318" s="2">
        <v>1130</v>
      </c>
      <c r="Y318" s="2">
        <v>918</v>
      </c>
      <c r="Z318" s="2">
        <v>0</v>
      </c>
      <c r="AA318" s="2">
        <v>0</v>
      </c>
      <c r="AC318" s="2">
        <v>7094</v>
      </c>
      <c r="AD318" s="2">
        <v>4191</v>
      </c>
      <c r="AE318" s="2">
        <v>2222</v>
      </c>
      <c r="AF318" s="2">
        <v>339</v>
      </c>
      <c r="AG318" s="2">
        <v>0</v>
      </c>
      <c r="AI318" s="2">
        <v>0</v>
      </c>
      <c r="AJ318" s="2">
        <v>0</v>
      </c>
      <c r="AK318" s="2">
        <v>0</v>
      </c>
      <c r="AL318" s="2">
        <v>0</v>
      </c>
      <c r="AM318" s="2">
        <v>0</v>
      </c>
    </row>
    <row r="319" spans="1:39">
      <c r="A319" s="335">
        <v>93101</v>
      </c>
      <c r="B319" s="328" t="s">
        <v>1007</v>
      </c>
      <c r="C319" s="239">
        <v>3.1914999999999999E-3</v>
      </c>
      <c r="E319" s="2">
        <v>1457211</v>
      </c>
      <c r="F319" s="2">
        <v>371997</v>
      </c>
      <c r="G319" s="2">
        <v>764189</v>
      </c>
      <c r="H319" s="2">
        <v>215660</v>
      </c>
      <c r="I319" s="2">
        <v>0</v>
      </c>
      <c r="K319" s="2">
        <v>478109</v>
      </c>
      <c r="L319" s="2">
        <v>449746</v>
      </c>
      <c r="M319" s="2">
        <v>403102</v>
      </c>
      <c r="N319" s="2">
        <v>161397</v>
      </c>
      <c r="O319" s="2">
        <v>0</v>
      </c>
      <c r="Q319" s="2">
        <v>507579</v>
      </c>
      <c r="R319" s="2">
        <v>-436613</v>
      </c>
      <c r="S319" s="2">
        <v>61535</v>
      </c>
      <c r="T319" s="2">
        <v>80088</v>
      </c>
      <c r="U319" s="2">
        <v>0</v>
      </c>
      <c r="W319" s="2">
        <v>571796</v>
      </c>
      <c r="X319" s="2">
        <v>468436</v>
      </c>
      <c r="Y319" s="2">
        <v>380290</v>
      </c>
      <c r="Z319" s="2">
        <v>0</v>
      </c>
      <c r="AA319" s="2">
        <v>0</v>
      </c>
      <c r="AC319" s="2">
        <v>9298</v>
      </c>
      <c r="AD319" s="2">
        <v>0</v>
      </c>
      <c r="AE319" s="2">
        <v>0</v>
      </c>
      <c r="AF319" s="2">
        <v>0</v>
      </c>
      <c r="AG319" s="2">
        <v>0</v>
      </c>
      <c r="AI319" s="2">
        <v>-109571</v>
      </c>
      <c r="AJ319" s="2">
        <v>-109572</v>
      </c>
      <c r="AK319" s="2">
        <v>-80738</v>
      </c>
      <c r="AL319" s="2">
        <v>-25825</v>
      </c>
      <c r="AM319" s="2">
        <v>0</v>
      </c>
    </row>
    <row r="320" spans="1:39">
      <c r="A320" s="335">
        <v>93103</v>
      </c>
      <c r="B320" s="328" t="s">
        <v>260</v>
      </c>
      <c r="C320" s="239">
        <v>1.56E-5</v>
      </c>
      <c r="E320" s="2">
        <v>7772</v>
      </c>
      <c r="F320" s="2">
        <v>774</v>
      </c>
      <c r="G320" s="2">
        <v>3000</v>
      </c>
      <c r="H320" s="2">
        <v>553</v>
      </c>
      <c r="I320" s="2">
        <v>0</v>
      </c>
      <c r="K320" s="2">
        <v>2337</v>
      </c>
      <c r="L320" s="2">
        <v>2198</v>
      </c>
      <c r="M320" s="2">
        <v>1970</v>
      </c>
      <c r="N320" s="2">
        <v>789</v>
      </c>
      <c r="O320" s="2">
        <v>0</v>
      </c>
      <c r="Q320" s="2">
        <v>2481</v>
      </c>
      <c r="R320" s="2">
        <v>-2134</v>
      </c>
      <c r="S320" s="2">
        <v>301</v>
      </c>
      <c r="T320" s="2">
        <v>391</v>
      </c>
      <c r="U320" s="2">
        <v>0</v>
      </c>
      <c r="W320" s="2">
        <v>2795</v>
      </c>
      <c r="X320" s="2">
        <v>2290</v>
      </c>
      <c r="Y320" s="2">
        <v>1859</v>
      </c>
      <c r="Z320" s="2">
        <v>0</v>
      </c>
      <c r="AA320" s="2">
        <v>0</v>
      </c>
      <c r="AC320" s="2">
        <v>1741</v>
      </c>
      <c r="AD320" s="2">
        <v>0</v>
      </c>
      <c r="AE320" s="2">
        <v>0</v>
      </c>
      <c r="AF320" s="2">
        <v>0</v>
      </c>
      <c r="AG320" s="2">
        <v>0</v>
      </c>
      <c r="AI320" s="2">
        <v>-1582</v>
      </c>
      <c r="AJ320" s="2">
        <v>-1580</v>
      </c>
      <c r="AK320" s="2">
        <v>-1130</v>
      </c>
      <c r="AL320" s="2">
        <v>-627</v>
      </c>
      <c r="AM320" s="2">
        <v>0</v>
      </c>
    </row>
    <row r="321" spans="1:39">
      <c r="A321" s="335">
        <v>93108</v>
      </c>
      <c r="B321" s="328" t="s">
        <v>1008</v>
      </c>
      <c r="C321" s="239">
        <v>2.2694E-3</v>
      </c>
      <c r="E321" s="2">
        <v>1059459</v>
      </c>
      <c r="F321" s="2">
        <v>279939</v>
      </c>
      <c r="G321" s="2">
        <v>528798</v>
      </c>
      <c r="H321" s="2">
        <v>145112</v>
      </c>
      <c r="I321" s="2">
        <v>0</v>
      </c>
      <c r="K321" s="2">
        <v>339972</v>
      </c>
      <c r="L321" s="2">
        <v>319804</v>
      </c>
      <c r="M321" s="2">
        <v>286637</v>
      </c>
      <c r="N321" s="2">
        <v>114766</v>
      </c>
      <c r="O321" s="2">
        <v>0</v>
      </c>
      <c r="Q321" s="2">
        <v>360928</v>
      </c>
      <c r="R321" s="2">
        <v>-310465</v>
      </c>
      <c r="S321" s="2">
        <v>43756</v>
      </c>
      <c r="T321" s="2">
        <v>56948</v>
      </c>
      <c r="U321" s="2">
        <v>0</v>
      </c>
      <c r="W321" s="2">
        <v>406590</v>
      </c>
      <c r="X321" s="2">
        <v>333093</v>
      </c>
      <c r="Y321" s="2">
        <v>270415</v>
      </c>
      <c r="Z321" s="2">
        <v>0</v>
      </c>
      <c r="AA321" s="2">
        <v>0</v>
      </c>
      <c r="AC321" s="2">
        <v>23980</v>
      </c>
      <c r="AD321" s="2">
        <v>9518</v>
      </c>
      <c r="AE321" s="2">
        <v>0</v>
      </c>
      <c r="AF321" s="2">
        <v>0</v>
      </c>
      <c r="AG321" s="2">
        <v>0</v>
      </c>
      <c r="AI321" s="2">
        <v>-72011</v>
      </c>
      <c r="AJ321" s="2">
        <v>-72011</v>
      </c>
      <c r="AK321" s="2">
        <v>-72010</v>
      </c>
      <c r="AL321" s="2">
        <v>-26602</v>
      </c>
      <c r="AM321" s="2">
        <v>0</v>
      </c>
    </row>
    <row r="322" spans="1:39">
      <c r="A322" s="335">
        <v>93111</v>
      </c>
      <c r="B322" s="328" t="s">
        <v>1009</v>
      </c>
      <c r="C322" s="239">
        <v>5.8199999999999998E-5</v>
      </c>
      <c r="E322" s="2">
        <v>24461</v>
      </c>
      <c r="F322" s="2">
        <v>5975</v>
      </c>
      <c r="G322" s="2">
        <v>14607</v>
      </c>
      <c r="H322" s="2">
        <v>3450</v>
      </c>
      <c r="I322" s="2">
        <v>0</v>
      </c>
      <c r="K322" s="2">
        <v>8719</v>
      </c>
      <c r="L322" s="2">
        <v>8202</v>
      </c>
      <c r="M322" s="2">
        <v>7351</v>
      </c>
      <c r="N322" s="2">
        <v>2943</v>
      </c>
      <c r="O322" s="2">
        <v>0</v>
      </c>
      <c r="Q322" s="2">
        <v>9256</v>
      </c>
      <c r="R322" s="2">
        <v>-7962</v>
      </c>
      <c r="S322" s="2">
        <v>1122</v>
      </c>
      <c r="T322" s="2">
        <v>1460</v>
      </c>
      <c r="U322" s="2">
        <v>0</v>
      </c>
      <c r="W322" s="2">
        <v>10427</v>
      </c>
      <c r="X322" s="2">
        <v>8542</v>
      </c>
      <c r="Y322" s="2">
        <v>6935</v>
      </c>
      <c r="Z322" s="2">
        <v>0</v>
      </c>
      <c r="AA322" s="2">
        <v>0</v>
      </c>
      <c r="AC322" s="2">
        <v>152</v>
      </c>
      <c r="AD322" s="2">
        <v>152</v>
      </c>
      <c r="AE322" s="2">
        <v>153</v>
      </c>
      <c r="AF322" s="2">
        <v>0</v>
      </c>
      <c r="AG322" s="2">
        <v>0</v>
      </c>
      <c r="AI322" s="2">
        <v>-4093</v>
      </c>
      <c r="AJ322" s="2">
        <v>-2959</v>
      </c>
      <c r="AK322" s="2">
        <v>-954</v>
      </c>
      <c r="AL322" s="2">
        <v>-953</v>
      </c>
      <c r="AM322" s="2">
        <v>0</v>
      </c>
    </row>
    <row r="323" spans="1:39">
      <c r="A323" s="335">
        <v>93121</v>
      </c>
      <c r="B323" s="328" t="s">
        <v>1010</v>
      </c>
      <c r="C323" s="239">
        <v>6.2199999999999994E-5</v>
      </c>
      <c r="E323" s="2">
        <v>30138</v>
      </c>
      <c r="F323" s="2">
        <v>11472</v>
      </c>
      <c r="G323" s="2">
        <v>18044</v>
      </c>
      <c r="H323" s="2">
        <v>6902</v>
      </c>
      <c r="I323" s="2">
        <v>0</v>
      </c>
      <c r="K323" s="2">
        <v>9318</v>
      </c>
      <c r="L323" s="2">
        <v>8765</v>
      </c>
      <c r="M323" s="2">
        <v>7856</v>
      </c>
      <c r="N323" s="2">
        <v>3146</v>
      </c>
      <c r="O323" s="2">
        <v>0</v>
      </c>
      <c r="Q323" s="2">
        <v>9892</v>
      </c>
      <c r="R323" s="2">
        <v>-8509</v>
      </c>
      <c r="S323" s="2">
        <v>1199</v>
      </c>
      <c r="T323" s="2">
        <v>1561</v>
      </c>
      <c r="U323" s="2">
        <v>0</v>
      </c>
      <c r="W323" s="2">
        <v>11144</v>
      </c>
      <c r="X323" s="2">
        <v>9129</v>
      </c>
      <c r="Y323" s="2">
        <v>7412</v>
      </c>
      <c r="Z323" s="2">
        <v>0</v>
      </c>
      <c r="AA323" s="2">
        <v>0</v>
      </c>
      <c r="AC323" s="2">
        <v>2707</v>
      </c>
      <c r="AD323" s="2">
        <v>2706</v>
      </c>
      <c r="AE323" s="2">
        <v>2196</v>
      </c>
      <c r="AF323" s="2">
        <v>2195</v>
      </c>
      <c r="AG323" s="2">
        <v>0</v>
      </c>
      <c r="AI323" s="2">
        <v>-2923</v>
      </c>
      <c r="AJ323" s="2">
        <v>-619</v>
      </c>
      <c r="AK323" s="2">
        <v>-619</v>
      </c>
      <c r="AL323" s="2">
        <v>0</v>
      </c>
      <c r="AM323" s="2">
        <v>0</v>
      </c>
    </row>
    <row r="324" spans="1:39">
      <c r="A324" s="335">
        <v>93127</v>
      </c>
      <c r="B324" s="328" t="s">
        <v>1011</v>
      </c>
      <c r="C324" s="239">
        <v>5.9000000000000003E-6</v>
      </c>
      <c r="E324" s="2">
        <v>2555</v>
      </c>
      <c r="F324" s="2">
        <v>682</v>
      </c>
      <c r="G324" s="2">
        <v>1321</v>
      </c>
      <c r="H324" s="2">
        <v>244</v>
      </c>
      <c r="I324" s="2">
        <v>0</v>
      </c>
      <c r="K324" s="2">
        <v>884</v>
      </c>
      <c r="L324" s="2">
        <v>831</v>
      </c>
      <c r="M324" s="2">
        <v>745</v>
      </c>
      <c r="N324" s="2">
        <v>298</v>
      </c>
      <c r="O324" s="2">
        <v>0</v>
      </c>
      <c r="Q324" s="2">
        <v>938</v>
      </c>
      <c r="R324" s="2">
        <v>-807</v>
      </c>
      <c r="S324" s="2">
        <v>114</v>
      </c>
      <c r="T324" s="2">
        <v>148</v>
      </c>
      <c r="U324" s="2">
        <v>0</v>
      </c>
      <c r="W324" s="2">
        <v>1057</v>
      </c>
      <c r="X324" s="2">
        <v>866</v>
      </c>
      <c r="Y324" s="2">
        <v>703</v>
      </c>
      <c r="Z324" s="2">
        <v>0</v>
      </c>
      <c r="AA324" s="2">
        <v>0</v>
      </c>
      <c r="AC324" s="2">
        <v>31</v>
      </c>
      <c r="AD324" s="2">
        <v>31</v>
      </c>
      <c r="AE324" s="2">
        <v>0</v>
      </c>
      <c r="AF324" s="2">
        <v>0</v>
      </c>
      <c r="AG324" s="2">
        <v>0</v>
      </c>
      <c r="AI324" s="2">
        <v>-355</v>
      </c>
      <c r="AJ324" s="2">
        <v>-239</v>
      </c>
      <c r="AK324" s="2">
        <v>-241</v>
      </c>
      <c r="AL324" s="2">
        <v>-202</v>
      </c>
      <c r="AM324" s="2">
        <v>0</v>
      </c>
    </row>
    <row r="325" spans="1:39">
      <c r="A325" s="335">
        <v>93131</v>
      </c>
      <c r="B325" s="328" t="s">
        <v>1012</v>
      </c>
      <c r="C325" s="239">
        <v>1.7799999999999999E-4</v>
      </c>
      <c r="E325" s="2">
        <v>72654</v>
      </c>
      <c r="F325" s="2">
        <v>14067</v>
      </c>
      <c r="G325" s="2">
        <v>38626</v>
      </c>
      <c r="H325" s="2">
        <v>9575</v>
      </c>
      <c r="I325" s="2">
        <v>0</v>
      </c>
      <c r="K325" s="2">
        <v>26666</v>
      </c>
      <c r="L325" s="2">
        <v>25084</v>
      </c>
      <c r="M325" s="2">
        <v>22482</v>
      </c>
      <c r="N325" s="2">
        <v>9002</v>
      </c>
      <c r="O325" s="2">
        <v>0</v>
      </c>
      <c r="Q325" s="2">
        <v>28309</v>
      </c>
      <c r="R325" s="2">
        <v>-24351</v>
      </c>
      <c r="S325" s="2">
        <v>3432</v>
      </c>
      <c r="T325" s="2">
        <v>4467</v>
      </c>
      <c r="U325" s="2">
        <v>0</v>
      </c>
      <c r="W325" s="2">
        <v>31891</v>
      </c>
      <c r="X325" s="2">
        <v>26126</v>
      </c>
      <c r="Y325" s="2">
        <v>21210</v>
      </c>
      <c r="Z325" s="2">
        <v>0</v>
      </c>
      <c r="AA325" s="2">
        <v>0</v>
      </c>
      <c r="AC325" s="2">
        <v>0</v>
      </c>
      <c r="AD325" s="2">
        <v>0</v>
      </c>
      <c r="AE325" s="2">
        <v>0</v>
      </c>
      <c r="AF325" s="2">
        <v>0</v>
      </c>
      <c r="AG325" s="2">
        <v>0</v>
      </c>
      <c r="AI325" s="2">
        <v>-14212</v>
      </c>
      <c r="AJ325" s="2">
        <v>-12792</v>
      </c>
      <c r="AK325" s="2">
        <v>-8498</v>
      </c>
      <c r="AL325" s="2">
        <v>-3894</v>
      </c>
      <c r="AM325" s="2">
        <v>0</v>
      </c>
    </row>
    <row r="326" spans="1:39">
      <c r="A326" s="335">
        <v>93137</v>
      </c>
      <c r="B326" s="328" t="s">
        <v>1013</v>
      </c>
      <c r="C326" s="239">
        <v>4.7999999999999998E-6</v>
      </c>
      <c r="E326" s="2">
        <v>3495</v>
      </c>
      <c r="F326" s="2">
        <v>1685</v>
      </c>
      <c r="G326" s="2">
        <v>1796</v>
      </c>
      <c r="H326" s="2">
        <v>498</v>
      </c>
      <c r="I326" s="2">
        <v>0</v>
      </c>
      <c r="K326" s="2">
        <v>719</v>
      </c>
      <c r="L326" s="2">
        <v>676</v>
      </c>
      <c r="M326" s="2">
        <v>606</v>
      </c>
      <c r="N326" s="2">
        <v>243</v>
      </c>
      <c r="O326" s="2">
        <v>0</v>
      </c>
      <c r="Q326" s="2">
        <v>763</v>
      </c>
      <c r="R326" s="2">
        <v>-657</v>
      </c>
      <c r="S326" s="2">
        <v>93</v>
      </c>
      <c r="T326" s="2">
        <v>120</v>
      </c>
      <c r="U326" s="2">
        <v>0</v>
      </c>
      <c r="W326" s="2">
        <v>860</v>
      </c>
      <c r="X326" s="2">
        <v>705</v>
      </c>
      <c r="Y326" s="2">
        <v>572</v>
      </c>
      <c r="Z326" s="2">
        <v>0</v>
      </c>
      <c r="AA326" s="2">
        <v>0</v>
      </c>
      <c r="AC326" s="2">
        <v>1153</v>
      </c>
      <c r="AD326" s="2">
        <v>961</v>
      </c>
      <c r="AE326" s="2">
        <v>525</v>
      </c>
      <c r="AF326" s="2">
        <v>135</v>
      </c>
      <c r="AG326" s="2">
        <v>0</v>
      </c>
      <c r="AI326" s="2">
        <v>0</v>
      </c>
      <c r="AJ326" s="2">
        <v>0</v>
      </c>
      <c r="AK326" s="2">
        <v>0</v>
      </c>
      <c r="AL326" s="2">
        <v>0</v>
      </c>
      <c r="AM326" s="2">
        <v>0</v>
      </c>
    </row>
    <row r="327" spans="1:39">
      <c r="A327" s="335">
        <v>93141</v>
      </c>
      <c r="B327" s="328" t="s">
        <v>1014</v>
      </c>
      <c r="C327" s="239">
        <v>3.2499999999999997E-5</v>
      </c>
      <c r="E327" s="2">
        <v>13277</v>
      </c>
      <c r="F327" s="2">
        <v>2456</v>
      </c>
      <c r="G327" s="2">
        <v>7430</v>
      </c>
      <c r="H327" s="2">
        <v>2800</v>
      </c>
      <c r="I327" s="2">
        <v>0</v>
      </c>
      <c r="K327" s="2">
        <v>4869</v>
      </c>
      <c r="L327" s="2">
        <v>4580</v>
      </c>
      <c r="M327" s="2">
        <v>4105</v>
      </c>
      <c r="N327" s="2">
        <v>1644</v>
      </c>
      <c r="O327" s="2">
        <v>0</v>
      </c>
      <c r="Q327" s="2">
        <v>5169</v>
      </c>
      <c r="R327" s="2">
        <v>-4446</v>
      </c>
      <c r="S327" s="2">
        <v>627</v>
      </c>
      <c r="T327" s="2">
        <v>816</v>
      </c>
      <c r="U327" s="2">
        <v>0</v>
      </c>
      <c r="W327" s="2">
        <v>5823</v>
      </c>
      <c r="X327" s="2">
        <v>4770</v>
      </c>
      <c r="Y327" s="2">
        <v>3873</v>
      </c>
      <c r="Z327" s="2">
        <v>0</v>
      </c>
      <c r="AA327" s="2">
        <v>0</v>
      </c>
      <c r="AC327" s="2">
        <v>342</v>
      </c>
      <c r="AD327" s="2">
        <v>342</v>
      </c>
      <c r="AE327" s="2">
        <v>342</v>
      </c>
      <c r="AF327" s="2">
        <v>340</v>
      </c>
      <c r="AG327" s="2">
        <v>0</v>
      </c>
      <c r="AI327" s="2">
        <v>-2926</v>
      </c>
      <c r="AJ327" s="2">
        <v>-2790</v>
      </c>
      <c r="AK327" s="2">
        <v>-1517</v>
      </c>
      <c r="AL327" s="2">
        <v>0</v>
      </c>
      <c r="AM327" s="2">
        <v>0</v>
      </c>
    </row>
    <row r="328" spans="1:39">
      <c r="A328" s="335">
        <v>93151</v>
      </c>
      <c r="B328" s="328" t="s">
        <v>1015</v>
      </c>
      <c r="C328" s="239">
        <v>3.7100000000000002E-4</v>
      </c>
      <c r="E328" s="2">
        <v>177934</v>
      </c>
      <c r="F328" s="2">
        <v>53551</v>
      </c>
      <c r="G328" s="2">
        <v>99816</v>
      </c>
      <c r="H328" s="2">
        <v>32579</v>
      </c>
      <c r="I328" s="2">
        <v>0</v>
      </c>
      <c r="K328" s="2">
        <v>55578</v>
      </c>
      <c r="L328" s="2">
        <v>52281</v>
      </c>
      <c r="M328" s="2">
        <v>46859</v>
      </c>
      <c r="N328" s="2">
        <v>18762</v>
      </c>
      <c r="O328" s="2">
        <v>0</v>
      </c>
      <c r="Q328" s="2">
        <v>59004</v>
      </c>
      <c r="R328" s="2">
        <v>-50755</v>
      </c>
      <c r="S328" s="2">
        <v>7153</v>
      </c>
      <c r="T328" s="2">
        <v>9310</v>
      </c>
      <c r="U328" s="2">
        <v>0</v>
      </c>
      <c r="W328" s="2">
        <v>66469</v>
      </c>
      <c r="X328" s="2">
        <v>54454</v>
      </c>
      <c r="Y328" s="2">
        <v>44207</v>
      </c>
      <c r="Z328" s="2">
        <v>0</v>
      </c>
      <c r="AA328" s="2">
        <v>0</v>
      </c>
      <c r="AC328" s="2">
        <v>4505</v>
      </c>
      <c r="AD328" s="2">
        <v>4505</v>
      </c>
      <c r="AE328" s="2">
        <v>4505</v>
      </c>
      <c r="AF328" s="2">
        <v>4507</v>
      </c>
      <c r="AG328" s="2">
        <v>0</v>
      </c>
      <c r="AI328" s="2">
        <v>-7622</v>
      </c>
      <c r="AJ328" s="2">
        <v>-6934</v>
      </c>
      <c r="AK328" s="2">
        <v>-2908</v>
      </c>
      <c r="AL328" s="2">
        <v>0</v>
      </c>
      <c r="AM328" s="2">
        <v>0</v>
      </c>
    </row>
    <row r="329" spans="1:39">
      <c r="A329" s="335">
        <v>93157</v>
      </c>
      <c r="B329" s="328" t="s">
        <v>3690</v>
      </c>
      <c r="C329" s="239">
        <v>7.9000000000000006E-6</v>
      </c>
      <c r="E329" s="2">
        <v>7840</v>
      </c>
      <c r="F329" s="2">
        <v>4512</v>
      </c>
      <c r="G329" s="2">
        <v>4568</v>
      </c>
      <c r="H329" s="2">
        <v>2071</v>
      </c>
      <c r="I329" s="2">
        <v>0</v>
      </c>
      <c r="K329" s="2">
        <v>1183</v>
      </c>
      <c r="L329" s="2">
        <v>1113</v>
      </c>
      <c r="M329" s="2">
        <v>998</v>
      </c>
      <c r="N329" s="2">
        <v>400</v>
      </c>
      <c r="O329" s="2">
        <v>0</v>
      </c>
      <c r="Q329" s="2">
        <v>1256</v>
      </c>
      <c r="R329" s="2">
        <v>-1081</v>
      </c>
      <c r="S329" s="2">
        <v>152</v>
      </c>
      <c r="T329" s="2">
        <v>198</v>
      </c>
      <c r="U329" s="2">
        <v>0</v>
      </c>
      <c r="W329" s="2">
        <v>1415</v>
      </c>
      <c r="X329" s="2">
        <v>1160</v>
      </c>
      <c r="Y329" s="2">
        <v>941</v>
      </c>
      <c r="Z329" s="2">
        <v>0</v>
      </c>
      <c r="AA329" s="2">
        <v>0</v>
      </c>
      <c r="AC329" s="2">
        <v>3986</v>
      </c>
      <c r="AD329" s="2">
        <v>3320</v>
      </c>
      <c r="AE329" s="2">
        <v>2477</v>
      </c>
      <c r="AF329" s="2">
        <v>1473</v>
      </c>
      <c r="AG329" s="2">
        <v>0</v>
      </c>
      <c r="AI329" s="2">
        <v>0</v>
      </c>
      <c r="AJ329" s="2">
        <v>0</v>
      </c>
      <c r="AK329" s="2">
        <v>0</v>
      </c>
      <c r="AL329" s="2">
        <v>0</v>
      </c>
      <c r="AM329" s="2">
        <v>0</v>
      </c>
    </row>
    <row r="330" spans="1:39">
      <c r="A330" s="335">
        <v>93161</v>
      </c>
      <c r="B330" s="328" t="s">
        <v>1017</v>
      </c>
      <c r="C330" s="239">
        <v>1.2180000000000001E-4</v>
      </c>
      <c r="E330" s="2">
        <v>68879</v>
      </c>
      <c r="F330" s="2">
        <v>27107</v>
      </c>
      <c r="G330" s="2">
        <v>33992</v>
      </c>
      <c r="H330" s="2">
        <v>10226</v>
      </c>
      <c r="I330" s="2">
        <v>0</v>
      </c>
      <c r="K330" s="2">
        <v>18246</v>
      </c>
      <c r="L330" s="2">
        <v>17164</v>
      </c>
      <c r="M330" s="2">
        <v>15384</v>
      </c>
      <c r="N330" s="2">
        <v>6160</v>
      </c>
      <c r="O330" s="2">
        <v>0</v>
      </c>
      <c r="Q330" s="2">
        <v>19371</v>
      </c>
      <c r="R330" s="2">
        <v>-16663</v>
      </c>
      <c r="S330" s="2">
        <v>2348</v>
      </c>
      <c r="T330" s="2">
        <v>3056</v>
      </c>
      <c r="U330" s="2">
        <v>0</v>
      </c>
      <c r="W330" s="2">
        <v>21822</v>
      </c>
      <c r="X330" s="2">
        <v>17877</v>
      </c>
      <c r="Y330" s="2">
        <v>14513</v>
      </c>
      <c r="Z330" s="2">
        <v>0</v>
      </c>
      <c r="AA330" s="2">
        <v>0</v>
      </c>
      <c r="AC330" s="2">
        <v>9440</v>
      </c>
      <c r="AD330" s="2">
        <v>8729</v>
      </c>
      <c r="AE330" s="2">
        <v>1747</v>
      </c>
      <c r="AF330" s="2">
        <v>1010</v>
      </c>
      <c r="AG330" s="2">
        <v>0</v>
      </c>
      <c r="AI330" s="2">
        <v>0</v>
      </c>
      <c r="AJ330" s="2">
        <v>0</v>
      </c>
      <c r="AK330" s="2">
        <v>0</v>
      </c>
      <c r="AL330" s="2">
        <v>0</v>
      </c>
      <c r="AM330" s="2">
        <v>0</v>
      </c>
    </row>
    <row r="331" spans="1:39">
      <c r="A331" s="335">
        <v>93171</v>
      </c>
      <c r="B331" s="328" t="s">
        <v>1018</v>
      </c>
      <c r="C331" s="239">
        <v>5.3000000000000001E-6</v>
      </c>
      <c r="E331" s="2">
        <v>3749</v>
      </c>
      <c r="F331" s="2">
        <v>1755</v>
      </c>
      <c r="G331" s="2">
        <v>2160</v>
      </c>
      <c r="H331" s="2">
        <v>1404</v>
      </c>
      <c r="I331" s="2">
        <v>0</v>
      </c>
      <c r="K331" s="2">
        <v>794</v>
      </c>
      <c r="L331" s="2">
        <v>747</v>
      </c>
      <c r="M331" s="2">
        <v>669</v>
      </c>
      <c r="N331" s="2">
        <v>268</v>
      </c>
      <c r="O331" s="2">
        <v>0</v>
      </c>
      <c r="Q331" s="2">
        <v>843</v>
      </c>
      <c r="R331" s="2">
        <v>-725</v>
      </c>
      <c r="S331" s="2">
        <v>102</v>
      </c>
      <c r="T331" s="2">
        <v>133</v>
      </c>
      <c r="U331" s="2">
        <v>0</v>
      </c>
      <c r="W331" s="2">
        <v>950</v>
      </c>
      <c r="X331" s="2">
        <v>778</v>
      </c>
      <c r="Y331" s="2">
        <v>632</v>
      </c>
      <c r="Z331" s="2">
        <v>0</v>
      </c>
      <c r="AA331" s="2">
        <v>0</v>
      </c>
      <c r="AC331" s="2">
        <v>1409</v>
      </c>
      <c r="AD331" s="2">
        <v>1202</v>
      </c>
      <c r="AE331" s="2">
        <v>1003</v>
      </c>
      <c r="AF331" s="2">
        <v>1003</v>
      </c>
      <c r="AG331" s="2">
        <v>0</v>
      </c>
      <c r="AI331" s="2">
        <v>-247</v>
      </c>
      <c r="AJ331" s="2">
        <v>-247</v>
      </c>
      <c r="AK331" s="2">
        <v>-246</v>
      </c>
      <c r="AL331" s="2">
        <v>0</v>
      </c>
      <c r="AM331" s="2">
        <v>0</v>
      </c>
    </row>
    <row r="332" spans="1:39">
      <c r="A332" s="335">
        <v>93181</v>
      </c>
      <c r="B332" s="328" t="s">
        <v>1019</v>
      </c>
      <c r="C332" s="239">
        <v>1.04E-5</v>
      </c>
      <c r="E332" s="2">
        <v>5258</v>
      </c>
      <c r="F332" s="2">
        <v>1718</v>
      </c>
      <c r="G332" s="2">
        <v>2812</v>
      </c>
      <c r="H332" s="2">
        <v>819</v>
      </c>
      <c r="I332" s="2">
        <v>0</v>
      </c>
      <c r="K332" s="2">
        <v>1558</v>
      </c>
      <c r="L332" s="2">
        <v>1466</v>
      </c>
      <c r="M332" s="2">
        <v>1314</v>
      </c>
      <c r="N332" s="2">
        <v>526</v>
      </c>
      <c r="O332" s="2">
        <v>0</v>
      </c>
      <c r="Q332" s="2">
        <v>1654</v>
      </c>
      <c r="R332" s="2">
        <v>-1423</v>
      </c>
      <c r="S332" s="2">
        <v>201</v>
      </c>
      <c r="T332" s="2">
        <v>261</v>
      </c>
      <c r="U332" s="2">
        <v>0</v>
      </c>
      <c r="W332" s="2">
        <v>1863</v>
      </c>
      <c r="X332" s="2">
        <v>1526</v>
      </c>
      <c r="Y332" s="2">
        <v>1239</v>
      </c>
      <c r="Z332" s="2">
        <v>0</v>
      </c>
      <c r="AA332" s="2">
        <v>0</v>
      </c>
      <c r="AC332" s="2">
        <v>183</v>
      </c>
      <c r="AD332" s="2">
        <v>149</v>
      </c>
      <c r="AE332" s="2">
        <v>58</v>
      </c>
      <c r="AF332" s="2">
        <v>32</v>
      </c>
      <c r="AG332" s="2">
        <v>0</v>
      </c>
      <c r="AI332" s="2">
        <v>0</v>
      </c>
      <c r="AJ332" s="2">
        <v>0</v>
      </c>
      <c r="AK332" s="2">
        <v>0</v>
      </c>
      <c r="AL332" s="2">
        <v>0</v>
      </c>
      <c r="AM332" s="2">
        <v>0</v>
      </c>
    </row>
    <row r="333" spans="1:39">
      <c r="A333" s="335">
        <v>93191</v>
      </c>
      <c r="B333" s="328" t="s">
        <v>1020</v>
      </c>
      <c r="C333" s="239">
        <v>2.34E-5</v>
      </c>
      <c r="E333" s="2">
        <v>13034</v>
      </c>
      <c r="F333" s="2">
        <v>5138</v>
      </c>
      <c r="G333" s="2">
        <v>8251</v>
      </c>
      <c r="H333" s="2">
        <v>3086</v>
      </c>
      <c r="I333" s="2">
        <v>0</v>
      </c>
      <c r="K333" s="2">
        <v>3505</v>
      </c>
      <c r="L333" s="2">
        <v>3298</v>
      </c>
      <c r="M333" s="2">
        <v>2956</v>
      </c>
      <c r="N333" s="2">
        <v>1183</v>
      </c>
      <c r="O333" s="2">
        <v>0</v>
      </c>
      <c r="Q333" s="2">
        <v>3722</v>
      </c>
      <c r="R333" s="2">
        <v>-3201</v>
      </c>
      <c r="S333" s="2">
        <v>451</v>
      </c>
      <c r="T333" s="2">
        <v>587</v>
      </c>
      <c r="U333" s="2">
        <v>0</v>
      </c>
      <c r="W333" s="2">
        <v>4192</v>
      </c>
      <c r="X333" s="2">
        <v>3435</v>
      </c>
      <c r="Y333" s="2">
        <v>2788</v>
      </c>
      <c r="Z333" s="2">
        <v>0</v>
      </c>
      <c r="AA333" s="2">
        <v>0</v>
      </c>
      <c r="AC333" s="2">
        <v>2064</v>
      </c>
      <c r="AD333" s="2">
        <v>2054</v>
      </c>
      <c r="AE333" s="2">
        <v>2056</v>
      </c>
      <c r="AF333" s="2">
        <v>1316</v>
      </c>
      <c r="AG333" s="2">
        <v>0</v>
      </c>
      <c r="AI333" s="2">
        <v>-449</v>
      </c>
      <c r="AJ333" s="2">
        <v>-448</v>
      </c>
      <c r="AK333" s="2">
        <v>0</v>
      </c>
      <c r="AL333" s="2">
        <v>0</v>
      </c>
      <c r="AM333" s="2">
        <v>0</v>
      </c>
    </row>
    <row r="334" spans="1:39">
      <c r="A334" s="335">
        <v>93201</v>
      </c>
      <c r="B334" s="328" t="s">
        <v>1021</v>
      </c>
      <c r="C334" s="239">
        <v>1.5197799999999999E-2</v>
      </c>
      <c r="E334" s="2">
        <v>7434917</v>
      </c>
      <c r="F334" s="2">
        <v>2213405</v>
      </c>
      <c r="G334" s="2">
        <v>3995309</v>
      </c>
      <c r="H334" s="2">
        <v>1062807</v>
      </c>
      <c r="I334" s="2">
        <v>0</v>
      </c>
      <c r="K334" s="2">
        <v>2276737</v>
      </c>
      <c r="L334" s="2">
        <v>2141674</v>
      </c>
      <c r="M334" s="2">
        <v>1919558</v>
      </c>
      <c r="N334" s="2">
        <v>768568</v>
      </c>
      <c r="O334" s="2">
        <v>0</v>
      </c>
      <c r="Q334" s="2">
        <v>2417073</v>
      </c>
      <c r="R334" s="2">
        <v>-2079135</v>
      </c>
      <c r="S334" s="2">
        <v>293029</v>
      </c>
      <c r="T334" s="2">
        <v>381374</v>
      </c>
      <c r="U334" s="2">
        <v>0</v>
      </c>
      <c r="W334" s="2">
        <v>2722868</v>
      </c>
      <c r="X334" s="2">
        <v>2230672</v>
      </c>
      <c r="Y334" s="2">
        <v>1810924</v>
      </c>
      <c r="Z334" s="2">
        <v>0</v>
      </c>
      <c r="AA334" s="2">
        <v>0</v>
      </c>
      <c r="AC334" s="2">
        <v>156979</v>
      </c>
      <c r="AD334" s="2">
        <v>58933</v>
      </c>
      <c r="AE334" s="2">
        <v>58934</v>
      </c>
      <c r="AF334" s="2">
        <v>0</v>
      </c>
      <c r="AG334" s="2">
        <v>0</v>
      </c>
      <c r="AI334" s="2">
        <v>-138740</v>
      </c>
      <c r="AJ334" s="2">
        <v>-138739</v>
      </c>
      <c r="AK334" s="2">
        <v>-87136</v>
      </c>
      <c r="AL334" s="2">
        <v>-87135</v>
      </c>
      <c r="AM334" s="2">
        <v>0</v>
      </c>
    </row>
    <row r="335" spans="1:39">
      <c r="A335" s="335">
        <v>93204</v>
      </c>
      <c r="B335" s="328" t="s">
        <v>1023</v>
      </c>
      <c r="C335" s="239">
        <v>2.9710000000000001E-4</v>
      </c>
      <c r="E335" s="2">
        <v>152816</v>
      </c>
      <c r="F335" s="2">
        <v>54068</v>
      </c>
      <c r="G335" s="2">
        <v>82847</v>
      </c>
      <c r="H335" s="2">
        <v>20307</v>
      </c>
      <c r="I335" s="2">
        <v>0</v>
      </c>
      <c r="K335" s="2">
        <v>44508</v>
      </c>
      <c r="L335" s="2">
        <v>41867</v>
      </c>
      <c r="M335" s="2">
        <v>37525</v>
      </c>
      <c r="N335" s="2">
        <v>15025</v>
      </c>
      <c r="O335" s="2">
        <v>0</v>
      </c>
      <c r="Q335" s="2">
        <v>47251</v>
      </c>
      <c r="R335" s="2">
        <v>-40645</v>
      </c>
      <c r="S335" s="2">
        <v>5728</v>
      </c>
      <c r="T335" s="2">
        <v>7455</v>
      </c>
      <c r="U335" s="2">
        <v>0</v>
      </c>
      <c r="W335" s="2">
        <v>53229</v>
      </c>
      <c r="X335" s="2">
        <v>43607</v>
      </c>
      <c r="Y335" s="2">
        <v>35402</v>
      </c>
      <c r="Z335" s="2">
        <v>0</v>
      </c>
      <c r="AA335" s="2">
        <v>0</v>
      </c>
      <c r="AC335" s="2">
        <v>11411</v>
      </c>
      <c r="AD335" s="2">
        <v>11411</v>
      </c>
      <c r="AE335" s="2">
        <v>6364</v>
      </c>
      <c r="AF335" s="2">
        <v>0</v>
      </c>
      <c r="AG335" s="2">
        <v>0</v>
      </c>
      <c r="AI335" s="2">
        <v>-3583</v>
      </c>
      <c r="AJ335" s="2">
        <v>-2172</v>
      </c>
      <c r="AK335" s="2">
        <v>-2172</v>
      </c>
      <c r="AL335" s="2">
        <v>-2173</v>
      </c>
      <c r="AM335" s="2">
        <v>0</v>
      </c>
    </row>
    <row r="336" spans="1:39">
      <c r="A336" s="335">
        <v>93209</v>
      </c>
      <c r="B336" s="328" t="s">
        <v>1024</v>
      </c>
      <c r="C336" s="239">
        <v>5.5938000000000003E-3</v>
      </c>
      <c r="E336" s="2">
        <v>2905290</v>
      </c>
      <c r="F336" s="2">
        <v>933074</v>
      </c>
      <c r="G336" s="2">
        <v>1553278</v>
      </c>
      <c r="H336" s="2">
        <v>447345</v>
      </c>
      <c r="I336" s="2">
        <v>0</v>
      </c>
      <c r="K336" s="2">
        <v>837990</v>
      </c>
      <c r="L336" s="2">
        <v>788278</v>
      </c>
      <c r="M336" s="2">
        <v>706525</v>
      </c>
      <c r="N336" s="2">
        <v>282884</v>
      </c>
      <c r="O336" s="2">
        <v>0</v>
      </c>
      <c r="Q336" s="2">
        <v>889644</v>
      </c>
      <c r="R336" s="2">
        <v>-765260</v>
      </c>
      <c r="S336" s="2">
        <v>107854</v>
      </c>
      <c r="T336" s="2">
        <v>140371</v>
      </c>
      <c r="U336" s="2">
        <v>0</v>
      </c>
      <c r="W336" s="2">
        <v>1002196</v>
      </c>
      <c r="X336" s="2">
        <v>821036</v>
      </c>
      <c r="Y336" s="2">
        <v>666540</v>
      </c>
      <c r="Z336" s="2">
        <v>0</v>
      </c>
      <c r="AA336" s="2">
        <v>0</v>
      </c>
      <c r="AC336" s="2">
        <v>175460</v>
      </c>
      <c r="AD336" s="2">
        <v>89020</v>
      </c>
      <c r="AE336" s="2">
        <v>72359</v>
      </c>
      <c r="AF336" s="2">
        <v>24090</v>
      </c>
      <c r="AG336" s="2">
        <v>0</v>
      </c>
      <c r="AI336" s="2">
        <v>0</v>
      </c>
      <c r="AJ336" s="2">
        <v>0</v>
      </c>
      <c r="AK336" s="2">
        <v>0</v>
      </c>
      <c r="AL336" s="2">
        <v>0</v>
      </c>
      <c r="AM336" s="2">
        <v>0</v>
      </c>
    </row>
    <row r="337" spans="1:39">
      <c r="A337" s="335">
        <v>93211</v>
      </c>
      <c r="B337" s="328" t="s">
        <v>1025</v>
      </c>
      <c r="C337" s="239">
        <v>2.16165E-2</v>
      </c>
      <c r="E337" s="2">
        <v>10595715</v>
      </c>
      <c r="F337" s="2">
        <v>3464907</v>
      </c>
      <c r="G337" s="2">
        <v>5944520</v>
      </c>
      <c r="H337" s="2">
        <v>1752590</v>
      </c>
      <c r="I337" s="2">
        <v>0</v>
      </c>
      <c r="K337" s="2">
        <v>3238303</v>
      </c>
      <c r="L337" s="2">
        <v>3046197</v>
      </c>
      <c r="M337" s="2">
        <v>2730272</v>
      </c>
      <c r="N337" s="2">
        <v>1093168</v>
      </c>
      <c r="O337" s="2">
        <v>0</v>
      </c>
      <c r="Q337" s="2">
        <v>3437910</v>
      </c>
      <c r="R337" s="2">
        <v>-2957245</v>
      </c>
      <c r="S337" s="2">
        <v>416788</v>
      </c>
      <c r="T337" s="2">
        <v>542444</v>
      </c>
      <c r="U337" s="2">
        <v>0</v>
      </c>
      <c r="W337" s="2">
        <v>3872855</v>
      </c>
      <c r="X337" s="2">
        <v>3172783</v>
      </c>
      <c r="Y337" s="2">
        <v>2575757</v>
      </c>
      <c r="Z337" s="2">
        <v>0</v>
      </c>
      <c r="AA337" s="2">
        <v>0</v>
      </c>
      <c r="AC337" s="2">
        <v>221702</v>
      </c>
      <c r="AD337" s="2">
        <v>221702</v>
      </c>
      <c r="AE337" s="2">
        <v>221703</v>
      </c>
      <c r="AF337" s="2">
        <v>116978</v>
      </c>
      <c r="AG337" s="2">
        <v>0</v>
      </c>
      <c r="AI337" s="2">
        <v>-175055</v>
      </c>
      <c r="AJ337" s="2">
        <v>-18530</v>
      </c>
      <c r="AK337" s="2">
        <v>0</v>
      </c>
      <c r="AL337" s="2">
        <v>0</v>
      </c>
      <c r="AM337" s="2">
        <v>0</v>
      </c>
    </row>
    <row r="338" spans="1:39">
      <c r="A338" s="335">
        <v>93212</v>
      </c>
      <c r="B338" s="328" t="s">
        <v>3691</v>
      </c>
      <c r="C338" s="239">
        <v>2.3910000000000001E-4</v>
      </c>
      <c r="E338" s="2">
        <v>198517</v>
      </c>
      <c r="F338" s="2">
        <v>103822</v>
      </c>
      <c r="G338" s="2">
        <v>109948</v>
      </c>
      <c r="H338" s="2">
        <v>33047</v>
      </c>
      <c r="I338" s="2">
        <v>0</v>
      </c>
      <c r="K338" s="2">
        <v>35819</v>
      </c>
      <c r="L338" s="2">
        <v>33694</v>
      </c>
      <c r="M338" s="2">
        <v>30200</v>
      </c>
      <c r="N338" s="2">
        <v>12092</v>
      </c>
      <c r="O338" s="2">
        <v>0</v>
      </c>
      <c r="Q338" s="2">
        <v>38027</v>
      </c>
      <c r="R338" s="2">
        <v>-32710</v>
      </c>
      <c r="S338" s="2">
        <v>4610</v>
      </c>
      <c r="T338" s="2">
        <v>6000</v>
      </c>
      <c r="U338" s="2">
        <v>0</v>
      </c>
      <c r="W338" s="2">
        <v>42838</v>
      </c>
      <c r="X338" s="2">
        <v>35094</v>
      </c>
      <c r="Y338" s="2">
        <v>28490</v>
      </c>
      <c r="Z338" s="2">
        <v>0</v>
      </c>
      <c r="AA338" s="2">
        <v>0</v>
      </c>
      <c r="AC338" s="2">
        <v>81833</v>
      </c>
      <c r="AD338" s="2">
        <v>67744</v>
      </c>
      <c r="AE338" s="2">
        <v>46648</v>
      </c>
      <c r="AF338" s="2">
        <v>14955</v>
      </c>
      <c r="AG338" s="2">
        <v>0</v>
      </c>
      <c r="AI338" s="2">
        <v>0</v>
      </c>
      <c r="AJ338" s="2">
        <v>0</v>
      </c>
      <c r="AK338" s="2">
        <v>0</v>
      </c>
      <c r="AL338" s="2">
        <v>0</v>
      </c>
      <c r="AM338" s="2">
        <v>0</v>
      </c>
    </row>
    <row r="339" spans="1:39">
      <c r="A339" s="335">
        <v>93219</v>
      </c>
      <c r="B339" s="328" t="s">
        <v>1027</v>
      </c>
      <c r="C339" s="239">
        <v>2.6229999999999998E-4</v>
      </c>
      <c r="E339" s="2">
        <v>135835</v>
      </c>
      <c r="F339" s="2">
        <v>48441</v>
      </c>
      <c r="G339" s="2">
        <v>72655</v>
      </c>
      <c r="H339" s="2">
        <v>23673</v>
      </c>
      <c r="I339" s="2">
        <v>0</v>
      </c>
      <c r="K339" s="2">
        <v>39294</v>
      </c>
      <c r="L339" s="2">
        <v>36963</v>
      </c>
      <c r="M339" s="2">
        <v>33130</v>
      </c>
      <c r="N339" s="2">
        <v>13265</v>
      </c>
      <c r="O339" s="2">
        <v>0</v>
      </c>
      <c r="Q339" s="2">
        <v>41716</v>
      </c>
      <c r="R339" s="2">
        <v>-35884</v>
      </c>
      <c r="S339" s="2">
        <v>5057</v>
      </c>
      <c r="T339" s="2">
        <v>6582</v>
      </c>
      <c r="U339" s="2">
        <v>0</v>
      </c>
      <c r="W339" s="2">
        <v>46994</v>
      </c>
      <c r="X339" s="2">
        <v>38499</v>
      </c>
      <c r="Y339" s="2">
        <v>31255</v>
      </c>
      <c r="Z339" s="2">
        <v>0</v>
      </c>
      <c r="AA339" s="2">
        <v>0</v>
      </c>
      <c r="AC339" s="2">
        <v>9474</v>
      </c>
      <c r="AD339" s="2">
        <v>9476</v>
      </c>
      <c r="AE339" s="2">
        <v>3828</v>
      </c>
      <c r="AF339" s="2">
        <v>3826</v>
      </c>
      <c r="AG339" s="2">
        <v>0</v>
      </c>
      <c r="AI339" s="2">
        <v>-1643</v>
      </c>
      <c r="AJ339" s="2">
        <v>-613</v>
      </c>
      <c r="AK339" s="2">
        <v>-615</v>
      </c>
      <c r="AL339" s="2">
        <v>0</v>
      </c>
      <c r="AM339" s="2">
        <v>0</v>
      </c>
    </row>
    <row r="340" spans="1:39">
      <c r="A340" s="335">
        <v>93301</v>
      </c>
      <c r="B340" s="328" t="s">
        <v>1028</v>
      </c>
      <c r="C340" s="239">
        <v>2.2057999999999999E-3</v>
      </c>
      <c r="E340" s="2">
        <v>1029015</v>
      </c>
      <c r="F340" s="2">
        <v>271155</v>
      </c>
      <c r="G340" s="2">
        <v>524790</v>
      </c>
      <c r="H340" s="2">
        <v>150996</v>
      </c>
      <c r="I340" s="2">
        <v>0</v>
      </c>
      <c r="K340" s="2">
        <v>330444</v>
      </c>
      <c r="L340" s="2">
        <v>310841</v>
      </c>
      <c r="M340" s="2">
        <v>278604</v>
      </c>
      <c r="N340" s="2">
        <v>111550</v>
      </c>
      <c r="O340" s="2">
        <v>0</v>
      </c>
      <c r="Q340" s="2">
        <v>350813</v>
      </c>
      <c r="R340" s="2">
        <v>-301764</v>
      </c>
      <c r="S340" s="2">
        <v>42530</v>
      </c>
      <c r="T340" s="2">
        <v>55352</v>
      </c>
      <c r="U340" s="2">
        <v>0</v>
      </c>
      <c r="W340" s="2">
        <v>395196</v>
      </c>
      <c r="X340" s="2">
        <v>323759</v>
      </c>
      <c r="Y340" s="2">
        <v>262837</v>
      </c>
      <c r="Z340" s="2">
        <v>0</v>
      </c>
      <c r="AA340" s="2">
        <v>0</v>
      </c>
      <c r="AC340" s="2">
        <v>14244</v>
      </c>
      <c r="AD340" s="2">
        <v>0</v>
      </c>
      <c r="AE340" s="2">
        <v>0</v>
      </c>
      <c r="AF340" s="2">
        <v>0</v>
      </c>
      <c r="AG340" s="2">
        <v>0</v>
      </c>
      <c r="AI340" s="2">
        <v>-61682</v>
      </c>
      <c r="AJ340" s="2">
        <v>-61681</v>
      </c>
      <c r="AK340" s="2">
        <v>-59181</v>
      </c>
      <c r="AL340" s="2">
        <v>-15906</v>
      </c>
      <c r="AM340" s="2">
        <v>0</v>
      </c>
    </row>
    <row r="341" spans="1:39">
      <c r="A341" s="335">
        <v>93304</v>
      </c>
      <c r="B341" s="328" t="s">
        <v>1029</v>
      </c>
      <c r="C341" s="239">
        <v>3.9400000000000002E-5</v>
      </c>
      <c r="E341" s="2">
        <v>23213</v>
      </c>
      <c r="F341" s="2">
        <v>9419</v>
      </c>
      <c r="G341" s="2">
        <v>13720</v>
      </c>
      <c r="H341" s="2">
        <v>4809</v>
      </c>
      <c r="I341" s="2">
        <v>0</v>
      </c>
      <c r="K341" s="2">
        <v>5902</v>
      </c>
      <c r="L341" s="2">
        <v>5552</v>
      </c>
      <c r="M341" s="2">
        <v>4976</v>
      </c>
      <c r="N341" s="2">
        <v>1992</v>
      </c>
      <c r="O341" s="2">
        <v>0</v>
      </c>
      <c r="Q341" s="2">
        <v>6266</v>
      </c>
      <c r="R341" s="2">
        <v>-5390</v>
      </c>
      <c r="S341" s="2">
        <v>760</v>
      </c>
      <c r="T341" s="2">
        <v>989</v>
      </c>
      <c r="U341" s="2">
        <v>0</v>
      </c>
      <c r="W341" s="2">
        <v>7059</v>
      </c>
      <c r="X341" s="2">
        <v>5783</v>
      </c>
      <c r="Y341" s="2">
        <v>4695</v>
      </c>
      <c r="Z341" s="2">
        <v>0</v>
      </c>
      <c r="AA341" s="2">
        <v>0</v>
      </c>
      <c r="AC341" s="2">
        <v>3986</v>
      </c>
      <c r="AD341" s="2">
        <v>3474</v>
      </c>
      <c r="AE341" s="2">
        <v>3289</v>
      </c>
      <c r="AF341" s="2">
        <v>1828</v>
      </c>
      <c r="AG341" s="2">
        <v>0</v>
      </c>
      <c r="AI341" s="2">
        <v>0</v>
      </c>
      <c r="AJ341" s="2">
        <v>0</v>
      </c>
      <c r="AK341" s="2">
        <v>0</v>
      </c>
      <c r="AL341" s="2">
        <v>0</v>
      </c>
      <c r="AM341" s="2">
        <v>0</v>
      </c>
    </row>
    <row r="342" spans="1:39">
      <c r="A342" s="335">
        <v>93305</v>
      </c>
      <c r="B342" s="328" t="s">
        <v>1030</v>
      </c>
      <c r="C342" s="239">
        <v>4.0299999999999997E-5</v>
      </c>
      <c r="E342" s="2">
        <v>16736</v>
      </c>
      <c r="F342" s="2">
        <v>3706</v>
      </c>
      <c r="G342" s="2">
        <v>9095</v>
      </c>
      <c r="H342" s="2">
        <v>2064</v>
      </c>
      <c r="I342" s="2">
        <v>0</v>
      </c>
      <c r="K342" s="2">
        <v>6037</v>
      </c>
      <c r="L342" s="2">
        <v>5679</v>
      </c>
      <c r="M342" s="2">
        <v>5090</v>
      </c>
      <c r="N342" s="2">
        <v>2038</v>
      </c>
      <c r="O342" s="2">
        <v>0</v>
      </c>
      <c r="Q342" s="2">
        <v>6409</v>
      </c>
      <c r="R342" s="2">
        <v>-5513</v>
      </c>
      <c r="S342" s="2">
        <v>777</v>
      </c>
      <c r="T342" s="2">
        <v>1011</v>
      </c>
      <c r="U342" s="2">
        <v>0</v>
      </c>
      <c r="W342" s="2">
        <v>7220</v>
      </c>
      <c r="X342" s="2">
        <v>5915</v>
      </c>
      <c r="Y342" s="2">
        <v>4802</v>
      </c>
      <c r="Z342" s="2">
        <v>0</v>
      </c>
      <c r="AA342" s="2">
        <v>0</v>
      </c>
      <c r="AC342" s="2">
        <v>0</v>
      </c>
      <c r="AD342" s="2">
        <v>0</v>
      </c>
      <c r="AE342" s="2">
        <v>0</v>
      </c>
      <c r="AF342" s="2">
        <v>0</v>
      </c>
      <c r="AG342" s="2">
        <v>0</v>
      </c>
      <c r="AI342" s="2">
        <v>-2930</v>
      </c>
      <c r="AJ342" s="2">
        <v>-2375</v>
      </c>
      <c r="AK342" s="2">
        <v>-1574</v>
      </c>
      <c r="AL342" s="2">
        <v>-985</v>
      </c>
      <c r="AM342" s="2">
        <v>0</v>
      </c>
    </row>
    <row r="343" spans="1:39">
      <c r="A343" s="335">
        <v>93309</v>
      </c>
      <c r="B343" s="328" t="s">
        <v>1031</v>
      </c>
      <c r="C343" s="239">
        <v>1.6239999999999999E-4</v>
      </c>
      <c r="E343" s="2">
        <v>91409</v>
      </c>
      <c r="F343" s="2">
        <v>32867</v>
      </c>
      <c r="G343" s="2">
        <v>49955</v>
      </c>
      <c r="H343" s="2">
        <v>15189</v>
      </c>
      <c r="I343" s="2">
        <v>0</v>
      </c>
      <c r="K343" s="2">
        <v>24329</v>
      </c>
      <c r="L343" s="2">
        <v>22885</v>
      </c>
      <c r="M343" s="2">
        <v>20512</v>
      </c>
      <c r="N343" s="2">
        <v>8213</v>
      </c>
      <c r="O343" s="2">
        <v>0</v>
      </c>
      <c r="Q343" s="2">
        <v>25828</v>
      </c>
      <c r="R343" s="2">
        <v>-22217</v>
      </c>
      <c r="S343" s="2">
        <v>3131</v>
      </c>
      <c r="T343" s="2">
        <v>4075</v>
      </c>
      <c r="U343" s="2">
        <v>0</v>
      </c>
      <c r="W343" s="2">
        <v>29096</v>
      </c>
      <c r="X343" s="2">
        <v>23836</v>
      </c>
      <c r="Y343" s="2">
        <v>19351</v>
      </c>
      <c r="Z343" s="2">
        <v>0</v>
      </c>
      <c r="AA343" s="2">
        <v>0</v>
      </c>
      <c r="AC343" s="2">
        <v>12156</v>
      </c>
      <c r="AD343" s="2">
        <v>8363</v>
      </c>
      <c r="AE343" s="2">
        <v>6961</v>
      </c>
      <c r="AF343" s="2">
        <v>2901</v>
      </c>
      <c r="AG343" s="2">
        <v>0</v>
      </c>
      <c r="AI343" s="2">
        <v>0</v>
      </c>
      <c r="AJ343" s="2">
        <v>0</v>
      </c>
      <c r="AK343" s="2">
        <v>0</v>
      </c>
      <c r="AL343" s="2">
        <v>0</v>
      </c>
      <c r="AM343" s="2">
        <v>0</v>
      </c>
    </row>
    <row r="344" spans="1:39">
      <c r="A344" s="335">
        <v>93311</v>
      </c>
      <c r="B344" s="328" t="s">
        <v>1032</v>
      </c>
      <c r="C344" s="239">
        <v>1.2413999999999999E-3</v>
      </c>
      <c r="E344" s="2">
        <v>579270</v>
      </c>
      <c r="F344" s="2">
        <v>178810</v>
      </c>
      <c r="G344" s="2">
        <v>319720</v>
      </c>
      <c r="H344" s="2">
        <v>79626</v>
      </c>
      <c r="I344" s="2">
        <v>0</v>
      </c>
      <c r="K344" s="2">
        <v>185970</v>
      </c>
      <c r="L344" s="2">
        <v>174938</v>
      </c>
      <c r="M344" s="2">
        <v>156795</v>
      </c>
      <c r="N344" s="2">
        <v>62779</v>
      </c>
      <c r="O344" s="2">
        <v>0</v>
      </c>
      <c r="Q344" s="2">
        <v>197433</v>
      </c>
      <c r="R344" s="2">
        <v>-169830</v>
      </c>
      <c r="S344" s="2">
        <v>23935</v>
      </c>
      <c r="T344" s="2">
        <v>31152</v>
      </c>
      <c r="U344" s="2">
        <v>0</v>
      </c>
      <c r="W344" s="2">
        <v>222412</v>
      </c>
      <c r="X344" s="2">
        <v>182208</v>
      </c>
      <c r="Y344" s="2">
        <v>147921</v>
      </c>
      <c r="Z344" s="2">
        <v>0</v>
      </c>
      <c r="AA344" s="2">
        <v>0</v>
      </c>
      <c r="AC344" s="2">
        <v>5800</v>
      </c>
      <c r="AD344" s="2">
        <v>5799</v>
      </c>
      <c r="AE344" s="2">
        <v>5374</v>
      </c>
      <c r="AF344" s="2">
        <v>0</v>
      </c>
      <c r="AG344" s="2">
        <v>0</v>
      </c>
      <c r="AI344" s="2">
        <v>-32345</v>
      </c>
      <c r="AJ344" s="2">
        <v>-14305</v>
      </c>
      <c r="AK344" s="2">
        <v>-14305</v>
      </c>
      <c r="AL344" s="2">
        <v>-14305</v>
      </c>
      <c r="AM344" s="2">
        <v>0</v>
      </c>
    </row>
    <row r="345" spans="1:39">
      <c r="A345" s="335">
        <v>93317</v>
      </c>
      <c r="B345" s="328" t="s">
        <v>1033</v>
      </c>
      <c r="C345" s="239">
        <v>4.1199999999999999E-5</v>
      </c>
      <c r="E345" s="2">
        <v>18589</v>
      </c>
      <c r="F345" s="2">
        <v>4585</v>
      </c>
      <c r="G345" s="2">
        <v>9186</v>
      </c>
      <c r="H345" s="2">
        <v>2085</v>
      </c>
      <c r="I345" s="2">
        <v>0</v>
      </c>
      <c r="K345" s="2">
        <v>6172</v>
      </c>
      <c r="L345" s="2">
        <v>5806</v>
      </c>
      <c r="M345" s="2">
        <v>5204</v>
      </c>
      <c r="N345" s="2">
        <v>2084</v>
      </c>
      <c r="O345" s="2">
        <v>0</v>
      </c>
      <c r="Q345" s="2">
        <v>6552</v>
      </c>
      <c r="R345" s="2">
        <v>-5636</v>
      </c>
      <c r="S345" s="2">
        <v>794</v>
      </c>
      <c r="T345" s="2">
        <v>1034</v>
      </c>
      <c r="U345" s="2">
        <v>0</v>
      </c>
      <c r="W345" s="2">
        <v>7381</v>
      </c>
      <c r="X345" s="2">
        <v>6047</v>
      </c>
      <c r="Y345" s="2">
        <v>4909</v>
      </c>
      <c r="Z345" s="2">
        <v>0</v>
      </c>
      <c r="AA345" s="2">
        <v>0</v>
      </c>
      <c r="AC345" s="2">
        <v>207</v>
      </c>
      <c r="AD345" s="2">
        <v>91</v>
      </c>
      <c r="AE345" s="2">
        <v>0</v>
      </c>
      <c r="AF345" s="2">
        <v>0</v>
      </c>
      <c r="AG345" s="2">
        <v>0</v>
      </c>
      <c r="AI345" s="2">
        <v>-1723</v>
      </c>
      <c r="AJ345" s="2">
        <v>-1723</v>
      </c>
      <c r="AK345" s="2">
        <v>-1721</v>
      </c>
      <c r="AL345" s="2">
        <v>-1033</v>
      </c>
      <c r="AM345" s="2">
        <v>0</v>
      </c>
    </row>
    <row r="346" spans="1:39">
      <c r="A346" s="335">
        <v>93321</v>
      </c>
      <c r="B346" s="328" t="s">
        <v>1034</v>
      </c>
      <c r="C346" s="239">
        <v>6.7971999999999998E-3</v>
      </c>
      <c r="E346" s="2">
        <v>3061527</v>
      </c>
      <c r="F346" s="2">
        <v>839671</v>
      </c>
      <c r="G346" s="2">
        <v>1666677</v>
      </c>
      <c r="H346" s="2">
        <v>449150</v>
      </c>
      <c r="I346" s="2">
        <v>0</v>
      </c>
      <c r="K346" s="2">
        <v>1018268</v>
      </c>
      <c r="L346" s="2">
        <v>957861</v>
      </c>
      <c r="M346" s="2">
        <v>858520</v>
      </c>
      <c r="N346" s="2">
        <v>343741</v>
      </c>
      <c r="O346" s="2">
        <v>0</v>
      </c>
      <c r="Q346" s="2">
        <v>1081033</v>
      </c>
      <c r="R346" s="2">
        <v>-929891</v>
      </c>
      <c r="S346" s="2">
        <v>131057</v>
      </c>
      <c r="T346" s="2">
        <v>170569</v>
      </c>
      <c r="U346" s="2">
        <v>0</v>
      </c>
      <c r="W346" s="2">
        <v>1217800</v>
      </c>
      <c r="X346" s="2">
        <v>997666</v>
      </c>
      <c r="Y346" s="2">
        <v>809934</v>
      </c>
      <c r="Z346" s="2">
        <v>0</v>
      </c>
      <c r="AA346" s="2">
        <v>0</v>
      </c>
      <c r="AC346" s="2">
        <v>0</v>
      </c>
      <c r="AD346" s="2">
        <v>0</v>
      </c>
      <c r="AE346" s="2">
        <v>0</v>
      </c>
      <c r="AF346" s="2">
        <v>0</v>
      </c>
      <c r="AG346" s="2">
        <v>0</v>
      </c>
      <c r="AI346" s="2">
        <v>-255574</v>
      </c>
      <c r="AJ346" s="2">
        <v>-185965</v>
      </c>
      <c r="AK346" s="2">
        <v>-132834</v>
      </c>
      <c r="AL346" s="2">
        <v>-65160</v>
      </c>
      <c r="AM346" s="2">
        <v>0</v>
      </c>
    </row>
    <row r="347" spans="1:39">
      <c r="A347" s="335">
        <v>93323</v>
      </c>
      <c r="B347" s="328" t="s">
        <v>1035</v>
      </c>
      <c r="C347" s="239">
        <v>2.0100000000000001E-5</v>
      </c>
      <c r="E347" s="2">
        <v>10580</v>
      </c>
      <c r="F347" s="2">
        <v>4134</v>
      </c>
      <c r="G347" s="2">
        <v>4690</v>
      </c>
      <c r="H347" s="2">
        <v>1355</v>
      </c>
      <c r="I347" s="2">
        <v>0</v>
      </c>
      <c r="K347" s="2">
        <v>3011</v>
      </c>
      <c r="L347" s="2">
        <v>2832</v>
      </c>
      <c r="M347" s="2">
        <v>2539</v>
      </c>
      <c r="N347" s="2">
        <v>1016</v>
      </c>
      <c r="O347" s="2">
        <v>0</v>
      </c>
      <c r="Q347" s="2">
        <v>3197</v>
      </c>
      <c r="R347" s="2">
        <v>-2750</v>
      </c>
      <c r="S347" s="2">
        <v>388</v>
      </c>
      <c r="T347" s="2">
        <v>504</v>
      </c>
      <c r="U347" s="2">
        <v>0</v>
      </c>
      <c r="W347" s="2">
        <v>3601</v>
      </c>
      <c r="X347" s="2">
        <v>2950</v>
      </c>
      <c r="Y347" s="2">
        <v>2395</v>
      </c>
      <c r="Z347" s="2">
        <v>0</v>
      </c>
      <c r="AA347" s="2">
        <v>0</v>
      </c>
      <c r="AC347" s="2">
        <v>1735</v>
      </c>
      <c r="AD347" s="2">
        <v>1735</v>
      </c>
      <c r="AE347" s="2">
        <v>0</v>
      </c>
      <c r="AF347" s="2">
        <v>0</v>
      </c>
      <c r="AG347" s="2">
        <v>0</v>
      </c>
      <c r="AI347" s="2">
        <v>-964</v>
      </c>
      <c r="AJ347" s="2">
        <v>-633</v>
      </c>
      <c r="AK347" s="2">
        <v>-632</v>
      </c>
      <c r="AL347" s="2">
        <v>-165</v>
      </c>
      <c r="AM347" s="2">
        <v>0</v>
      </c>
    </row>
    <row r="348" spans="1:39">
      <c r="A348" s="335">
        <v>93331</v>
      </c>
      <c r="B348" s="328" t="s">
        <v>1036</v>
      </c>
      <c r="C348" s="239">
        <v>1.161E-4</v>
      </c>
      <c r="E348" s="2">
        <v>55134</v>
      </c>
      <c r="F348" s="2">
        <v>15821</v>
      </c>
      <c r="G348" s="2">
        <v>30438</v>
      </c>
      <c r="H348" s="2">
        <v>7158</v>
      </c>
      <c r="I348" s="2">
        <v>0</v>
      </c>
      <c r="K348" s="2">
        <v>17393</v>
      </c>
      <c r="L348" s="2">
        <v>16361</v>
      </c>
      <c r="M348" s="2">
        <v>14664</v>
      </c>
      <c r="N348" s="2">
        <v>5871</v>
      </c>
      <c r="O348" s="2">
        <v>0</v>
      </c>
      <c r="Q348" s="2">
        <v>18465</v>
      </c>
      <c r="R348" s="2">
        <v>-15883</v>
      </c>
      <c r="S348" s="2">
        <v>2239</v>
      </c>
      <c r="T348" s="2">
        <v>2913</v>
      </c>
      <c r="U348" s="2">
        <v>0</v>
      </c>
      <c r="W348" s="2">
        <v>20801</v>
      </c>
      <c r="X348" s="2">
        <v>17041</v>
      </c>
      <c r="Y348" s="2">
        <v>13834</v>
      </c>
      <c r="Z348" s="2">
        <v>0</v>
      </c>
      <c r="AA348" s="2">
        <v>0</v>
      </c>
      <c r="AC348" s="2">
        <v>1496</v>
      </c>
      <c r="AD348" s="2">
        <v>1324</v>
      </c>
      <c r="AE348" s="2">
        <v>1325</v>
      </c>
      <c r="AF348" s="2">
        <v>0</v>
      </c>
      <c r="AG348" s="2">
        <v>0</v>
      </c>
      <c r="AI348" s="2">
        <v>-3021</v>
      </c>
      <c r="AJ348" s="2">
        <v>-3022</v>
      </c>
      <c r="AK348" s="2">
        <v>-1624</v>
      </c>
      <c r="AL348" s="2">
        <v>-1626</v>
      </c>
      <c r="AM348" s="2">
        <v>0</v>
      </c>
    </row>
    <row r="349" spans="1:39">
      <c r="A349" s="335">
        <v>93333</v>
      </c>
      <c r="B349" s="328" t="s">
        <v>3692</v>
      </c>
      <c r="C349" s="239">
        <v>1.6660000000000001E-4</v>
      </c>
      <c r="E349" s="2">
        <v>128526</v>
      </c>
      <c r="F349" s="2">
        <v>53088</v>
      </c>
      <c r="G349" s="2">
        <v>53842</v>
      </c>
      <c r="H349" s="2">
        <v>20247</v>
      </c>
      <c r="I349" s="2">
        <v>0</v>
      </c>
      <c r="K349" s="2">
        <v>24958</v>
      </c>
      <c r="L349" s="2">
        <v>23477</v>
      </c>
      <c r="M349" s="2">
        <v>21042</v>
      </c>
      <c r="N349" s="2">
        <v>8425</v>
      </c>
      <c r="O349" s="2">
        <v>0</v>
      </c>
      <c r="Q349" s="2">
        <v>26496</v>
      </c>
      <c r="R349" s="2">
        <v>-22792</v>
      </c>
      <c r="S349" s="2">
        <v>3212</v>
      </c>
      <c r="T349" s="2">
        <v>4181</v>
      </c>
      <c r="U349" s="2">
        <v>0</v>
      </c>
      <c r="W349" s="2">
        <v>29848</v>
      </c>
      <c r="X349" s="2">
        <v>24453</v>
      </c>
      <c r="Y349" s="2">
        <v>19852</v>
      </c>
      <c r="Z349" s="2">
        <v>0</v>
      </c>
      <c r="AA349" s="2">
        <v>0</v>
      </c>
      <c r="AC349" s="2">
        <v>47224</v>
      </c>
      <c r="AD349" s="2">
        <v>27950</v>
      </c>
      <c r="AE349" s="2">
        <v>9736</v>
      </c>
      <c r="AF349" s="2">
        <v>7641</v>
      </c>
      <c r="AG349" s="2">
        <v>0</v>
      </c>
      <c r="AI349" s="2">
        <v>0</v>
      </c>
      <c r="AJ349" s="2">
        <v>0</v>
      </c>
      <c r="AK349" s="2">
        <v>0</v>
      </c>
      <c r="AL349" s="2">
        <v>0</v>
      </c>
      <c r="AM349" s="2">
        <v>0</v>
      </c>
    </row>
    <row r="350" spans="1:39">
      <c r="A350" s="335">
        <v>93341</v>
      </c>
      <c r="B350" s="328" t="s">
        <v>1038</v>
      </c>
      <c r="C350" s="239">
        <v>2.9300000000000001E-5</v>
      </c>
      <c r="E350" s="2">
        <v>15839</v>
      </c>
      <c r="F350" s="2">
        <v>5600</v>
      </c>
      <c r="G350" s="2">
        <v>9148</v>
      </c>
      <c r="H350" s="2">
        <v>2719</v>
      </c>
      <c r="I350" s="2">
        <v>0</v>
      </c>
      <c r="K350" s="2">
        <v>4389</v>
      </c>
      <c r="L350" s="2">
        <v>4129</v>
      </c>
      <c r="M350" s="2">
        <v>3701</v>
      </c>
      <c r="N350" s="2">
        <v>1482</v>
      </c>
      <c r="O350" s="2">
        <v>0</v>
      </c>
      <c r="Q350" s="2">
        <v>4660</v>
      </c>
      <c r="R350" s="2">
        <v>-4008</v>
      </c>
      <c r="S350" s="2">
        <v>565</v>
      </c>
      <c r="T350" s="2">
        <v>735</v>
      </c>
      <c r="U350" s="2">
        <v>0</v>
      </c>
      <c r="W350" s="2">
        <v>5249</v>
      </c>
      <c r="X350" s="2">
        <v>4301</v>
      </c>
      <c r="Y350" s="2">
        <v>3491</v>
      </c>
      <c r="Z350" s="2">
        <v>0</v>
      </c>
      <c r="AA350" s="2">
        <v>0</v>
      </c>
      <c r="AC350" s="2">
        <v>1757</v>
      </c>
      <c r="AD350" s="2">
        <v>1393</v>
      </c>
      <c r="AE350" s="2">
        <v>1391</v>
      </c>
      <c r="AF350" s="2">
        <v>502</v>
      </c>
      <c r="AG350" s="2">
        <v>0</v>
      </c>
      <c r="AI350" s="2">
        <v>-216</v>
      </c>
      <c r="AJ350" s="2">
        <v>-215</v>
      </c>
      <c r="AK350" s="2">
        <v>0</v>
      </c>
      <c r="AL350" s="2">
        <v>0</v>
      </c>
      <c r="AM350" s="2">
        <v>0</v>
      </c>
    </row>
    <row r="351" spans="1:39">
      <c r="A351" s="335">
        <v>93351</v>
      </c>
      <c r="B351" s="328" t="s">
        <v>1039</v>
      </c>
      <c r="C351" s="239">
        <v>3.1600000000000002E-5</v>
      </c>
      <c r="E351" s="2">
        <v>19385</v>
      </c>
      <c r="F351" s="2">
        <v>6857</v>
      </c>
      <c r="G351" s="2">
        <v>7294</v>
      </c>
      <c r="H351" s="2">
        <v>4000</v>
      </c>
      <c r="I351" s="2">
        <v>0</v>
      </c>
      <c r="K351" s="2">
        <v>4734</v>
      </c>
      <c r="L351" s="2">
        <v>4453</v>
      </c>
      <c r="M351" s="2">
        <v>3991</v>
      </c>
      <c r="N351" s="2">
        <v>1598</v>
      </c>
      <c r="O351" s="2">
        <v>0</v>
      </c>
      <c r="Q351" s="2">
        <v>5026</v>
      </c>
      <c r="R351" s="2">
        <v>-4323</v>
      </c>
      <c r="S351" s="2">
        <v>609</v>
      </c>
      <c r="T351" s="2">
        <v>793</v>
      </c>
      <c r="U351" s="2">
        <v>0</v>
      </c>
      <c r="W351" s="2">
        <v>5662</v>
      </c>
      <c r="X351" s="2">
        <v>4638</v>
      </c>
      <c r="Y351" s="2">
        <v>3765</v>
      </c>
      <c r="Z351" s="2">
        <v>0</v>
      </c>
      <c r="AA351" s="2">
        <v>0</v>
      </c>
      <c r="AC351" s="2">
        <v>6643</v>
      </c>
      <c r="AD351" s="2">
        <v>4769</v>
      </c>
      <c r="AE351" s="2">
        <v>1609</v>
      </c>
      <c r="AF351" s="2">
        <v>1609</v>
      </c>
      <c r="AG351" s="2">
        <v>0</v>
      </c>
      <c r="AI351" s="2">
        <v>-2680</v>
      </c>
      <c r="AJ351" s="2">
        <v>-2680</v>
      </c>
      <c r="AK351" s="2">
        <v>-2680</v>
      </c>
      <c r="AL351" s="2">
        <v>0</v>
      </c>
      <c r="AM351" s="2">
        <v>0</v>
      </c>
    </row>
    <row r="352" spans="1:39">
      <c r="A352" s="335">
        <v>93401</v>
      </c>
      <c r="B352" s="328" t="s">
        <v>1040</v>
      </c>
      <c r="C352" s="239">
        <v>1.3690799999999999E-2</v>
      </c>
      <c r="E352" s="2">
        <v>6622459</v>
      </c>
      <c r="F352" s="2">
        <v>2036507</v>
      </c>
      <c r="G352" s="2">
        <v>3588235</v>
      </c>
      <c r="H352" s="2">
        <v>968118</v>
      </c>
      <c r="I352" s="2">
        <v>0</v>
      </c>
      <c r="K352" s="2">
        <v>2050978</v>
      </c>
      <c r="L352" s="2">
        <v>1929308</v>
      </c>
      <c r="M352" s="2">
        <v>1729216</v>
      </c>
      <c r="N352" s="2">
        <v>692357</v>
      </c>
      <c r="O352" s="2">
        <v>0</v>
      </c>
      <c r="Q352" s="2">
        <v>2177399</v>
      </c>
      <c r="R352" s="2">
        <v>-1872970</v>
      </c>
      <c r="S352" s="2">
        <v>263972</v>
      </c>
      <c r="T352" s="2">
        <v>343557</v>
      </c>
      <c r="U352" s="2">
        <v>0</v>
      </c>
      <c r="W352" s="2">
        <v>2452871</v>
      </c>
      <c r="X352" s="2">
        <v>2009481</v>
      </c>
      <c r="Y352" s="2">
        <v>1631355</v>
      </c>
      <c r="Z352" s="2">
        <v>0</v>
      </c>
      <c r="AA352" s="2">
        <v>0</v>
      </c>
      <c r="AC352" s="2">
        <v>38484</v>
      </c>
      <c r="AD352" s="2">
        <v>38485</v>
      </c>
      <c r="AE352" s="2">
        <v>31489</v>
      </c>
      <c r="AF352" s="2">
        <v>0</v>
      </c>
      <c r="AG352" s="2">
        <v>0</v>
      </c>
      <c r="AI352" s="2">
        <v>-97273</v>
      </c>
      <c r="AJ352" s="2">
        <v>-67797</v>
      </c>
      <c r="AK352" s="2">
        <v>-67797</v>
      </c>
      <c r="AL352" s="2">
        <v>-67796</v>
      </c>
      <c r="AM352" s="2">
        <v>0</v>
      </c>
    </row>
    <row r="353" spans="1:39">
      <c r="A353" s="335">
        <v>93406</v>
      </c>
      <c r="B353" s="328" t="s">
        <v>1042</v>
      </c>
      <c r="C353" s="239">
        <v>4.9350000000000002E-4</v>
      </c>
      <c r="E353" s="2">
        <v>207741</v>
      </c>
      <c r="F353" s="2">
        <v>39879</v>
      </c>
      <c r="G353" s="2">
        <v>108102</v>
      </c>
      <c r="H353" s="2">
        <v>38226</v>
      </c>
      <c r="I353" s="2">
        <v>0</v>
      </c>
      <c r="K353" s="2">
        <v>73930</v>
      </c>
      <c r="L353" s="2">
        <v>69544</v>
      </c>
      <c r="M353" s="2">
        <v>62332</v>
      </c>
      <c r="N353" s="2">
        <v>24957</v>
      </c>
      <c r="O353" s="2">
        <v>0</v>
      </c>
      <c r="Q353" s="2">
        <v>78487</v>
      </c>
      <c r="R353" s="2">
        <v>-67513</v>
      </c>
      <c r="S353" s="2">
        <v>9515</v>
      </c>
      <c r="T353" s="2">
        <v>12384</v>
      </c>
      <c r="U353" s="2">
        <v>0</v>
      </c>
      <c r="W353" s="2">
        <v>88416</v>
      </c>
      <c r="X353" s="2">
        <v>72434</v>
      </c>
      <c r="Y353" s="2">
        <v>58804</v>
      </c>
      <c r="Z353" s="2">
        <v>0</v>
      </c>
      <c r="AA353" s="2">
        <v>0</v>
      </c>
      <c r="AC353" s="2">
        <v>2375</v>
      </c>
      <c r="AD353" s="2">
        <v>883</v>
      </c>
      <c r="AE353" s="2">
        <v>883</v>
      </c>
      <c r="AF353" s="2">
        <v>885</v>
      </c>
      <c r="AG353" s="2">
        <v>0</v>
      </c>
      <c r="AI353" s="2">
        <v>-35467</v>
      </c>
      <c r="AJ353" s="2">
        <v>-35469</v>
      </c>
      <c r="AK353" s="2">
        <v>-23432</v>
      </c>
      <c r="AL353" s="2">
        <v>0</v>
      </c>
      <c r="AM353" s="2">
        <v>0</v>
      </c>
    </row>
    <row r="354" spans="1:39">
      <c r="A354" s="335">
        <v>93411</v>
      </c>
      <c r="B354" s="328" t="s">
        <v>1044</v>
      </c>
      <c r="C354" s="239">
        <v>1.77345E-2</v>
      </c>
      <c r="E354" s="2">
        <v>8697729</v>
      </c>
      <c r="F354" s="2">
        <v>2810941</v>
      </c>
      <c r="G354" s="2">
        <v>4767372</v>
      </c>
      <c r="H354" s="2">
        <v>1276263</v>
      </c>
      <c r="I354" s="2">
        <v>0</v>
      </c>
      <c r="K354" s="2">
        <v>2656752</v>
      </c>
      <c r="L354" s="2">
        <v>2499146</v>
      </c>
      <c r="M354" s="2">
        <v>2239956</v>
      </c>
      <c r="N354" s="2">
        <v>896851</v>
      </c>
      <c r="O354" s="2">
        <v>0</v>
      </c>
      <c r="Q354" s="2">
        <v>2820513</v>
      </c>
      <c r="R354" s="2">
        <v>-2426168</v>
      </c>
      <c r="S354" s="2">
        <v>341939</v>
      </c>
      <c r="T354" s="2">
        <v>445030</v>
      </c>
      <c r="U354" s="2">
        <v>0</v>
      </c>
      <c r="W354" s="2">
        <v>3177348</v>
      </c>
      <c r="X354" s="2">
        <v>2602999</v>
      </c>
      <c r="Y354" s="2">
        <v>2113190</v>
      </c>
      <c r="Z354" s="2">
        <v>0</v>
      </c>
      <c r="AA354" s="2">
        <v>0</v>
      </c>
      <c r="AC354" s="2">
        <v>200585</v>
      </c>
      <c r="AD354" s="2">
        <v>200584</v>
      </c>
      <c r="AE354" s="2">
        <v>137907</v>
      </c>
      <c r="AF354" s="2">
        <v>0</v>
      </c>
      <c r="AG354" s="2">
        <v>0</v>
      </c>
      <c r="AI354" s="2">
        <v>-157469</v>
      </c>
      <c r="AJ354" s="2">
        <v>-65620</v>
      </c>
      <c r="AK354" s="2">
        <v>-65620</v>
      </c>
      <c r="AL354" s="2">
        <v>-65618</v>
      </c>
      <c r="AM354" s="2">
        <v>0</v>
      </c>
    </row>
    <row r="355" spans="1:39">
      <c r="A355" s="335">
        <v>93413</v>
      </c>
      <c r="B355" s="328" t="s">
        <v>1045</v>
      </c>
      <c r="C355" s="239">
        <v>6.9559999999999999E-4</v>
      </c>
      <c r="E355" s="2">
        <v>331569</v>
      </c>
      <c r="F355" s="2">
        <v>101623</v>
      </c>
      <c r="G355" s="2">
        <v>180955</v>
      </c>
      <c r="H355" s="2">
        <v>53026</v>
      </c>
      <c r="I355" s="2">
        <v>0</v>
      </c>
      <c r="K355" s="2">
        <v>104206</v>
      </c>
      <c r="L355" s="2">
        <v>98024</v>
      </c>
      <c r="M355" s="2">
        <v>87858</v>
      </c>
      <c r="N355" s="2">
        <v>35177</v>
      </c>
      <c r="O355" s="2">
        <v>0</v>
      </c>
      <c r="Q355" s="2">
        <v>110629</v>
      </c>
      <c r="R355" s="2">
        <v>-95162</v>
      </c>
      <c r="S355" s="2">
        <v>13412</v>
      </c>
      <c r="T355" s="2">
        <v>17455</v>
      </c>
      <c r="U355" s="2">
        <v>0</v>
      </c>
      <c r="W355" s="2">
        <v>124625</v>
      </c>
      <c r="X355" s="2">
        <v>102097</v>
      </c>
      <c r="Y355" s="2">
        <v>82886</v>
      </c>
      <c r="Z355" s="2">
        <v>0</v>
      </c>
      <c r="AA355" s="2">
        <v>0</v>
      </c>
      <c r="AC355" s="2">
        <v>396</v>
      </c>
      <c r="AD355" s="2">
        <v>396</v>
      </c>
      <c r="AE355" s="2">
        <v>396</v>
      </c>
      <c r="AF355" s="2">
        <v>394</v>
      </c>
      <c r="AG355" s="2">
        <v>0</v>
      </c>
      <c r="AI355" s="2">
        <v>-8287</v>
      </c>
      <c r="AJ355" s="2">
        <v>-3732</v>
      </c>
      <c r="AK355" s="2">
        <v>-3597</v>
      </c>
      <c r="AL355" s="2">
        <v>0</v>
      </c>
      <c r="AM355" s="2">
        <v>0</v>
      </c>
    </row>
    <row r="356" spans="1:39">
      <c r="A356" s="335">
        <v>93417</v>
      </c>
      <c r="B356" s="328" t="s">
        <v>1046</v>
      </c>
      <c r="C356" s="239">
        <v>2.8659999999999997E-4</v>
      </c>
      <c r="E356" s="2">
        <v>133628</v>
      </c>
      <c r="F356" s="2">
        <v>36581</v>
      </c>
      <c r="G356" s="2">
        <v>77477</v>
      </c>
      <c r="H356" s="2">
        <v>20921</v>
      </c>
      <c r="I356" s="2">
        <v>0</v>
      </c>
      <c r="K356" s="2">
        <v>42935</v>
      </c>
      <c r="L356" s="2">
        <v>40388</v>
      </c>
      <c r="M356" s="2">
        <v>36199</v>
      </c>
      <c r="N356" s="2">
        <v>14494</v>
      </c>
      <c r="O356" s="2">
        <v>0</v>
      </c>
      <c r="Q356" s="2">
        <v>45581</v>
      </c>
      <c r="R356" s="2">
        <v>-39208</v>
      </c>
      <c r="S356" s="2">
        <v>5526</v>
      </c>
      <c r="T356" s="2">
        <v>7192</v>
      </c>
      <c r="U356" s="2">
        <v>0</v>
      </c>
      <c r="W356" s="2">
        <v>51348</v>
      </c>
      <c r="X356" s="2">
        <v>42066</v>
      </c>
      <c r="Y356" s="2">
        <v>34150</v>
      </c>
      <c r="Z356" s="2">
        <v>0</v>
      </c>
      <c r="AA356" s="2">
        <v>0</v>
      </c>
      <c r="AC356" s="2">
        <v>2796</v>
      </c>
      <c r="AD356" s="2">
        <v>2369</v>
      </c>
      <c r="AE356" s="2">
        <v>2367</v>
      </c>
      <c r="AF356" s="2">
        <v>0</v>
      </c>
      <c r="AG356" s="2">
        <v>0</v>
      </c>
      <c r="AI356" s="2">
        <v>-9032</v>
      </c>
      <c r="AJ356" s="2">
        <v>-9034</v>
      </c>
      <c r="AK356" s="2">
        <v>-765</v>
      </c>
      <c r="AL356" s="2">
        <v>-765</v>
      </c>
      <c r="AM356" s="2">
        <v>0</v>
      </c>
    </row>
    <row r="357" spans="1:39">
      <c r="A357" s="335">
        <v>93421</v>
      </c>
      <c r="B357" s="328" t="s">
        <v>1047</v>
      </c>
      <c r="C357" s="239">
        <v>2.0569E-3</v>
      </c>
      <c r="E357" s="2">
        <v>905391</v>
      </c>
      <c r="F357" s="2">
        <v>238630</v>
      </c>
      <c r="G357" s="2">
        <v>495545</v>
      </c>
      <c r="H357" s="2">
        <v>123744</v>
      </c>
      <c r="I357" s="2">
        <v>0</v>
      </c>
      <c r="K357" s="2">
        <v>308138</v>
      </c>
      <c r="L357" s="2">
        <v>289858</v>
      </c>
      <c r="M357" s="2">
        <v>259797</v>
      </c>
      <c r="N357" s="2">
        <v>104019</v>
      </c>
      <c r="O357" s="2">
        <v>0</v>
      </c>
      <c r="Q357" s="2">
        <v>327131</v>
      </c>
      <c r="R357" s="2">
        <v>-281394</v>
      </c>
      <c r="S357" s="2">
        <v>39659</v>
      </c>
      <c r="T357" s="2">
        <v>51616</v>
      </c>
      <c r="U357" s="2">
        <v>0</v>
      </c>
      <c r="W357" s="2">
        <v>368518</v>
      </c>
      <c r="X357" s="2">
        <v>301904</v>
      </c>
      <c r="Y357" s="2">
        <v>245094</v>
      </c>
      <c r="Z357" s="2">
        <v>0</v>
      </c>
      <c r="AA357" s="2">
        <v>0</v>
      </c>
      <c r="AC357" s="2">
        <v>0</v>
      </c>
      <c r="AD357" s="2">
        <v>0</v>
      </c>
      <c r="AE357" s="2">
        <v>0</v>
      </c>
      <c r="AF357" s="2">
        <v>0</v>
      </c>
      <c r="AG357" s="2">
        <v>0</v>
      </c>
      <c r="AI357" s="2">
        <v>-98396</v>
      </c>
      <c r="AJ357" s="2">
        <v>-71738</v>
      </c>
      <c r="AK357" s="2">
        <v>-49005</v>
      </c>
      <c r="AL357" s="2">
        <v>-31891</v>
      </c>
      <c r="AM357" s="2">
        <v>0</v>
      </c>
    </row>
    <row r="358" spans="1:39">
      <c r="A358" s="335">
        <v>93431</v>
      </c>
      <c r="B358" s="328" t="s">
        <v>1048</v>
      </c>
      <c r="C358" s="239">
        <v>1.381E-4</v>
      </c>
      <c r="E358" s="2">
        <v>71030</v>
      </c>
      <c r="F358" s="2">
        <v>25845</v>
      </c>
      <c r="G358" s="2">
        <v>38628</v>
      </c>
      <c r="H358" s="2">
        <v>10307</v>
      </c>
      <c r="I358" s="2">
        <v>0</v>
      </c>
      <c r="K358" s="2">
        <v>20688</v>
      </c>
      <c r="L358" s="2">
        <v>19461</v>
      </c>
      <c r="M358" s="2">
        <v>17443</v>
      </c>
      <c r="N358" s="2">
        <v>6984</v>
      </c>
      <c r="O358" s="2">
        <v>0</v>
      </c>
      <c r="Q358" s="2">
        <v>21964</v>
      </c>
      <c r="R358" s="2">
        <v>-18893</v>
      </c>
      <c r="S358" s="2">
        <v>2663</v>
      </c>
      <c r="T358" s="2">
        <v>3465</v>
      </c>
      <c r="U358" s="2">
        <v>0</v>
      </c>
      <c r="W358" s="2">
        <v>24742</v>
      </c>
      <c r="X358" s="2">
        <v>20270</v>
      </c>
      <c r="Y358" s="2">
        <v>16456</v>
      </c>
      <c r="Z358" s="2">
        <v>0</v>
      </c>
      <c r="AA358" s="2">
        <v>0</v>
      </c>
      <c r="AC358" s="2">
        <v>5149</v>
      </c>
      <c r="AD358" s="2">
        <v>5147</v>
      </c>
      <c r="AE358" s="2">
        <v>2206</v>
      </c>
      <c r="AF358" s="2">
        <v>0</v>
      </c>
      <c r="AG358" s="2">
        <v>0</v>
      </c>
      <c r="AI358" s="2">
        <v>-1513</v>
      </c>
      <c r="AJ358" s="2">
        <v>-140</v>
      </c>
      <c r="AK358" s="2">
        <v>-140</v>
      </c>
      <c r="AL358" s="2">
        <v>-142</v>
      </c>
      <c r="AM358" s="2">
        <v>0</v>
      </c>
    </row>
    <row r="359" spans="1:39">
      <c r="A359" s="335">
        <v>93441</v>
      </c>
      <c r="B359" s="328" t="s">
        <v>1049</v>
      </c>
      <c r="C359" s="239">
        <v>1.6559999999999999E-4</v>
      </c>
      <c r="E359" s="2">
        <v>87318</v>
      </c>
      <c r="F359" s="2">
        <v>27615</v>
      </c>
      <c r="G359" s="2">
        <v>44301</v>
      </c>
      <c r="H359" s="2">
        <v>11509</v>
      </c>
      <c r="I359" s="2">
        <v>0</v>
      </c>
      <c r="K359" s="2">
        <v>24808</v>
      </c>
      <c r="L359" s="2">
        <v>23336</v>
      </c>
      <c r="M359" s="2">
        <v>20916</v>
      </c>
      <c r="N359" s="2">
        <v>8375</v>
      </c>
      <c r="O359" s="2">
        <v>0</v>
      </c>
      <c r="Q359" s="2">
        <v>26337</v>
      </c>
      <c r="R359" s="2">
        <v>-22655</v>
      </c>
      <c r="S359" s="2">
        <v>3193</v>
      </c>
      <c r="T359" s="2">
        <v>4156</v>
      </c>
      <c r="U359" s="2">
        <v>0</v>
      </c>
      <c r="W359" s="2">
        <v>29669</v>
      </c>
      <c r="X359" s="2">
        <v>24306</v>
      </c>
      <c r="Y359" s="2">
        <v>19732</v>
      </c>
      <c r="Z359" s="2">
        <v>0</v>
      </c>
      <c r="AA359" s="2">
        <v>0</v>
      </c>
      <c r="AC359" s="2">
        <v>7525</v>
      </c>
      <c r="AD359" s="2">
        <v>3649</v>
      </c>
      <c r="AE359" s="2">
        <v>1481</v>
      </c>
      <c r="AF359" s="2">
        <v>0</v>
      </c>
      <c r="AG359" s="2">
        <v>0</v>
      </c>
      <c r="AI359" s="2">
        <v>-1021</v>
      </c>
      <c r="AJ359" s="2">
        <v>-1021</v>
      </c>
      <c r="AK359" s="2">
        <v>-1021</v>
      </c>
      <c r="AL359" s="2">
        <v>-1022</v>
      </c>
      <c r="AM359" s="2">
        <v>0</v>
      </c>
    </row>
    <row r="360" spans="1:39">
      <c r="A360" s="335">
        <v>93442</v>
      </c>
      <c r="B360" s="328" t="s">
        <v>1050</v>
      </c>
      <c r="C360" s="239">
        <v>1.561E-4</v>
      </c>
      <c r="E360" s="2">
        <v>67874</v>
      </c>
      <c r="F360" s="2">
        <v>20830</v>
      </c>
      <c r="G360" s="2">
        <v>38389</v>
      </c>
      <c r="H360" s="2">
        <v>10396</v>
      </c>
      <c r="I360" s="2">
        <v>0</v>
      </c>
      <c r="K360" s="2">
        <v>23385</v>
      </c>
      <c r="L360" s="2">
        <v>21998</v>
      </c>
      <c r="M360" s="2">
        <v>19716</v>
      </c>
      <c r="N360" s="2">
        <v>7894</v>
      </c>
      <c r="O360" s="2">
        <v>0</v>
      </c>
      <c r="Q360" s="2">
        <v>24826</v>
      </c>
      <c r="R360" s="2">
        <v>-21355</v>
      </c>
      <c r="S360" s="2">
        <v>3010</v>
      </c>
      <c r="T360" s="2">
        <v>3917</v>
      </c>
      <c r="U360" s="2">
        <v>0</v>
      </c>
      <c r="W360" s="2">
        <v>27967</v>
      </c>
      <c r="X360" s="2">
        <v>22912</v>
      </c>
      <c r="Y360" s="2">
        <v>18600</v>
      </c>
      <c r="Z360" s="2">
        <v>0</v>
      </c>
      <c r="AA360" s="2">
        <v>0</v>
      </c>
      <c r="AC360" s="2">
        <v>214</v>
      </c>
      <c r="AD360" s="2">
        <v>214</v>
      </c>
      <c r="AE360" s="2">
        <v>0</v>
      </c>
      <c r="AF360" s="2">
        <v>0</v>
      </c>
      <c r="AG360" s="2">
        <v>0</v>
      </c>
      <c r="AI360" s="2">
        <v>-8518</v>
      </c>
      <c r="AJ360" s="2">
        <v>-2939</v>
      </c>
      <c r="AK360" s="2">
        <v>-2937</v>
      </c>
      <c r="AL360" s="2">
        <v>-1415</v>
      </c>
      <c r="AM360" s="2">
        <v>0</v>
      </c>
    </row>
    <row r="361" spans="1:39">
      <c r="A361" s="335">
        <v>93451</v>
      </c>
      <c r="B361" s="328" t="s">
        <v>1051</v>
      </c>
      <c r="C361" s="239">
        <v>6.6600000000000006E-5</v>
      </c>
      <c r="E361" s="2">
        <v>37851</v>
      </c>
      <c r="F361" s="2">
        <v>13550</v>
      </c>
      <c r="G361" s="2">
        <v>20290</v>
      </c>
      <c r="H361" s="2">
        <v>4791</v>
      </c>
      <c r="I361" s="2">
        <v>0</v>
      </c>
      <c r="K361" s="2">
        <v>9977</v>
      </c>
      <c r="L361" s="2">
        <v>9385</v>
      </c>
      <c r="M361" s="2">
        <v>8412</v>
      </c>
      <c r="N361" s="2">
        <v>3368</v>
      </c>
      <c r="O361" s="2">
        <v>0</v>
      </c>
      <c r="Q361" s="2">
        <v>10592</v>
      </c>
      <c r="R361" s="2">
        <v>-9111</v>
      </c>
      <c r="S361" s="2">
        <v>1284</v>
      </c>
      <c r="T361" s="2">
        <v>1671</v>
      </c>
      <c r="U361" s="2">
        <v>0</v>
      </c>
      <c r="W361" s="2">
        <v>11932</v>
      </c>
      <c r="X361" s="2">
        <v>9775</v>
      </c>
      <c r="Y361" s="2">
        <v>7936</v>
      </c>
      <c r="Z361" s="2">
        <v>0</v>
      </c>
      <c r="AA361" s="2">
        <v>0</v>
      </c>
      <c r="AC361" s="2">
        <v>5598</v>
      </c>
      <c r="AD361" s="2">
        <v>3749</v>
      </c>
      <c r="AE361" s="2">
        <v>2906</v>
      </c>
      <c r="AF361" s="2">
        <v>0</v>
      </c>
      <c r="AG361" s="2">
        <v>0</v>
      </c>
      <c r="AI361" s="2">
        <v>-248</v>
      </c>
      <c r="AJ361" s="2">
        <v>-248</v>
      </c>
      <c r="AK361" s="2">
        <v>-248</v>
      </c>
      <c r="AL361" s="2">
        <v>-248</v>
      </c>
      <c r="AM361" s="2">
        <v>0</v>
      </c>
    </row>
    <row r="362" spans="1:39">
      <c r="A362" s="335">
        <v>93461</v>
      </c>
      <c r="B362" s="328" t="s">
        <v>1052</v>
      </c>
      <c r="C362" s="239">
        <v>1.5500000000000001E-5</v>
      </c>
      <c r="E362" s="2">
        <v>7684</v>
      </c>
      <c r="F362" s="2">
        <v>2389</v>
      </c>
      <c r="G362" s="2">
        <v>4124</v>
      </c>
      <c r="H362" s="2">
        <v>1097</v>
      </c>
      <c r="I362" s="2">
        <v>0</v>
      </c>
      <c r="K362" s="2">
        <v>2322</v>
      </c>
      <c r="L362" s="2">
        <v>2184</v>
      </c>
      <c r="M362" s="2">
        <v>1958</v>
      </c>
      <c r="N362" s="2">
        <v>784</v>
      </c>
      <c r="O362" s="2">
        <v>0</v>
      </c>
      <c r="Q362" s="2">
        <v>2465</v>
      </c>
      <c r="R362" s="2">
        <v>-2120</v>
      </c>
      <c r="S362" s="2">
        <v>299</v>
      </c>
      <c r="T362" s="2">
        <v>389</v>
      </c>
      <c r="U362" s="2">
        <v>0</v>
      </c>
      <c r="W362" s="2">
        <v>2777</v>
      </c>
      <c r="X362" s="2">
        <v>2275</v>
      </c>
      <c r="Y362" s="2">
        <v>1847</v>
      </c>
      <c r="Z362" s="2">
        <v>0</v>
      </c>
      <c r="AA362" s="2">
        <v>0</v>
      </c>
      <c r="AC362" s="2">
        <v>194</v>
      </c>
      <c r="AD362" s="2">
        <v>124</v>
      </c>
      <c r="AE362" s="2">
        <v>94</v>
      </c>
      <c r="AF362" s="2">
        <v>0</v>
      </c>
      <c r="AG362" s="2">
        <v>0</v>
      </c>
      <c r="AI362" s="2">
        <v>-74</v>
      </c>
      <c r="AJ362" s="2">
        <v>-74</v>
      </c>
      <c r="AK362" s="2">
        <v>-74</v>
      </c>
      <c r="AL362" s="2">
        <v>-76</v>
      </c>
      <c r="AM362" s="2">
        <v>0</v>
      </c>
    </row>
    <row r="363" spans="1:39">
      <c r="A363" s="335">
        <v>93471</v>
      </c>
      <c r="B363" s="328" t="s">
        <v>1053</v>
      </c>
      <c r="C363" s="239">
        <v>1.1399999999999999E-5</v>
      </c>
      <c r="E363" s="2">
        <v>7559</v>
      </c>
      <c r="F363" s="2">
        <v>3367</v>
      </c>
      <c r="G363" s="2">
        <v>3985</v>
      </c>
      <c r="H363" s="2">
        <v>1462</v>
      </c>
      <c r="I363" s="2">
        <v>0</v>
      </c>
      <c r="K363" s="2">
        <v>1708</v>
      </c>
      <c r="L363" s="2">
        <v>1606</v>
      </c>
      <c r="M363" s="2">
        <v>1440</v>
      </c>
      <c r="N363" s="2">
        <v>577</v>
      </c>
      <c r="O363" s="2">
        <v>0</v>
      </c>
      <c r="Q363" s="2">
        <v>1813</v>
      </c>
      <c r="R363" s="2">
        <v>-1560</v>
      </c>
      <c r="S363" s="2">
        <v>220</v>
      </c>
      <c r="T363" s="2">
        <v>286</v>
      </c>
      <c r="U363" s="2">
        <v>0</v>
      </c>
      <c r="W363" s="2">
        <v>2042</v>
      </c>
      <c r="X363" s="2">
        <v>1673</v>
      </c>
      <c r="Y363" s="2">
        <v>1358</v>
      </c>
      <c r="Z363" s="2">
        <v>0</v>
      </c>
      <c r="AA363" s="2">
        <v>0</v>
      </c>
      <c r="AC363" s="2">
        <v>1996</v>
      </c>
      <c r="AD363" s="2">
        <v>1648</v>
      </c>
      <c r="AE363" s="2">
        <v>967</v>
      </c>
      <c r="AF363" s="2">
        <v>599</v>
      </c>
      <c r="AG363" s="2">
        <v>0</v>
      </c>
      <c r="AI363" s="2">
        <v>0</v>
      </c>
      <c r="AJ363" s="2">
        <v>0</v>
      </c>
      <c r="AK363" s="2">
        <v>0</v>
      </c>
      <c r="AL363" s="2">
        <v>0</v>
      </c>
      <c r="AM363" s="2">
        <v>0</v>
      </c>
    </row>
    <row r="364" spans="1:39">
      <c r="A364" s="335">
        <v>93501</v>
      </c>
      <c r="B364" s="328" t="s">
        <v>1054</v>
      </c>
      <c r="C364" s="239">
        <v>3.8463999999999998E-3</v>
      </c>
      <c r="E364" s="2">
        <v>1929368</v>
      </c>
      <c r="F364" s="2">
        <v>649991</v>
      </c>
      <c r="G364" s="2">
        <v>1052511</v>
      </c>
      <c r="H364" s="2">
        <v>312306</v>
      </c>
      <c r="I364" s="2">
        <v>0</v>
      </c>
      <c r="K364" s="2">
        <v>576218</v>
      </c>
      <c r="L364" s="2">
        <v>542035</v>
      </c>
      <c r="M364" s="2">
        <v>485820</v>
      </c>
      <c r="N364" s="2">
        <v>194516</v>
      </c>
      <c r="O364" s="2">
        <v>0</v>
      </c>
      <c r="Q364" s="2">
        <v>611735</v>
      </c>
      <c r="R364" s="2">
        <v>-526207</v>
      </c>
      <c r="S364" s="2">
        <v>74162</v>
      </c>
      <c r="T364" s="2">
        <v>96522</v>
      </c>
      <c r="U364" s="2">
        <v>0</v>
      </c>
      <c r="W364" s="2">
        <v>689129</v>
      </c>
      <c r="X364" s="2">
        <v>564559</v>
      </c>
      <c r="Y364" s="2">
        <v>458325</v>
      </c>
      <c r="Z364" s="2">
        <v>0</v>
      </c>
      <c r="AA364" s="2">
        <v>0</v>
      </c>
      <c r="AC364" s="2">
        <v>69604</v>
      </c>
      <c r="AD364" s="2">
        <v>69604</v>
      </c>
      <c r="AE364" s="2">
        <v>34204</v>
      </c>
      <c r="AF364" s="2">
        <v>21268</v>
      </c>
      <c r="AG364" s="2">
        <v>0</v>
      </c>
      <c r="AI364" s="2">
        <v>-17318</v>
      </c>
      <c r="AJ364" s="2">
        <v>0</v>
      </c>
      <c r="AK364" s="2">
        <v>0</v>
      </c>
      <c r="AL364" s="2">
        <v>0</v>
      </c>
      <c r="AM364" s="2">
        <v>0</v>
      </c>
    </row>
    <row r="365" spans="1:39">
      <c r="A365" s="335">
        <v>93511</v>
      </c>
      <c r="B365" s="328" t="s">
        <v>1055</v>
      </c>
      <c r="C365" s="239">
        <v>8.7899999999999995E-5</v>
      </c>
      <c r="E365" s="2">
        <v>43040</v>
      </c>
      <c r="F365" s="2">
        <v>15241</v>
      </c>
      <c r="G365" s="2">
        <v>26139</v>
      </c>
      <c r="H365" s="2">
        <v>8116</v>
      </c>
      <c r="I365" s="2">
        <v>0</v>
      </c>
      <c r="K365" s="2">
        <v>13168</v>
      </c>
      <c r="L365" s="2">
        <v>12387</v>
      </c>
      <c r="M365" s="2">
        <v>11102</v>
      </c>
      <c r="N365" s="2">
        <v>4445</v>
      </c>
      <c r="O365" s="2">
        <v>0</v>
      </c>
      <c r="Q365" s="2">
        <v>13980</v>
      </c>
      <c r="R365" s="2">
        <v>-12025</v>
      </c>
      <c r="S365" s="2">
        <v>1695</v>
      </c>
      <c r="T365" s="2">
        <v>2206</v>
      </c>
      <c r="U365" s="2">
        <v>0</v>
      </c>
      <c r="W365" s="2">
        <v>15748</v>
      </c>
      <c r="X365" s="2">
        <v>12902</v>
      </c>
      <c r="Y365" s="2">
        <v>10474</v>
      </c>
      <c r="Z365" s="2">
        <v>0</v>
      </c>
      <c r="AA365" s="2">
        <v>0</v>
      </c>
      <c r="AC365" s="2">
        <v>2867</v>
      </c>
      <c r="AD365" s="2">
        <v>2867</v>
      </c>
      <c r="AE365" s="2">
        <v>2868</v>
      </c>
      <c r="AF365" s="2">
        <v>1465</v>
      </c>
      <c r="AG365" s="2">
        <v>0</v>
      </c>
      <c r="AI365" s="2">
        <v>-2723</v>
      </c>
      <c r="AJ365" s="2">
        <v>-890</v>
      </c>
      <c r="AK365" s="2">
        <v>0</v>
      </c>
      <c r="AL365" s="2">
        <v>0</v>
      </c>
      <c r="AM365" s="2">
        <v>0</v>
      </c>
    </row>
    <row r="366" spans="1:39">
      <c r="A366" s="335">
        <v>93517</v>
      </c>
      <c r="B366" s="328" t="s">
        <v>1056</v>
      </c>
      <c r="C366" s="239">
        <v>4.3000000000000003E-6</v>
      </c>
      <c r="E366" s="2">
        <v>3191</v>
      </c>
      <c r="F366" s="2">
        <v>1512</v>
      </c>
      <c r="G366" s="2">
        <v>1758</v>
      </c>
      <c r="H366" s="2">
        <v>706</v>
      </c>
      <c r="I366" s="2">
        <v>0</v>
      </c>
      <c r="K366" s="2">
        <v>644</v>
      </c>
      <c r="L366" s="2">
        <v>606</v>
      </c>
      <c r="M366" s="2">
        <v>543</v>
      </c>
      <c r="N366" s="2">
        <v>217</v>
      </c>
      <c r="O366" s="2">
        <v>0</v>
      </c>
      <c r="Q366" s="2">
        <v>684</v>
      </c>
      <c r="R366" s="2">
        <v>-588</v>
      </c>
      <c r="S366" s="2">
        <v>83</v>
      </c>
      <c r="T366" s="2">
        <v>108</v>
      </c>
      <c r="U366" s="2">
        <v>0</v>
      </c>
      <c r="W366" s="2">
        <v>770</v>
      </c>
      <c r="X366" s="2">
        <v>631</v>
      </c>
      <c r="Y366" s="2">
        <v>512</v>
      </c>
      <c r="Z366" s="2">
        <v>0</v>
      </c>
      <c r="AA366" s="2">
        <v>0</v>
      </c>
      <c r="AC366" s="2">
        <v>1093</v>
      </c>
      <c r="AD366" s="2">
        <v>863</v>
      </c>
      <c r="AE366" s="2">
        <v>620</v>
      </c>
      <c r="AF366" s="2">
        <v>381</v>
      </c>
      <c r="AG366" s="2">
        <v>0</v>
      </c>
      <c r="AI366" s="2">
        <v>0</v>
      </c>
      <c r="AJ366" s="2">
        <v>0</v>
      </c>
      <c r="AK366" s="2">
        <v>0</v>
      </c>
      <c r="AL366" s="2">
        <v>0</v>
      </c>
      <c r="AM366" s="2">
        <v>0</v>
      </c>
    </row>
    <row r="367" spans="1:39">
      <c r="A367" s="335">
        <v>93521</v>
      </c>
      <c r="B367" s="328" t="s">
        <v>1057</v>
      </c>
      <c r="C367" s="239">
        <v>4.7340000000000001E-4</v>
      </c>
      <c r="E367" s="2">
        <v>219467</v>
      </c>
      <c r="F367" s="2">
        <v>57720</v>
      </c>
      <c r="G367" s="2">
        <v>128876</v>
      </c>
      <c r="H367" s="2">
        <v>38795</v>
      </c>
      <c r="I367" s="2">
        <v>0</v>
      </c>
      <c r="K367" s="2">
        <v>70919</v>
      </c>
      <c r="L367" s="2">
        <v>66712</v>
      </c>
      <c r="M367" s="2">
        <v>59793</v>
      </c>
      <c r="N367" s="2">
        <v>23940</v>
      </c>
      <c r="O367" s="2">
        <v>0</v>
      </c>
      <c r="Q367" s="2">
        <v>75290</v>
      </c>
      <c r="R367" s="2">
        <v>-64763</v>
      </c>
      <c r="S367" s="2">
        <v>9128</v>
      </c>
      <c r="T367" s="2">
        <v>11879</v>
      </c>
      <c r="U367" s="2">
        <v>0</v>
      </c>
      <c r="W367" s="2">
        <v>84815</v>
      </c>
      <c r="X367" s="2">
        <v>69484</v>
      </c>
      <c r="Y367" s="2">
        <v>56409</v>
      </c>
      <c r="Z367" s="2">
        <v>0</v>
      </c>
      <c r="AA367" s="2">
        <v>0</v>
      </c>
      <c r="AC367" s="2">
        <v>5698</v>
      </c>
      <c r="AD367" s="2">
        <v>3544</v>
      </c>
      <c r="AE367" s="2">
        <v>3546</v>
      </c>
      <c r="AF367" s="2">
        <v>2976</v>
      </c>
      <c r="AG367" s="2">
        <v>0</v>
      </c>
      <c r="AI367" s="2">
        <v>-17255</v>
      </c>
      <c r="AJ367" s="2">
        <v>-17257</v>
      </c>
      <c r="AK367" s="2">
        <v>0</v>
      </c>
      <c r="AL367" s="2">
        <v>0</v>
      </c>
      <c r="AM367" s="2">
        <v>0</v>
      </c>
    </row>
    <row r="368" spans="1:39">
      <c r="A368" s="335">
        <v>93527</v>
      </c>
      <c r="B368" s="328" t="s">
        <v>1058</v>
      </c>
      <c r="C368" s="239">
        <v>9.5999999999999996E-6</v>
      </c>
      <c r="E368" s="2">
        <v>9050</v>
      </c>
      <c r="F368" s="2">
        <v>4739</v>
      </c>
      <c r="G368" s="2">
        <v>3899</v>
      </c>
      <c r="H368" s="2">
        <v>1007</v>
      </c>
      <c r="I368" s="2">
        <v>0</v>
      </c>
      <c r="K368" s="2">
        <v>1438</v>
      </c>
      <c r="L368" s="2">
        <v>1353</v>
      </c>
      <c r="M368" s="2">
        <v>1213</v>
      </c>
      <c r="N368" s="2">
        <v>485</v>
      </c>
      <c r="O368" s="2">
        <v>0</v>
      </c>
      <c r="Q368" s="2">
        <v>1527</v>
      </c>
      <c r="R368" s="2">
        <v>-1313</v>
      </c>
      <c r="S368" s="2">
        <v>185</v>
      </c>
      <c r="T368" s="2">
        <v>241</v>
      </c>
      <c r="U368" s="2">
        <v>0</v>
      </c>
      <c r="W368" s="2">
        <v>1720</v>
      </c>
      <c r="X368" s="2">
        <v>1409</v>
      </c>
      <c r="Y368" s="2">
        <v>1144</v>
      </c>
      <c r="Z368" s="2">
        <v>0</v>
      </c>
      <c r="AA368" s="2">
        <v>0</v>
      </c>
      <c r="AC368" s="2">
        <v>4365</v>
      </c>
      <c r="AD368" s="2">
        <v>3290</v>
      </c>
      <c r="AE368" s="2">
        <v>1357</v>
      </c>
      <c r="AF368" s="2">
        <v>281</v>
      </c>
      <c r="AG368" s="2">
        <v>0</v>
      </c>
      <c r="AI368" s="2">
        <v>0</v>
      </c>
      <c r="AJ368" s="2">
        <v>0</v>
      </c>
      <c r="AK368" s="2">
        <v>0</v>
      </c>
      <c r="AL368" s="2">
        <v>0</v>
      </c>
      <c r="AM368" s="2">
        <v>0</v>
      </c>
    </row>
    <row r="369" spans="1:39">
      <c r="A369" s="335">
        <v>93531</v>
      </c>
      <c r="B369" s="328" t="s">
        <v>1059</v>
      </c>
      <c r="C369" s="239">
        <v>2.23E-5</v>
      </c>
      <c r="E369" s="2">
        <v>10983</v>
      </c>
      <c r="F369" s="2">
        <v>3230</v>
      </c>
      <c r="G369" s="2">
        <v>6177</v>
      </c>
      <c r="H369" s="2">
        <v>157</v>
      </c>
      <c r="I369" s="2">
        <v>0</v>
      </c>
      <c r="K369" s="2">
        <v>3341</v>
      </c>
      <c r="L369" s="2">
        <v>3143</v>
      </c>
      <c r="M369" s="2">
        <v>2817</v>
      </c>
      <c r="N369" s="2">
        <v>1128</v>
      </c>
      <c r="O369" s="2">
        <v>0</v>
      </c>
      <c r="Q369" s="2">
        <v>3547</v>
      </c>
      <c r="R369" s="2">
        <v>-3051</v>
      </c>
      <c r="S369" s="2">
        <v>430</v>
      </c>
      <c r="T369" s="2">
        <v>560</v>
      </c>
      <c r="U369" s="2">
        <v>0</v>
      </c>
      <c r="W369" s="2">
        <v>3995</v>
      </c>
      <c r="X369" s="2">
        <v>3273</v>
      </c>
      <c r="Y369" s="2">
        <v>2657</v>
      </c>
      <c r="Z369" s="2">
        <v>0</v>
      </c>
      <c r="AA369" s="2">
        <v>0</v>
      </c>
      <c r="AC369" s="2">
        <v>2039</v>
      </c>
      <c r="AD369" s="2">
        <v>1802</v>
      </c>
      <c r="AE369" s="2">
        <v>1802</v>
      </c>
      <c r="AF369" s="2">
        <v>0</v>
      </c>
      <c r="AG369" s="2">
        <v>0</v>
      </c>
      <c r="AI369" s="2">
        <v>-1939</v>
      </c>
      <c r="AJ369" s="2">
        <v>-1937</v>
      </c>
      <c r="AK369" s="2">
        <v>-1529</v>
      </c>
      <c r="AL369" s="2">
        <v>-1531</v>
      </c>
      <c r="AM369" s="2">
        <v>0</v>
      </c>
    </row>
    <row r="370" spans="1:39">
      <c r="A370" s="335">
        <v>93537</v>
      </c>
      <c r="B370" s="328" t="s">
        <v>1060</v>
      </c>
      <c r="C370" s="239">
        <v>1.08E-5</v>
      </c>
      <c r="E370" s="2">
        <v>4255</v>
      </c>
      <c r="F370" s="2">
        <v>788</v>
      </c>
      <c r="G370" s="2">
        <v>2318</v>
      </c>
      <c r="H370" s="2">
        <v>539</v>
      </c>
      <c r="I370" s="2">
        <v>0</v>
      </c>
      <c r="K370" s="2">
        <v>1618</v>
      </c>
      <c r="L370" s="2">
        <v>1522</v>
      </c>
      <c r="M370" s="2">
        <v>1364</v>
      </c>
      <c r="N370" s="2">
        <v>546</v>
      </c>
      <c r="O370" s="2">
        <v>0</v>
      </c>
      <c r="Q370" s="2">
        <v>1718</v>
      </c>
      <c r="R370" s="2">
        <v>-1477</v>
      </c>
      <c r="S370" s="2">
        <v>208</v>
      </c>
      <c r="T370" s="2">
        <v>271</v>
      </c>
      <c r="U370" s="2">
        <v>0</v>
      </c>
      <c r="W370" s="2">
        <v>1935</v>
      </c>
      <c r="X370" s="2">
        <v>1585</v>
      </c>
      <c r="Y370" s="2">
        <v>1287</v>
      </c>
      <c r="Z370" s="2">
        <v>0</v>
      </c>
      <c r="AA370" s="2">
        <v>0</v>
      </c>
      <c r="AC370" s="2">
        <v>0</v>
      </c>
      <c r="AD370" s="2">
        <v>0</v>
      </c>
      <c r="AE370" s="2">
        <v>0</v>
      </c>
      <c r="AF370" s="2">
        <v>0</v>
      </c>
      <c r="AG370" s="2">
        <v>0</v>
      </c>
      <c r="AI370" s="2">
        <v>-1016</v>
      </c>
      <c r="AJ370" s="2">
        <v>-842</v>
      </c>
      <c r="AK370" s="2">
        <v>-541</v>
      </c>
      <c r="AL370" s="2">
        <v>-278</v>
      </c>
      <c r="AM370" s="2">
        <v>0</v>
      </c>
    </row>
    <row r="371" spans="1:39">
      <c r="A371" s="335">
        <v>93541</v>
      </c>
      <c r="B371" s="328" t="s">
        <v>1061</v>
      </c>
      <c r="C371" s="239">
        <v>9.9699999999999998E-5</v>
      </c>
      <c r="E371" s="2">
        <v>49825</v>
      </c>
      <c r="F371" s="2">
        <v>16299</v>
      </c>
      <c r="G371" s="2">
        <v>27573</v>
      </c>
      <c r="H371" s="2">
        <v>9908</v>
      </c>
      <c r="I371" s="2">
        <v>0</v>
      </c>
      <c r="K371" s="2">
        <v>14936</v>
      </c>
      <c r="L371" s="2">
        <v>14050</v>
      </c>
      <c r="M371" s="2">
        <v>12593</v>
      </c>
      <c r="N371" s="2">
        <v>5042</v>
      </c>
      <c r="O371" s="2">
        <v>0</v>
      </c>
      <c r="Q371" s="2">
        <v>15856</v>
      </c>
      <c r="R371" s="2">
        <v>-13639</v>
      </c>
      <c r="S371" s="2">
        <v>1922</v>
      </c>
      <c r="T371" s="2">
        <v>2502</v>
      </c>
      <c r="U371" s="2">
        <v>0</v>
      </c>
      <c r="W371" s="2">
        <v>17862</v>
      </c>
      <c r="X371" s="2">
        <v>14634</v>
      </c>
      <c r="Y371" s="2">
        <v>11880</v>
      </c>
      <c r="Z371" s="2">
        <v>0</v>
      </c>
      <c r="AA371" s="2">
        <v>0</v>
      </c>
      <c r="AC371" s="2">
        <v>2440</v>
      </c>
      <c r="AD371" s="2">
        <v>2438</v>
      </c>
      <c r="AE371" s="2">
        <v>2364</v>
      </c>
      <c r="AF371" s="2">
        <v>2364</v>
      </c>
      <c r="AG371" s="2">
        <v>0</v>
      </c>
      <c r="AI371" s="2">
        <v>-1269</v>
      </c>
      <c r="AJ371" s="2">
        <v>-1184</v>
      </c>
      <c r="AK371" s="2">
        <v>-1186</v>
      </c>
      <c r="AL371" s="2">
        <v>0</v>
      </c>
      <c r="AM371" s="2">
        <v>0</v>
      </c>
    </row>
    <row r="372" spans="1:39">
      <c r="A372" s="335">
        <v>93601</v>
      </c>
      <c r="B372" s="328" t="s">
        <v>1062</v>
      </c>
      <c r="C372" s="239">
        <v>1.1220300000000001E-2</v>
      </c>
      <c r="E372" s="2">
        <v>5573431</v>
      </c>
      <c r="F372" s="2">
        <v>1771092</v>
      </c>
      <c r="G372" s="2">
        <v>3095446</v>
      </c>
      <c r="H372" s="2">
        <v>876967</v>
      </c>
      <c r="I372" s="2">
        <v>0</v>
      </c>
      <c r="K372" s="2">
        <v>1680879</v>
      </c>
      <c r="L372" s="2">
        <v>1581165</v>
      </c>
      <c r="M372" s="2">
        <v>1417180</v>
      </c>
      <c r="N372" s="2">
        <v>567422</v>
      </c>
      <c r="O372" s="2">
        <v>0</v>
      </c>
      <c r="Q372" s="2">
        <v>1784488</v>
      </c>
      <c r="R372" s="2">
        <v>-1534993</v>
      </c>
      <c r="S372" s="2">
        <v>216339</v>
      </c>
      <c r="T372" s="2">
        <v>281562</v>
      </c>
      <c r="U372" s="2">
        <v>0</v>
      </c>
      <c r="W372" s="2">
        <v>2010251</v>
      </c>
      <c r="X372" s="2">
        <v>1646871</v>
      </c>
      <c r="Y372" s="2">
        <v>1336977</v>
      </c>
      <c r="Z372" s="2">
        <v>0</v>
      </c>
      <c r="AA372" s="2">
        <v>0</v>
      </c>
      <c r="AC372" s="2">
        <v>144717</v>
      </c>
      <c r="AD372" s="2">
        <v>124951</v>
      </c>
      <c r="AE372" s="2">
        <v>124950</v>
      </c>
      <c r="AF372" s="2">
        <v>27983</v>
      </c>
      <c r="AG372" s="2">
        <v>0</v>
      </c>
      <c r="AI372" s="2">
        <v>-46904</v>
      </c>
      <c r="AJ372" s="2">
        <v>-46902</v>
      </c>
      <c r="AK372" s="2">
        <v>0</v>
      </c>
      <c r="AL372" s="2">
        <v>0</v>
      </c>
      <c r="AM372" s="2">
        <v>0</v>
      </c>
    </row>
    <row r="373" spans="1:39">
      <c r="A373" s="335">
        <v>93602</v>
      </c>
      <c r="B373" s="328" t="s">
        <v>1063</v>
      </c>
      <c r="C373" s="239">
        <v>1.918E-4</v>
      </c>
      <c r="E373" s="2">
        <v>96745</v>
      </c>
      <c r="F373" s="2">
        <v>34895</v>
      </c>
      <c r="G373" s="2">
        <v>55829</v>
      </c>
      <c r="H373" s="2">
        <v>17792</v>
      </c>
      <c r="I373" s="2">
        <v>0</v>
      </c>
      <c r="K373" s="2">
        <v>28733</v>
      </c>
      <c r="L373" s="2">
        <v>27028</v>
      </c>
      <c r="M373" s="2">
        <v>24225</v>
      </c>
      <c r="N373" s="2">
        <v>9700</v>
      </c>
      <c r="O373" s="2">
        <v>0</v>
      </c>
      <c r="Q373" s="2">
        <v>30504</v>
      </c>
      <c r="R373" s="2">
        <v>-26239</v>
      </c>
      <c r="S373" s="2">
        <v>3698</v>
      </c>
      <c r="T373" s="2">
        <v>4813</v>
      </c>
      <c r="U373" s="2">
        <v>0</v>
      </c>
      <c r="W373" s="2">
        <v>34363</v>
      </c>
      <c r="X373" s="2">
        <v>28152</v>
      </c>
      <c r="Y373" s="2">
        <v>22854</v>
      </c>
      <c r="Z373" s="2">
        <v>0</v>
      </c>
      <c r="AA373" s="2">
        <v>0</v>
      </c>
      <c r="AC373" s="2">
        <v>5955</v>
      </c>
      <c r="AD373" s="2">
        <v>5954</v>
      </c>
      <c r="AE373" s="2">
        <v>5052</v>
      </c>
      <c r="AF373" s="2">
        <v>3279</v>
      </c>
      <c r="AG373" s="2">
        <v>0</v>
      </c>
      <c r="AI373" s="2">
        <v>-2810</v>
      </c>
      <c r="AJ373" s="2">
        <v>0</v>
      </c>
      <c r="AK373" s="2">
        <v>0</v>
      </c>
      <c r="AL373" s="2">
        <v>0</v>
      </c>
      <c r="AM373" s="2">
        <v>0</v>
      </c>
    </row>
    <row r="374" spans="1:39">
      <c r="A374" s="335">
        <v>93604</v>
      </c>
      <c r="B374" s="328" t="s">
        <v>1932</v>
      </c>
      <c r="C374" s="239">
        <v>2.6400000000000001E-5</v>
      </c>
      <c r="E374" s="2">
        <v>19602</v>
      </c>
      <c r="F374" s="2">
        <v>10701</v>
      </c>
      <c r="G374" s="2">
        <v>13709</v>
      </c>
      <c r="H374" s="2">
        <v>3816</v>
      </c>
      <c r="I374" s="2">
        <v>0</v>
      </c>
      <c r="K374" s="2">
        <v>3955</v>
      </c>
      <c r="L374" s="2">
        <v>3720</v>
      </c>
      <c r="M374" s="2">
        <v>3334</v>
      </c>
      <c r="N374" s="2">
        <v>1335</v>
      </c>
      <c r="O374" s="2">
        <v>0</v>
      </c>
      <c r="Q374" s="2">
        <v>4199</v>
      </c>
      <c r="R374" s="2">
        <v>-3612</v>
      </c>
      <c r="S374" s="2">
        <v>509</v>
      </c>
      <c r="T374" s="2">
        <v>662</v>
      </c>
      <c r="U374" s="2">
        <v>0</v>
      </c>
      <c r="W374" s="2">
        <v>4730</v>
      </c>
      <c r="X374" s="2">
        <v>3875</v>
      </c>
      <c r="Y374" s="2">
        <v>3146</v>
      </c>
      <c r="Z374" s="2">
        <v>0</v>
      </c>
      <c r="AA374" s="2">
        <v>0</v>
      </c>
      <c r="AC374" s="2">
        <v>6718</v>
      </c>
      <c r="AD374" s="2">
        <v>6718</v>
      </c>
      <c r="AE374" s="2">
        <v>6720</v>
      </c>
      <c r="AF374" s="2">
        <v>1819</v>
      </c>
      <c r="AG374" s="2">
        <v>0</v>
      </c>
      <c r="AI374" s="2">
        <v>0</v>
      </c>
      <c r="AJ374" s="2">
        <v>0</v>
      </c>
      <c r="AK374" s="2">
        <v>0</v>
      </c>
      <c r="AL374" s="2">
        <v>0</v>
      </c>
      <c r="AM374" s="2">
        <v>0</v>
      </c>
    </row>
    <row r="375" spans="1:39">
      <c r="A375" s="335">
        <v>93609</v>
      </c>
      <c r="B375" s="328" t="s">
        <v>1064</v>
      </c>
      <c r="C375" s="239">
        <v>3.7919E-3</v>
      </c>
      <c r="E375" s="2">
        <v>1981974</v>
      </c>
      <c r="F375" s="2">
        <v>670999</v>
      </c>
      <c r="G375" s="2">
        <v>981081</v>
      </c>
      <c r="H375" s="2">
        <v>254812</v>
      </c>
      <c r="I375" s="2">
        <v>0</v>
      </c>
      <c r="K375" s="2">
        <v>568053</v>
      </c>
      <c r="L375" s="2">
        <v>534355</v>
      </c>
      <c r="M375" s="2">
        <v>478936</v>
      </c>
      <c r="N375" s="2">
        <v>191760</v>
      </c>
      <c r="O375" s="2">
        <v>0</v>
      </c>
      <c r="Q375" s="2">
        <v>603068</v>
      </c>
      <c r="R375" s="2">
        <v>-518751</v>
      </c>
      <c r="S375" s="2">
        <v>73112</v>
      </c>
      <c r="T375" s="2">
        <v>95154</v>
      </c>
      <c r="U375" s="2">
        <v>0</v>
      </c>
      <c r="W375" s="2">
        <v>679364</v>
      </c>
      <c r="X375" s="2">
        <v>556560</v>
      </c>
      <c r="Y375" s="2">
        <v>451831</v>
      </c>
      <c r="Z375" s="2">
        <v>0</v>
      </c>
      <c r="AA375" s="2">
        <v>0</v>
      </c>
      <c r="AC375" s="2">
        <v>163590</v>
      </c>
      <c r="AD375" s="2">
        <v>130936</v>
      </c>
      <c r="AE375" s="2">
        <v>9303</v>
      </c>
      <c r="AF375" s="2">
        <v>0</v>
      </c>
      <c r="AG375" s="2">
        <v>0</v>
      </c>
      <c r="AI375" s="2">
        <v>-32101</v>
      </c>
      <c r="AJ375" s="2">
        <v>-32101</v>
      </c>
      <c r="AK375" s="2">
        <v>-32101</v>
      </c>
      <c r="AL375" s="2">
        <v>-32102</v>
      </c>
      <c r="AM375" s="2">
        <v>0</v>
      </c>
    </row>
    <row r="376" spans="1:39">
      <c r="A376" s="335">
        <v>93610</v>
      </c>
      <c r="B376" s="328" t="s">
        <v>1065</v>
      </c>
      <c r="C376" s="239">
        <v>1.63E-5</v>
      </c>
      <c r="E376" s="2">
        <v>8075</v>
      </c>
      <c r="F376" s="2">
        <v>3592</v>
      </c>
      <c r="G376" s="2">
        <v>4361</v>
      </c>
      <c r="H376" s="2">
        <v>1112</v>
      </c>
      <c r="I376" s="2">
        <v>0</v>
      </c>
      <c r="K376" s="2">
        <v>2442</v>
      </c>
      <c r="L376" s="2">
        <v>2297</v>
      </c>
      <c r="M376" s="2">
        <v>2059</v>
      </c>
      <c r="N376" s="2">
        <v>824</v>
      </c>
      <c r="O376" s="2">
        <v>0</v>
      </c>
      <c r="Q376" s="2">
        <v>2592</v>
      </c>
      <c r="R376" s="2">
        <v>-2230</v>
      </c>
      <c r="S376" s="2">
        <v>314</v>
      </c>
      <c r="T376" s="2">
        <v>409</v>
      </c>
      <c r="U376" s="2">
        <v>0</v>
      </c>
      <c r="W376" s="2">
        <v>2920</v>
      </c>
      <c r="X376" s="2">
        <v>2392</v>
      </c>
      <c r="Y376" s="2">
        <v>1942</v>
      </c>
      <c r="Z376" s="2">
        <v>0</v>
      </c>
      <c r="AA376" s="2">
        <v>0</v>
      </c>
      <c r="AC376" s="2">
        <v>1256</v>
      </c>
      <c r="AD376" s="2">
        <v>1255</v>
      </c>
      <c r="AE376" s="2">
        <v>168</v>
      </c>
      <c r="AF376" s="2">
        <v>0</v>
      </c>
      <c r="AG376" s="2">
        <v>0</v>
      </c>
      <c r="AI376" s="2">
        <v>-1135</v>
      </c>
      <c r="AJ376" s="2">
        <v>-122</v>
      </c>
      <c r="AK376" s="2">
        <v>-122</v>
      </c>
      <c r="AL376" s="2">
        <v>-121</v>
      </c>
      <c r="AM376" s="2">
        <v>0</v>
      </c>
    </row>
    <row r="377" spans="1:39">
      <c r="A377" s="335">
        <v>93611</v>
      </c>
      <c r="B377" s="328" t="s">
        <v>1066</v>
      </c>
      <c r="C377" s="239">
        <v>6.9186999999999999E-3</v>
      </c>
      <c r="E377" s="2">
        <v>3374854</v>
      </c>
      <c r="F377" s="2">
        <v>1048737</v>
      </c>
      <c r="G377" s="2">
        <v>1821156</v>
      </c>
      <c r="H377" s="2">
        <v>521563</v>
      </c>
      <c r="I377" s="2">
        <v>0</v>
      </c>
      <c r="K377" s="2">
        <v>1036470</v>
      </c>
      <c r="L377" s="2">
        <v>974983</v>
      </c>
      <c r="M377" s="2">
        <v>873866</v>
      </c>
      <c r="N377" s="2">
        <v>349886</v>
      </c>
      <c r="O377" s="2">
        <v>0</v>
      </c>
      <c r="Q377" s="2">
        <v>1100357</v>
      </c>
      <c r="R377" s="2">
        <v>-946513</v>
      </c>
      <c r="S377" s="2">
        <v>133399</v>
      </c>
      <c r="T377" s="2">
        <v>173618</v>
      </c>
      <c r="U377" s="2">
        <v>0</v>
      </c>
      <c r="W377" s="2">
        <v>1239568</v>
      </c>
      <c r="X377" s="2">
        <v>1015499</v>
      </c>
      <c r="Y377" s="2">
        <v>824412</v>
      </c>
      <c r="Z377" s="2">
        <v>0</v>
      </c>
      <c r="AA377" s="2">
        <v>0</v>
      </c>
      <c r="AC377" s="2">
        <v>15287</v>
      </c>
      <c r="AD377" s="2">
        <v>15287</v>
      </c>
      <c r="AE377" s="2">
        <v>0</v>
      </c>
      <c r="AF377" s="2">
        <v>0</v>
      </c>
      <c r="AG377" s="2">
        <v>0</v>
      </c>
      <c r="AI377" s="2">
        <v>-16828</v>
      </c>
      <c r="AJ377" s="2">
        <v>-10519</v>
      </c>
      <c r="AK377" s="2">
        <v>-10521</v>
      </c>
      <c r="AL377" s="2">
        <v>-1941</v>
      </c>
      <c r="AM377" s="2">
        <v>0</v>
      </c>
    </row>
    <row r="378" spans="1:39">
      <c r="A378" s="335">
        <v>93617</v>
      </c>
      <c r="B378" s="328" t="s">
        <v>1067</v>
      </c>
      <c r="C378" s="239">
        <v>7.8899999999999993E-5</v>
      </c>
      <c r="E378" s="2">
        <v>46273</v>
      </c>
      <c r="F378" s="2">
        <v>16528</v>
      </c>
      <c r="G378" s="2">
        <v>25337</v>
      </c>
      <c r="H378" s="2">
        <v>7361</v>
      </c>
      <c r="I378" s="2">
        <v>0</v>
      </c>
      <c r="K378" s="2">
        <v>11820</v>
      </c>
      <c r="L378" s="2">
        <v>11119</v>
      </c>
      <c r="M378" s="2">
        <v>9965</v>
      </c>
      <c r="N378" s="2">
        <v>3990</v>
      </c>
      <c r="O378" s="2">
        <v>0</v>
      </c>
      <c r="Q378" s="2">
        <v>12548</v>
      </c>
      <c r="R378" s="2">
        <v>-10794</v>
      </c>
      <c r="S378" s="2">
        <v>1521</v>
      </c>
      <c r="T378" s="2">
        <v>1980</v>
      </c>
      <c r="U378" s="2">
        <v>0</v>
      </c>
      <c r="W378" s="2">
        <v>14136</v>
      </c>
      <c r="X378" s="2">
        <v>11581</v>
      </c>
      <c r="Y378" s="2">
        <v>9401</v>
      </c>
      <c r="Z378" s="2">
        <v>0</v>
      </c>
      <c r="AA378" s="2">
        <v>0</v>
      </c>
      <c r="AC378" s="2">
        <v>7769</v>
      </c>
      <c r="AD378" s="2">
        <v>4622</v>
      </c>
      <c r="AE378" s="2">
        <v>4450</v>
      </c>
      <c r="AF378" s="2">
        <v>1391</v>
      </c>
      <c r="AG378" s="2">
        <v>0</v>
      </c>
      <c r="AI378" s="2">
        <v>0</v>
      </c>
      <c r="AJ378" s="2">
        <v>0</v>
      </c>
      <c r="AK378" s="2">
        <v>0</v>
      </c>
      <c r="AL378" s="2">
        <v>0</v>
      </c>
      <c r="AM378" s="2">
        <v>0</v>
      </c>
    </row>
    <row r="379" spans="1:39">
      <c r="A379" s="335">
        <v>93618</v>
      </c>
      <c r="B379" s="328" t="s">
        <v>3693</v>
      </c>
      <c r="C379" s="239">
        <v>9.5000000000000005E-6</v>
      </c>
      <c r="E379" s="2">
        <v>19622</v>
      </c>
      <c r="F379" s="2">
        <v>13084</v>
      </c>
      <c r="G379" s="2">
        <v>10491</v>
      </c>
      <c r="H379" s="2">
        <v>4837</v>
      </c>
      <c r="I379" s="2">
        <v>0</v>
      </c>
      <c r="K379" s="2">
        <v>1423</v>
      </c>
      <c r="L379" s="2">
        <v>1339</v>
      </c>
      <c r="M379" s="2">
        <v>1200</v>
      </c>
      <c r="N379" s="2">
        <v>480</v>
      </c>
      <c r="O379" s="2">
        <v>0</v>
      </c>
      <c r="Q379" s="2">
        <v>1511</v>
      </c>
      <c r="R379" s="2">
        <v>-1300</v>
      </c>
      <c r="S379" s="2">
        <v>183</v>
      </c>
      <c r="T379" s="2">
        <v>238</v>
      </c>
      <c r="U379" s="2">
        <v>0</v>
      </c>
      <c r="W379" s="2">
        <v>1702</v>
      </c>
      <c r="X379" s="2">
        <v>1394</v>
      </c>
      <c r="Y379" s="2">
        <v>1132</v>
      </c>
      <c r="Z379" s="2">
        <v>0</v>
      </c>
      <c r="AA379" s="2">
        <v>0</v>
      </c>
      <c r="AC379" s="2">
        <v>14986</v>
      </c>
      <c r="AD379" s="2">
        <v>11651</v>
      </c>
      <c r="AE379" s="2">
        <v>7976</v>
      </c>
      <c r="AF379" s="2">
        <v>4119</v>
      </c>
      <c r="AG379" s="2">
        <v>0</v>
      </c>
      <c r="AI379" s="2">
        <v>0</v>
      </c>
      <c r="AJ379" s="2">
        <v>0</v>
      </c>
      <c r="AK379" s="2">
        <v>0</v>
      </c>
      <c r="AL379" s="2">
        <v>0</v>
      </c>
      <c r="AM379" s="2">
        <v>0</v>
      </c>
    </row>
    <row r="380" spans="1:39">
      <c r="A380" s="335">
        <v>93621</v>
      </c>
      <c r="B380" s="328" t="s">
        <v>1069</v>
      </c>
      <c r="C380" s="239">
        <v>1.0563E-3</v>
      </c>
      <c r="E380" s="2">
        <v>513114</v>
      </c>
      <c r="F380" s="2">
        <v>173501</v>
      </c>
      <c r="G380" s="2">
        <v>281690</v>
      </c>
      <c r="H380" s="2">
        <v>78249</v>
      </c>
      <c r="I380" s="2">
        <v>0</v>
      </c>
      <c r="K380" s="2">
        <v>158241</v>
      </c>
      <c r="L380" s="2">
        <v>148854</v>
      </c>
      <c r="M380" s="2">
        <v>133416</v>
      </c>
      <c r="N380" s="2">
        <v>53418</v>
      </c>
      <c r="O380" s="2">
        <v>0</v>
      </c>
      <c r="Q380" s="2">
        <v>167995</v>
      </c>
      <c r="R380" s="2">
        <v>-144507</v>
      </c>
      <c r="S380" s="2">
        <v>20367</v>
      </c>
      <c r="T380" s="2">
        <v>26507</v>
      </c>
      <c r="U380" s="2">
        <v>0</v>
      </c>
      <c r="W380" s="2">
        <v>189249</v>
      </c>
      <c r="X380" s="2">
        <v>155039</v>
      </c>
      <c r="Y380" s="2">
        <v>125866</v>
      </c>
      <c r="Z380" s="2">
        <v>0</v>
      </c>
      <c r="AA380" s="2">
        <v>0</v>
      </c>
      <c r="AC380" s="2">
        <v>15789</v>
      </c>
      <c r="AD380" s="2">
        <v>15789</v>
      </c>
      <c r="AE380" s="2">
        <v>3715</v>
      </c>
      <c r="AF380" s="2">
        <v>0</v>
      </c>
      <c r="AG380" s="2">
        <v>0</v>
      </c>
      <c r="AI380" s="2">
        <v>-18160</v>
      </c>
      <c r="AJ380" s="2">
        <v>-1674</v>
      </c>
      <c r="AK380" s="2">
        <v>-1674</v>
      </c>
      <c r="AL380" s="2">
        <v>-1676</v>
      </c>
      <c r="AM380" s="2">
        <v>0</v>
      </c>
    </row>
    <row r="381" spans="1:39">
      <c r="A381" s="335">
        <v>93623</v>
      </c>
      <c r="B381" s="328" t="s">
        <v>1070</v>
      </c>
      <c r="C381" s="239">
        <v>1.1E-5</v>
      </c>
      <c r="E381" s="2">
        <v>6911</v>
      </c>
      <c r="F381" s="2">
        <v>2643</v>
      </c>
      <c r="G381" s="2">
        <v>3275</v>
      </c>
      <c r="H381" s="2">
        <v>839</v>
      </c>
      <c r="I381" s="2">
        <v>0</v>
      </c>
      <c r="K381" s="2">
        <v>1648</v>
      </c>
      <c r="L381" s="2">
        <v>1550</v>
      </c>
      <c r="M381" s="2">
        <v>1389</v>
      </c>
      <c r="N381" s="2">
        <v>556</v>
      </c>
      <c r="O381" s="2">
        <v>0</v>
      </c>
      <c r="Q381" s="2">
        <v>1749</v>
      </c>
      <c r="R381" s="2">
        <v>-1505</v>
      </c>
      <c r="S381" s="2">
        <v>212</v>
      </c>
      <c r="T381" s="2">
        <v>276</v>
      </c>
      <c r="U381" s="2">
        <v>0</v>
      </c>
      <c r="W381" s="2">
        <v>1971</v>
      </c>
      <c r="X381" s="2">
        <v>1615</v>
      </c>
      <c r="Y381" s="2">
        <v>1311</v>
      </c>
      <c r="Z381" s="2">
        <v>0</v>
      </c>
      <c r="AA381" s="2">
        <v>0</v>
      </c>
      <c r="AC381" s="2">
        <v>1543</v>
      </c>
      <c r="AD381" s="2">
        <v>983</v>
      </c>
      <c r="AE381" s="2">
        <v>363</v>
      </c>
      <c r="AF381" s="2">
        <v>7</v>
      </c>
      <c r="AG381" s="2">
        <v>0</v>
      </c>
      <c r="AI381" s="2">
        <v>0</v>
      </c>
      <c r="AJ381" s="2">
        <v>0</v>
      </c>
      <c r="AK381" s="2">
        <v>0</v>
      </c>
      <c r="AL381" s="2">
        <v>0</v>
      </c>
      <c r="AM381" s="2">
        <v>0</v>
      </c>
    </row>
    <row r="382" spans="1:39">
      <c r="A382" s="335">
        <v>93631</v>
      </c>
      <c r="B382" s="328" t="s">
        <v>1071</v>
      </c>
      <c r="C382" s="239">
        <v>2.4130000000000001E-4</v>
      </c>
      <c r="E382" s="2">
        <v>114284</v>
      </c>
      <c r="F382" s="2">
        <v>34840</v>
      </c>
      <c r="G382" s="2">
        <v>64434</v>
      </c>
      <c r="H382" s="2">
        <v>19859</v>
      </c>
      <c r="I382" s="2">
        <v>0</v>
      </c>
      <c r="K382" s="2">
        <v>36148</v>
      </c>
      <c r="L382" s="2">
        <v>34004</v>
      </c>
      <c r="M382" s="2">
        <v>30477</v>
      </c>
      <c r="N382" s="2">
        <v>12203</v>
      </c>
      <c r="O382" s="2">
        <v>0</v>
      </c>
      <c r="Q382" s="2">
        <v>38377</v>
      </c>
      <c r="R382" s="2">
        <v>-33011</v>
      </c>
      <c r="S382" s="2">
        <v>4653</v>
      </c>
      <c r="T382" s="2">
        <v>6055</v>
      </c>
      <c r="U382" s="2">
        <v>0</v>
      </c>
      <c r="W382" s="2">
        <v>43232</v>
      </c>
      <c r="X382" s="2">
        <v>35417</v>
      </c>
      <c r="Y382" s="2">
        <v>28753</v>
      </c>
      <c r="Z382" s="2">
        <v>0</v>
      </c>
      <c r="AA382" s="2">
        <v>0</v>
      </c>
      <c r="AC382" s="2">
        <v>1601</v>
      </c>
      <c r="AD382" s="2">
        <v>1601</v>
      </c>
      <c r="AE382" s="2">
        <v>1601</v>
      </c>
      <c r="AF382" s="2">
        <v>1601</v>
      </c>
      <c r="AG382" s="2">
        <v>0</v>
      </c>
      <c r="AI382" s="2">
        <v>-5074</v>
      </c>
      <c r="AJ382" s="2">
        <v>-3171</v>
      </c>
      <c r="AK382" s="2">
        <v>-1050</v>
      </c>
      <c r="AL382" s="2">
        <v>0</v>
      </c>
      <c r="AM382" s="2">
        <v>0</v>
      </c>
    </row>
    <row r="383" spans="1:39">
      <c r="A383" s="335">
        <v>93641</v>
      </c>
      <c r="B383" s="328" t="s">
        <v>1072</v>
      </c>
      <c r="C383" s="239">
        <v>3.7300000000000001E-4</v>
      </c>
      <c r="E383" s="2">
        <v>186117</v>
      </c>
      <c r="F383" s="2">
        <v>59159</v>
      </c>
      <c r="G383" s="2">
        <v>104389</v>
      </c>
      <c r="H383" s="2">
        <v>34409</v>
      </c>
      <c r="I383" s="2">
        <v>0</v>
      </c>
      <c r="K383" s="2">
        <v>55878</v>
      </c>
      <c r="L383" s="2">
        <v>52563</v>
      </c>
      <c r="M383" s="2">
        <v>47112</v>
      </c>
      <c r="N383" s="2">
        <v>18863</v>
      </c>
      <c r="O383" s="2">
        <v>0</v>
      </c>
      <c r="Q383" s="2">
        <v>59322</v>
      </c>
      <c r="R383" s="2">
        <v>-51028</v>
      </c>
      <c r="S383" s="2">
        <v>7192</v>
      </c>
      <c r="T383" s="2">
        <v>9360</v>
      </c>
      <c r="U383" s="2">
        <v>0</v>
      </c>
      <c r="W383" s="2">
        <v>66827</v>
      </c>
      <c r="X383" s="2">
        <v>54747</v>
      </c>
      <c r="Y383" s="2">
        <v>44446</v>
      </c>
      <c r="Z383" s="2">
        <v>0</v>
      </c>
      <c r="AA383" s="2">
        <v>0</v>
      </c>
      <c r="AC383" s="2">
        <v>7399</v>
      </c>
      <c r="AD383" s="2">
        <v>6184</v>
      </c>
      <c r="AE383" s="2">
        <v>6184</v>
      </c>
      <c r="AF383" s="2">
        <v>6186</v>
      </c>
      <c r="AG383" s="2">
        <v>0</v>
      </c>
      <c r="AI383" s="2">
        <v>-3309</v>
      </c>
      <c r="AJ383" s="2">
        <v>-3307</v>
      </c>
      <c r="AK383" s="2">
        <v>-545</v>
      </c>
      <c r="AL383" s="2">
        <v>0</v>
      </c>
      <c r="AM383" s="2">
        <v>0</v>
      </c>
    </row>
    <row r="384" spans="1:39">
      <c r="A384" s="335">
        <v>93647</v>
      </c>
      <c r="B384" s="328" t="s">
        <v>1073</v>
      </c>
      <c r="C384" s="239">
        <v>5.2000000000000002E-6</v>
      </c>
      <c r="E384" s="2">
        <v>7413</v>
      </c>
      <c r="F384" s="2">
        <v>4712</v>
      </c>
      <c r="G384" s="2">
        <v>4062</v>
      </c>
      <c r="H384" s="2">
        <v>1692</v>
      </c>
      <c r="I384" s="2">
        <v>0</v>
      </c>
      <c r="K384" s="2">
        <v>779</v>
      </c>
      <c r="L384" s="2">
        <v>733</v>
      </c>
      <c r="M384" s="2">
        <v>657</v>
      </c>
      <c r="N384" s="2">
        <v>263</v>
      </c>
      <c r="O384" s="2">
        <v>0</v>
      </c>
      <c r="Q384" s="2">
        <v>827</v>
      </c>
      <c r="R384" s="2">
        <v>-711</v>
      </c>
      <c r="S384" s="2">
        <v>100</v>
      </c>
      <c r="T384" s="2">
        <v>130</v>
      </c>
      <c r="U384" s="2">
        <v>0</v>
      </c>
      <c r="W384" s="2">
        <v>932</v>
      </c>
      <c r="X384" s="2">
        <v>763</v>
      </c>
      <c r="Y384" s="2">
        <v>620</v>
      </c>
      <c r="Z384" s="2">
        <v>0</v>
      </c>
      <c r="AA384" s="2">
        <v>0</v>
      </c>
      <c r="AC384" s="2">
        <v>4875</v>
      </c>
      <c r="AD384" s="2">
        <v>3927</v>
      </c>
      <c r="AE384" s="2">
        <v>2685</v>
      </c>
      <c r="AF384" s="2">
        <v>1299</v>
      </c>
      <c r="AG384" s="2">
        <v>0</v>
      </c>
      <c r="AI384" s="2">
        <v>0</v>
      </c>
      <c r="AJ384" s="2">
        <v>0</v>
      </c>
      <c r="AK384" s="2">
        <v>0</v>
      </c>
      <c r="AL384" s="2">
        <v>0</v>
      </c>
      <c r="AM384" s="2">
        <v>0</v>
      </c>
    </row>
    <row r="385" spans="1:39">
      <c r="A385" s="335">
        <v>93651</v>
      </c>
      <c r="B385" s="328" t="s">
        <v>1074</v>
      </c>
      <c r="C385" s="239">
        <v>4.3790000000000002E-4</v>
      </c>
      <c r="E385" s="2">
        <v>203330</v>
      </c>
      <c r="F385" s="2">
        <v>58039</v>
      </c>
      <c r="G385" s="2">
        <v>109276</v>
      </c>
      <c r="H385" s="2">
        <v>27524</v>
      </c>
      <c r="I385" s="2">
        <v>0</v>
      </c>
      <c r="K385" s="2">
        <v>65600</v>
      </c>
      <c r="L385" s="2">
        <v>61709</v>
      </c>
      <c r="M385" s="2">
        <v>55309</v>
      </c>
      <c r="N385" s="2">
        <v>22145</v>
      </c>
      <c r="O385" s="2">
        <v>0</v>
      </c>
      <c r="Q385" s="2">
        <v>69644</v>
      </c>
      <c r="R385" s="2">
        <v>-59907</v>
      </c>
      <c r="S385" s="2">
        <v>8443</v>
      </c>
      <c r="T385" s="2">
        <v>10989</v>
      </c>
      <c r="U385" s="2">
        <v>0</v>
      </c>
      <c r="W385" s="2">
        <v>78455</v>
      </c>
      <c r="X385" s="2">
        <v>64273</v>
      </c>
      <c r="Y385" s="2">
        <v>52179</v>
      </c>
      <c r="Z385" s="2">
        <v>0</v>
      </c>
      <c r="AA385" s="2">
        <v>0</v>
      </c>
      <c r="AC385" s="2">
        <v>0</v>
      </c>
      <c r="AD385" s="2">
        <v>0</v>
      </c>
      <c r="AE385" s="2">
        <v>0</v>
      </c>
      <c r="AF385" s="2">
        <v>0</v>
      </c>
      <c r="AG385" s="2">
        <v>0</v>
      </c>
      <c r="AI385" s="2">
        <v>-10369</v>
      </c>
      <c r="AJ385" s="2">
        <v>-8036</v>
      </c>
      <c r="AK385" s="2">
        <v>-6655</v>
      </c>
      <c r="AL385" s="2">
        <v>-5610</v>
      </c>
      <c r="AM385" s="2">
        <v>0</v>
      </c>
    </row>
    <row r="386" spans="1:39">
      <c r="A386" s="335">
        <v>93661</v>
      </c>
      <c r="B386" s="328" t="s">
        <v>1075</v>
      </c>
      <c r="C386" s="239">
        <v>1.2850000000000001E-4</v>
      </c>
      <c r="E386" s="2">
        <v>64044</v>
      </c>
      <c r="F386" s="2">
        <v>19017</v>
      </c>
      <c r="G386" s="2">
        <v>32758</v>
      </c>
      <c r="H386" s="2">
        <v>7355</v>
      </c>
      <c r="I386" s="2">
        <v>0</v>
      </c>
      <c r="K386" s="2">
        <v>19250</v>
      </c>
      <c r="L386" s="2">
        <v>18108</v>
      </c>
      <c r="M386" s="2">
        <v>16230</v>
      </c>
      <c r="N386" s="2">
        <v>6498</v>
      </c>
      <c r="O386" s="2">
        <v>0</v>
      </c>
      <c r="Q386" s="2">
        <v>20437</v>
      </c>
      <c r="R386" s="2">
        <v>-17579</v>
      </c>
      <c r="S386" s="2">
        <v>2478</v>
      </c>
      <c r="T386" s="2">
        <v>3225</v>
      </c>
      <c r="U386" s="2">
        <v>0</v>
      </c>
      <c r="W386" s="2">
        <v>23022</v>
      </c>
      <c r="X386" s="2">
        <v>18861</v>
      </c>
      <c r="Y386" s="2">
        <v>15312</v>
      </c>
      <c r="Z386" s="2">
        <v>0</v>
      </c>
      <c r="AA386" s="2">
        <v>0</v>
      </c>
      <c r="AC386" s="2">
        <v>3703</v>
      </c>
      <c r="AD386" s="2">
        <v>1995</v>
      </c>
      <c r="AE386" s="2">
        <v>1106</v>
      </c>
      <c r="AF386" s="2">
        <v>0</v>
      </c>
      <c r="AG386" s="2">
        <v>0</v>
      </c>
      <c r="AI386" s="2">
        <v>-2368</v>
      </c>
      <c r="AJ386" s="2">
        <v>-2368</v>
      </c>
      <c r="AK386" s="2">
        <v>-2368</v>
      </c>
      <c r="AL386" s="2">
        <v>-2368</v>
      </c>
      <c r="AM386" s="2">
        <v>0</v>
      </c>
    </row>
    <row r="387" spans="1:39">
      <c r="A387" s="335">
        <v>93671</v>
      </c>
      <c r="B387" s="328" t="s">
        <v>1076</v>
      </c>
      <c r="C387" s="239">
        <v>3.4840000000000001E-4</v>
      </c>
      <c r="E387" s="2">
        <v>175706</v>
      </c>
      <c r="F387" s="2">
        <v>58665</v>
      </c>
      <c r="G387" s="2">
        <v>98713</v>
      </c>
      <c r="H387" s="2">
        <v>31324</v>
      </c>
      <c r="I387" s="2">
        <v>0</v>
      </c>
      <c r="K387" s="2">
        <v>52193</v>
      </c>
      <c r="L387" s="2">
        <v>49097</v>
      </c>
      <c r="M387" s="2">
        <v>44005</v>
      </c>
      <c r="N387" s="2">
        <v>17619</v>
      </c>
      <c r="O387" s="2">
        <v>0</v>
      </c>
      <c r="Q387" s="2">
        <v>55410</v>
      </c>
      <c r="R387" s="2">
        <v>-47663</v>
      </c>
      <c r="S387" s="2">
        <v>6718</v>
      </c>
      <c r="T387" s="2">
        <v>8743</v>
      </c>
      <c r="U387" s="2">
        <v>0</v>
      </c>
      <c r="W387" s="2">
        <v>62420</v>
      </c>
      <c r="X387" s="2">
        <v>51137</v>
      </c>
      <c r="Y387" s="2">
        <v>41514</v>
      </c>
      <c r="Z387" s="2">
        <v>0</v>
      </c>
      <c r="AA387" s="2">
        <v>0</v>
      </c>
      <c r="AC387" s="2">
        <v>6477</v>
      </c>
      <c r="AD387" s="2">
        <v>6477</v>
      </c>
      <c r="AE387" s="2">
        <v>6476</v>
      </c>
      <c r="AF387" s="2">
        <v>4962</v>
      </c>
      <c r="AG387" s="2">
        <v>0</v>
      </c>
      <c r="AI387" s="2">
        <v>-794</v>
      </c>
      <c r="AJ387" s="2">
        <v>-383</v>
      </c>
      <c r="AK387" s="2">
        <v>0</v>
      </c>
      <c r="AL387" s="2">
        <v>0</v>
      </c>
      <c r="AM387" s="2">
        <v>0</v>
      </c>
    </row>
    <row r="388" spans="1:39">
      <c r="A388" s="335">
        <v>93681</v>
      </c>
      <c r="B388" s="328" t="s">
        <v>1077</v>
      </c>
      <c r="C388" s="239">
        <v>1.284E-4</v>
      </c>
      <c r="E388" s="2">
        <v>62124</v>
      </c>
      <c r="F388" s="2">
        <v>21127</v>
      </c>
      <c r="G388" s="2">
        <v>36106</v>
      </c>
      <c r="H388" s="2">
        <v>10208</v>
      </c>
      <c r="I388" s="2">
        <v>0</v>
      </c>
      <c r="K388" s="2">
        <v>19235</v>
      </c>
      <c r="L388" s="2">
        <v>18094</v>
      </c>
      <c r="M388" s="2">
        <v>16218</v>
      </c>
      <c r="N388" s="2">
        <v>6493</v>
      </c>
      <c r="O388" s="2">
        <v>0</v>
      </c>
      <c r="Q388" s="2">
        <v>20421</v>
      </c>
      <c r="R388" s="2">
        <v>-17566</v>
      </c>
      <c r="S388" s="2">
        <v>2476</v>
      </c>
      <c r="T388" s="2">
        <v>3222</v>
      </c>
      <c r="U388" s="2">
        <v>0</v>
      </c>
      <c r="W388" s="2">
        <v>23004</v>
      </c>
      <c r="X388" s="2">
        <v>18846</v>
      </c>
      <c r="Y388" s="2">
        <v>15300</v>
      </c>
      <c r="Z388" s="2">
        <v>0</v>
      </c>
      <c r="AA388" s="2">
        <v>0</v>
      </c>
      <c r="AC388" s="2">
        <v>2111</v>
      </c>
      <c r="AD388" s="2">
        <v>2111</v>
      </c>
      <c r="AE388" s="2">
        <v>2112</v>
      </c>
      <c r="AF388" s="2">
        <v>493</v>
      </c>
      <c r="AG388" s="2">
        <v>0</v>
      </c>
      <c r="AI388" s="2">
        <v>-2647</v>
      </c>
      <c r="AJ388" s="2">
        <v>-358</v>
      </c>
      <c r="AK388" s="2">
        <v>0</v>
      </c>
      <c r="AL388" s="2">
        <v>0</v>
      </c>
      <c r="AM388" s="2">
        <v>0</v>
      </c>
    </row>
    <row r="389" spans="1:39">
      <c r="A389" s="335">
        <v>93691</v>
      </c>
      <c r="B389" s="328" t="s">
        <v>1078</v>
      </c>
      <c r="C389" s="239">
        <v>1.0889999999999999E-3</v>
      </c>
      <c r="E389" s="2">
        <v>502501</v>
      </c>
      <c r="F389" s="2">
        <v>145987</v>
      </c>
      <c r="G389" s="2">
        <v>283415</v>
      </c>
      <c r="H389" s="2">
        <v>88050</v>
      </c>
      <c r="I389" s="2">
        <v>0</v>
      </c>
      <c r="K389" s="2">
        <v>163140</v>
      </c>
      <c r="L389" s="2">
        <v>153462</v>
      </c>
      <c r="M389" s="2">
        <v>137546</v>
      </c>
      <c r="N389" s="2">
        <v>55072</v>
      </c>
      <c r="O389" s="2">
        <v>0</v>
      </c>
      <c r="Q389" s="2">
        <v>173196</v>
      </c>
      <c r="R389" s="2">
        <v>-148981</v>
      </c>
      <c r="S389" s="2">
        <v>20997</v>
      </c>
      <c r="T389" s="2">
        <v>27327</v>
      </c>
      <c r="U389" s="2">
        <v>0</v>
      </c>
      <c r="W389" s="2">
        <v>195107</v>
      </c>
      <c r="X389" s="2">
        <v>159839</v>
      </c>
      <c r="Y389" s="2">
        <v>129762</v>
      </c>
      <c r="Z389" s="2">
        <v>0</v>
      </c>
      <c r="AA389" s="2">
        <v>0</v>
      </c>
      <c r="AC389" s="2">
        <v>5653</v>
      </c>
      <c r="AD389" s="2">
        <v>5653</v>
      </c>
      <c r="AE389" s="2">
        <v>5653</v>
      </c>
      <c r="AF389" s="2">
        <v>5651</v>
      </c>
      <c r="AG389" s="2">
        <v>0</v>
      </c>
      <c r="AI389" s="2">
        <v>-34595</v>
      </c>
      <c r="AJ389" s="2">
        <v>-23986</v>
      </c>
      <c r="AK389" s="2">
        <v>-10543</v>
      </c>
      <c r="AL389" s="2">
        <v>0</v>
      </c>
      <c r="AM389" s="2">
        <v>0</v>
      </c>
    </row>
    <row r="390" spans="1:39">
      <c r="A390" s="335">
        <v>93701</v>
      </c>
      <c r="B390" s="328" t="s">
        <v>1079</v>
      </c>
      <c r="C390" s="239">
        <v>4.3600000000000003E-4</v>
      </c>
      <c r="E390" s="2">
        <v>200918</v>
      </c>
      <c r="F390" s="2">
        <v>56395</v>
      </c>
      <c r="G390" s="2">
        <v>108394</v>
      </c>
      <c r="H390" s="2">
        <v>26187</v>
      </c>
      <c r="I390" s="2">
        <v>0</v>
      </c>
      <c r="K390" s="2">
        <v>65316</v>
      </c>
      <c r="L390" s="2">
        <v>61441</v>
      </c>
      <c r="M390" s="2">
        <v>55069</v>
      </c>
      <c r="N390" s="2">
        <v>22049</v>
      </c>
      <c r="O390" s="2">
        <v>0</v>
      </c>
      <c r="Q390" s="2">
        <v>69342</v>
      </c>
      <c r="R390" s="2">
        <v>-59647</v>
      </c>
      <c r="S390" s="2">
        <v>8407</v>
      </c>
      <c r="T390" s="2">
        <v>10941</v>
      </c>
      <c r="U390" s="2">
        <v>0</v>
      </c>
      <c r="W390" s="2">
        <v>78115</v>
      </c>
      <c r="X390" s="2">
        <v>63994</v>
      </c>
      <c r="Y390" s="2">
        <v>51952</v>
      </c>
      <c r="Z390" s="2">
        <v>0</v>
      </c>
      <c r="AA390" s="2">
        <v>0</v>
      </c>
      <c r="AC390" s="2">
        <v>0</v>
      </c>
      <c r="AD390" s="2">
        <v>0</v>
      </c>
      <c r="AE390" s="2">
        <v>0</v>
      </c>
      <c r="AF390" s="2">
        <v>0</v>
      </c>
      <c r="AG390" s="2">
        <v>0</v>
      </c>
      <c r="AI390" s="2">
        <v>-11855</v>
      </c>
      <c r="AJ390" s="2">
        <v>-9393</v>
      </c>
      <c r="AK390" s="2">
        <v>-7034</v>
      </c>
      <c r="AL390" s="2">
        <v>-6803</v>
      </c>
      <c r="AM390" s="2">
        <v>0</v>
      </c>
    </row>
    <row r="391" spans="1:39">
      <c r="A391" s="335">
        <v>93704</v>
      </c>
      <c r="B391" s="328" t="s">
        <v>1080</v>
      </c>
      <c r="C391" s="239">
        <v>2.2000000000000001E-6</v>
      </c>
      <c r="E391" s="2">
        <v>1390</v>
      </c>
      <c r="F391" s="2">
        <v>567</v>
      </c>
      <c r="G391" s="2">
        <v>752</v>
      </c>
      <c r="H391" s="2">
        <v>246</v>
      </c>
      <c r="I391" s="2">
        <v>0</v>
      </c>
      <c r="K391" s="2">
        <v>330</v>
      </c>
      <c r="L391" s="2">
        <v>310</v>
      </c>
      <c r="M391" s="2">
        <v>278</v>
      </c>
      <c r="N391" s="2">
        <v>111</v>
      </c>
      <c r="O391" s="2">
        <v>0</v>
      </c>
      <c r="Q391" s="2">
        <v>350</v>
      </c>
      <c r="R391" s="2">
        <v>-301</v>
      </c>
      <c r="S391" s="2">
        <v>42</v>
      </c>
      <c r="T391" s="2">
        <v>55</v>
      </c>
      <c r="U391" s="2">
        <v>0</v>
      </c>
      <c r="W391" s="2">
        <v>394</v>
      </c>
      <c r="X391" s="2">
        <v>323</v>
      </c>
      <c r="Y391" s="2">
        <v>262</v>
      </c>
      <c r="Z391" s="2">
        <v>0</v>
      </c>
      <c r="AA391" s="2">
        <v>0</v>
      </c>
      <c r="AC391" s="2">
        <v>316</v>
      </c>
      <c r="AD391" s="2">
        <v>235</v>
      </c>
      <c r="AE391" s="2">
        <v>170</v>
      </c>
      <c r="AF391" s="2">
        <v>80</v>
      </c>
      <c r="AG391" s="2">
        <v>0</v>
      </c>
      <c r="AI391" s="2">
        <v>0</v>
      </c>
      <c r="AJ391" s="2">
        <v>0</v>
      </c>
      <c r="AK391" s="2">
        <v>0</v>
      </c>
      <c r="AL391" s="2">
        <v>0</v>
      </c>
      <c r="AM391" s="2">
        <v>0</v>
      </c>
    </row>
    <row r="392" spans="1:39">
      <c r="A392" s="335">
        <v>93801</v>
      </c>
      <c r="B392" s="328" t="s">
        <v>1081</v>
      </c>
      <c r="C392" s="239">
        <v>4.191E-4</v>
      </c>
      <c r="E392" s="2">
        <v>209782</v>
      </c>
      <c r="F392" s="2">
        <v>39019</v>
      </c>
      <c r="G392" s="2">
        <v>100051</v>
      </c>
      <c r="H392" s="2">
        <v>30037</v>
      </c>
      <c r="I392" s="2">
        <v>0</v>
      </c>
      <c r="K392" s="2">
        <v>62784</v>
      </c>
      <c r="L392" s="2">
        <v>59060</v>
      </c>
      <c r="M392" s="2">
        <v>52934</v>
      </c>
      <c r="N392" s="2">
        <v>21194</v>
      </c>
      <c r="O392" s="2">
        <v>0</v>
      </c>
      <c r="Q392" s="2">
        <v>66654</v>
      </c>
      <c r="R392" s="2">
        <v>-57335</v>
      </c>
      <c r="S392" s="2">
        <v>8081</v>
      </c>
      <c r="T392" s="2">
        <v>10517</v>
      </c>
      <c r="U392" s="2">
        <v>0</v>
      </c>
      <c r="W392" s="2">
        <v>75087</v>
      </c>
      <c r="X392" s="2">
        <v>61514</v>
      </c>
      <c r="Y392" s="2">
        <v>49939</v>
      </c>
      <c r="Z392" s="2">
        <v>0</v>
      </c>
      <c r="AA392" s="2">
        <v>0</v>
      </c>
      <c r="AC392" s="2">
        <v>29475</v>
      </c>
      <c r="AD392" s="2">
        <v>0</v>
      </c>
      <c r="AE392" s="2">
        <v>0</v>
      </c>
      <c r="AF392" s="2">
        <v>0</v>
      </c>
      <c r="AG392" s="2">
        <v>0</v>
      </c>
      <c r="AI392" s="2">
        <v>-24218</v>
      </c>
      <c r="AJ392" s="2">
        <v>-24220</v>
      </c>
      <c r="AK392" s="2">
        <v>-10903</v>
      </c>
      <c r="AL392" s="2">
        <v>-1674</v>
      </c>
      <c r="AM392" s="2">
        <v>0</v>
      </c>
    </row>
    <row r="393" spans="1:39">
      <c r="A393" s="335">
        <v>93803</v>
      </c>
      <c r="B393" s="328" t="s">
        <v>3694</v>
      </c>
      <c r="C393" s="239">
        <v>9.0799999999999998E-5</v>
      </c>
      <c r="E393" s="2">
        <v>28859</v>
      </c>
      <c r="F393" s="2">
        <v>1600</v>
      </c>
      <c r="G393" s="2">
        <v>17060</v>
      </c>
      <c r="H393" s="2">
        <v>2396</v>
      </c>
      <c r="I393" s="2">
        <v>0</v>
      </c>
      <c r="K393" s="2">
        <v>13602</v>
      </c>
      <c r="L393" s="2">
        <v>12796</v>
      </c>
      <c r="M393" s="2">
        <v>11468</v>
      </c>
      <c r="N393" s="2">
        <v>4592</v>
      </c>
      <c r="O393" s="2">
        <v>0</v>
      </c>
      <c r="Q393" s="2">
        <v>14441</v>
      </c>
      <c r="R393" s="2">
        <v>-12422</v>
      </c>
      <c r="S393" s="2">
        <v>1751</v>
      </c>
      <c r="T393" s="2">
        <v>2279</v>
      </c>
      <c r="U393" s="2">
        <v>0</v>
      </c>
      <c r="W393" s="2">
        <v>16268</v>
      </c>
      <c r="X393" s="2">
        <v>13327</v>
      </c>
      <c r="Y393" s="2">
        <v>10819</v>
      </c>
      <c r="Z393" s="2">
        <v>0</v>
      </c>
      <c r="AA393" s="2">
        <v>0</v>
      </c>
      <c r="AC393" s="2">
        <v>0</v>
      </c>
      <c r="AD393" s="2">
        <v>0</v>
      </c>
      <c r="AE393" s="2">
        <v>0</v>
      </c>
      <c r="AF393" s="2">
        <v>0</v>
      </c>
      <c r="AG393" s="2">
        <v>0</v>
      </c>
      <c r="AI393" s="2">
        <v>-15452</v>
      </c>
      <c r="AJ393" s="2">
        <v>-12101</v>
      </c>
      <c r="AK393" s="2">
        <v>-6978</v>
      </c>
      <c r="AL393" s="2">
        <v>-4475</v>
      </c>
      <c r="AM393" s="2">
        <v>0</v>
      </c>
    </row>
    <row r="394" spans="1:39">
      <c r="A394" s="335">
        <v>93806</v>
      </c>
      <c r="B394" s="328" t="s">
        <v>3695</v>
      </c>
      <c r="C394" s="239">
        <v>7.9599999999999997E-5</v>
      </c>
      <c r="E394" s="2">
        <v>40009</v>
      </c>
      <c r="F394" s="2">
        <v>13339</v>
      </c>
      <c r="G394" s="2">
        <v>19371</v>
      </c>
      <c r="H394" s="2">
        <v>6439</v>
      </c>
      <c r="I394" s="2">
        <v>0</v>
      </c>
      <c r="K394" s="2">
        <v>11925</v>
      </c>
      <c r="L394" s="2">
        <v>11217</v>
      </c>
      <c r="M394" s="2">
        <v>10054</v>
      </c>
      <c r="N394" s="2">
        <v>4025</v>
      </c>
      <c r="O394" s="2">
        <v>0</v>
      </c>
      <c r="Q394" s="2">
        <v>12660</v>
      </c>
      <c r="R394" s="2">
        <v>-10890</v>
      </c>
      <c r="S394" s="2">
        <v>1535</v>
      </c>
      <c r="T394" s="2">
        <v>1997</v>
      </c>
      <c r="U394" s="2">
        <v>0</v>
      </c>
      <c r="W394" s="2">
        <v>14261</v>
      </c>
      <c r="X394" s="2">
        <v>11683</v>
      </c>
      <c r="Y394" s="2">
        <v>9485</v>
      </c>
      <c r="Z394" s="2">
        <v>0</v>
      </c>
      <c r="AA394" s="2">
        <v>0</v>
      </c>
      <c r="AC394" s="2">
        <v>3447</v>
      </c>
      <c r="AD394" s="2">
        <v>3449</v>
      </c>
      <c r="AE394" s="2">
        <v>416</v>
      </c>
      <c r="AF394" s="2">
        <v>417</v>
      </c>
      <c r="AG394" s="2">
        <v>0</v>
      </c>
      <c r="AI394" s="2">
        <v>-2284</v>
      </c>
      <c r="AJ394" s="2">
        <v>-2120</v>
      </c>
      <c r="AK394" s="2">
        <v>-2119</v>
      </c>
      <c r="AL394" s="2">
        <v>0</v>
      </c>
      <c r="AM394" s="2">
        <v>0</v>
      </c>
    </row>
    <row r="395" spans="1:39">
      <c r="A395" s="335">
        <v>93821</v>
      </c>
      <c r="B395" s="328" t="s">
        <v>1084</v>
      </c>
      <c r="C395" s="239">
        <v>6.9200000000000002E-5</v>
      </c>
      <c r="E395" s="2">
        <v>50432</v>
      </c>
      <c r="F395" s="2">
        <v>22721</v>
      </c>
      <c r="G395" s="2">
        <v>30683</v>
      </c>
      <c r="H395" s="2">
        <v>7417</v>
      </c>
      <c r="I395" s="2">
        <v>0</v>
      </c>
      <c r="K395" s="2">
        <v>10367</v>
      </c>
      <c r="L395" s="2">
        <v>9752</v>
      </c>
      <c r="M395" s="2">
        <v>8740</v>
      </c>
      <c r="N395" s="2">
        <v>3500</v>
      </c>
      <c r="O395" s="2">
        <v>0</v>
      </c>
      <c r="Q395" s="2">
        <v>11006</v>
      </c>
      <c r="R395" s="2">
        <v>-9467</v>
      </c>
      <c r="S395" s="2">
        <v>1334</v>
      </c>
      <c r="T395" s="2">
        <v>1737</v>
      </c>
      <c r="U395" s="2">
        <v>0</v>
      </c>
      <c r="W395" s="2">
        <v>12398</v>
      </c>
      <c r="X395" s="2">
        <v>10157</v>
      </c>
      <c r="Y395" s="2">
        <v>8246</v>
      </c>
      <c r="Z395" s="2">
        <v>0</v>
      </c>
      <c r="AA395" s="2">
        <v>0</v>
      </c>
      <c r="AC395" s="2">
        <v>16747</v>
      </c>
      <c r="AD395" s="2">
        <v>12365</v>
      </c>
      <c r="AE395" s="2">
        <v>12363</v>
      </c>
      <c r="AF395" s="2">
        <v>2180</v>
      </c>
      <c r="AG395" s="2">
        <v>0</v>
      </c>
      <c r="AI395" s="2">
        <v>-86</v>
      </c>
      <c r="AJ395" s="2">
        <v>-86</v>
      </c>
      <c r="AK395" s="2">
        <v>0</v>
      </c>
      <c r="AL395" s="2">
        <v>0</v>
      </c>
      <c r="AM395" s="2">
        <v>0</v>
      </c>
    </row>
    <row r="396" spans="1:39">
      <c r="A396" s="335">
        <v>93901</v>
      </c>
      <c r="B396" s="328" t="s">
        <v>1085</v>
      </c>
      <c r="C396" s="239">
        <v>1.7884999999999999E-3</v>
      </c>
      <c r="E396" s="2">
        <v>931763</v>
      </c>
      <c r="F396" s="2">
        <v>321180</v>
      </c>
      <c r="G396" s="2">
        <v>513827</v>
      </c>
      <c r="H396" s="2">
        <v>161772</v>
      </c>
      <c r="I396" s="2">
        <v>0</v>
      </c>
      <c r="K396" s="2">
        <v>267930</v>
      </c>
      <c r="L396" s="2">
        <v>252035</v>
      </c>
      <c r="M396" s="2">
        <v>225896</v>
      </c>
      <c r="N396" s="2">
        <v>90446</v>
      </c>
      <c r="O396" s="2">
        <v>0</v>
      </c>
      <c r="Q396" s="2">
        <v>284445</v>
      </c>
      <c r="R396" s="2">
        <v>-244676</v>
      </c>
      <c r="S396" s="2">
        <v>34484</v>
      </c>
      <c r="T396" s="2">
        <v>44881</v>
      </c>
      <c r="U396" s="2">
        <v>0</v>
      </c>
      <c r="W396" s="2">
        <v>320431</v>
      </c>
      <c r="X396" s="2">
        <v>262509</v>
      </c>
      <c r="Y396" s="2">
        <v>213112</v>
      </c>
      <c r="Z396" s="2">
        <v>0</v>
      </c>
      <c r="AA396" s="2">
        <v>0</v>
      </c>
      <c r="AC396" s="2">
        <v>58957</v>
      </c>
      <c r="AD396" s="2">
        <v>51312</v>
      </c>
      <c r="AE396" s="2">
        <v>40335</v>
      </c>
      <c r="AF396" s="2">
        <v>26445</v>
      </c>
      <c r="AG396" s="2">
        <v>0</v>
      </c>
      <c r="AI396" s="2">
        <v>0</v>
      </c>
      <c r="AJ396" s="2">
        <v>0</v>
      </c>
      <c r="AK396" s="2">
        <v>0</v>
      </c>
      <c r="AL396" s="2">
        <v>0</v>
      </c>
      <c r="AM396" s="2">
        <v>0</v>
      </c>
    </row>
    <row r="397" spans="1:39">
      <c r="A397" s="335">
        <v>93904</v>
      </c>
      <c r="B397" s="328" t="s">
        <v>3696</v>
      </c>
      <c r="C397" s="239">
        <v>3.18E-5</v>
      </c>
      <c r="E397" s="2">
        <v>20033</v>
      </c>
      <c r="F397" s="2">
        <v>8932</v>
      </c>
      <c r="G397" s="2">
        <v>10959</v>
      </c>
      <c r="H397" s="2">
        <v>3501</v>
      </c>
      <c r="I397" s="2">
        <v>0</v>
      </c>
      <c r="K397" s="2">
        <v>4764</v>
      </c>
      <c r="L397" s="2">
        <v>4481</v>
      </c>
      <c r="M397" s="2">
        <v>4016</v>
      </c>
      <c r="N397" s="2">
        <v>1608</v>
      </c>
      <c r="O397" s="2">
        <v>0</v>
      </c>
      <c r="Q397" s="2">
        <v>5058</v>
      </c>
      <c r="R397" s="2">
        <v>-4350</v>
      </c>
      <c r="S397" s="2">
        <v>613</v>
      </c>
      <c r="T397" s="2">
        <v>798</v>
      </c>
      <c r="U397" s="2">
        <v>0</v>
      </c>
      <c r="W397" s="2">
        <v>5697</v>
      </c>
      <c r="X397" s="2">
        <v>4667</v>
      </c>
      <c r="Y397" s="2">
        <v>3789</v>
      </c>
      <c r="Z397" s="2">
        <v>0</v>
      </c>
      <c r="AA397" s="2">
        <v>0</v>
      </c>
      <c r="AC397" s="2">
        <v>4514</v>
      </c>
      <c r="AD397" s="2">
        <v>4134</v>
      </c>
      <c r="AE397" s="2">
        <v>2541</v>
      </c>
      <c r="AF397" s="2">
        <v>1095</v>
      </c>
      <c r="AG397" s="2">
        <v>0</v>
      </c>
      <c r="AI397" s="2">
        <v>0</v>
      </c>
      <c r="AJ397" s="2">
        <v>0</v>
      </c>
      <c r="AK397" s="2">
        <v>0</v>
      </c>
      <c r="AL397" s="2">
        <v>0</v>
      </c>
      <c r="AM397" s="2">
        <v>0</v>
      </c>
    </row>
    <row r="398" spans="1:39">
      <c r="A398" s="335">
        <v>93906</v>
      </c>
      <c r="B398" s="328" t="s">
        <v>1087</v>
      </c>
      <c r="C398" s="239">
        <v>3.1308E-3</v>
      </c>
      <c r="E398" s="2">
        <v>1430277</v>
      </c>
      <c r="F398" s="2">
        <v>385658</v>
      </c>
      <c r="G398" s="2">
        <v>766564</v>
      </c>
      <c r="H398" s="2">
        <v>217730</v>
      </c>
      <c r="I398" s="2">
        <v>0</v>
      </c>
      <c r="K398" s="2">
        <v>469016</v>
      </c>
      <c r="L398" s="2">
        <v>441192</v>
      </c>
      <c r="M398" s="2">
        <v>395436</v>
      </c>
      <c r="N398" s="2">
        <v>158328</v>
      </c>
      <c r="O398" s="2">
        <v>0</v>
      </c>
      <c r="Q398" s="2">
        <v>497926</v>
      </c>
      <c r="R398" s="2">
        <v>-428309</v>
      </c>
      <c r="S398" s="2">
        <v>60365</v>
      </c>
      <c r="T398" s="2">
        <v>78564</v>
      </c>
      <c r="U398" s="2">
        <v>0</v>
      </c>
      <c r="W398" s="2">
        <v>560920</v>
      </c>
      <c r="X398" s="2">
        <v>459526</v>
      </c>
      <c r="Y398" s="2">
        <v>373057</v>
      </c>
      <c r="Z398" s="2">
        <v>0</v>
      </c>
      <c r="AA398" s="2">
        <v>0</v>
      </c>
      <c r="AC398" s="2">
        <v>0</v>
      </c>
      <c r="AD398" s="2">
        <v>0</v>
      </c>
      <c r="AE398" s="2">
        <v>0</v>
      </c>
      <c r="AF398" s="2">
        <v>0</v>
      </c>
      <c r="AG398" s="2">
        <v>0</v>
      </c>
      <c r="AI398" s="2">
        <v>-97585</v>
      </c>
      <c r="AJ398" s="2">
        <v>-86751</v>
      </c>
      <c r="AK398" s="2">
        <v>-62294</v>
      </c>
      <c r="AL398" s="2">
        <v>-19162</v>
      </c>
      <c r="AM398" s="2">
        <v>0</v>
      </c>
    </row>
    <row r="399" spans="1:39">
      <c r="A399" s="335">
        <v>93908</v>
      </c>
      <c r="B399" s="328" t="s">
        <v>1088</v>
      </c>
      <c r="C399" s="239">
        <v>4.9540000000000001E-4</v>
      </c>
      <c r="E399" s="2">
        <v>242576</v>
      </c>
      <c r="F399" s="2">
        <v>76290</v>
      </c>
      <c r="G399" s="2">
        <v>130656</v>
      </c>
      <c r="H399" s="2">
        <v>41862</v>
      </c>
      <c r="I399" s="2">
        <v>0</v>
      </c>
      <c r="K399" s="2">
        <v>74214</v>
      </c>
      <c r="L399" s="2">
        <v>69812</v>
      </c>
      <c r="M399" s="2">
        <v>62571</v>
      </c>
      <c r="N399" s="2">
        <v>25053</v>
      </c>
      <c r="O399" s="2">
        <v>0</v>
      </c>
      <c r="Q399" s="2">
        <v>78789</v>
      </c>
      <c r="R399" s="2">
        <v>-67773</v>
      </c>
      <c r="S399" s="2">
        <v>9552</v>
      </c>
      <c r="T399" s="2">
        <v>12432</v>
      </c>
      <c r="U399" s="2">
        <v>0</v>
      </c>
      <c r="W399" s="2">
        <v>88757</v>
      </c>
      <c r="X399" s="2">
        <v>72713</v>
      </c>
      <c r="Y399" s="2">
        <v>59030</v>
      </c>
      <c r="Z399" s="2">
        <v>0</v>
      </c>
      <c r="AA399" s="2">
        <v>0</v>
      </c>
      <c r="AC399" s="2">
        <v>6412</v>
      </c>
      <c r="AD399" s="2">
        <v>6411</v>
      </c>
      <c r="AE399" s="2">
        <v>4375</v>
      </c>
      <c r="AF399" s="2">
        <v>4377</v>
      </c>
      <c r="AG399" s="2">
        <v>0</v>
      </c>
      <c r="AI399" s="2">
        <v>-5596</v>
      </c>
      <c r="AJ399" s="2">
        <v>-4873</v>
      </c>
      <c r="AK399" s="2">
        <v>-4872</v>
      </c>
      <c r="AL399" s="2">
        <v>0</v>
      </c>
      <c r="AM399" s="2">
        <v>0</v>
      </c>
    </row>
    <row r="400" spans="1:39">
      <c r="A400" s="335">
        <v>93910</v>
      </c>
      <c r="B400" s="328" t="s">
        <v>1089</v>
      </c>
      <c r="C400" s="239">
        <v>2.285E-4</v>
      </c>
      <c r="E400" s="2">
        <v>96489</v>
      </c>
      <c r="F400" s="2">
        <v>21708</v>
      </c>
      <c r="G400" s="2">
        <v>51921</v>
      </c>
      <c r="H400" s="2">
        <v>12686</v>
      </c>
      <c r="I400" s="2">
        <v>0</v>
      </c>
      <c r="K400" s="2">
        <v>34231</v>
      </c>
      <c r="L400" s="2">
        <v>32200</v>
      </c>
      <c r="M400" s="2">
        <v>28861</v>
      </c>
      <c r="N400" s="2">
        <v>11555</v>
      </c>
      <c r="O400" s="2">
        <v>0</v>
      </c>
      <c r="Q400" s="2">
        <v>36341</v>
      </c>
      <c r="R400" s="2">
        <v>-31260</v>
      </c>
      <c r="S400" s="2">
        <v>4406</v>
      </c>
      <c r="T400" s="2">
        <v>5734</v>
      </c>
      <c r="U400" s="2">
        <v>0</v>
      </c>
      <c r="W400" s="2">
        <v>40939</v>
      </c>
      <c r="X400" s="2">
        <v>33538</v>
      </c>
      <c r="Y400" s="2">
        <v>27227</v>
      </c>
      <c r="Z400" s="2">
        <v>0</v>
      </c>
      <c r="AA400" s="2">
        <v>0</v>
      </c>
      <c r="AC400" s="2">
        <v>0</v>
      </c>
      <c r="AD400" s="2">
        <v>0</v>
      </c>
      <c r="AE400" s="2">
        <v>0</v>
      </c>
      <c r="AF400" s="2">
        <v>0</v>
      </c>
      <c r="AG400" s="2">
        <v>0</v>
      </c>
      <c r="AI400" s="2">
        <v>-15022</v>
      </c>
      <c r="AJ400" s="2">
        <v>-12770</v>
      </c>
      <c r="AK400" s="2">
        <v>-8573</v>
      </c>
      <c r="AL400" s="2">
        <v>-4603</v>
      </c>
      <c r="AM400" s="2">
        <v>0</v>
      </c>
    </row>
    <row r="401" spans="1:39">
      <c r="A401" s="335">
        <v>93911</v>
      </c>
      <c r="B401" s="328" t="s">
        <v>1090</v>
      </c>
      <c r="C401" s="239">
        <v>6.4320000000000002E-4</v>
      </c>
      <c r="E401" s="2">
        <v>302275</v>
      </c>
      <c r="F401" s="2">
        <v>91359</v>
      </c>
      <c r="G401" s="2">
        <v>173259</v>
      </c>
      <c r="H401" s="2">
        <v>48076</v>
      </c>
      <c r="I401" s="2">
        <v>0</v>
      </c>
      <c r="K401" s="2">
        <v>96356</v>
      </c>
      <c r="L401" s="2">
        <v>90640</v>
      </c>
      <c r="M401" s="2">
        <v>81239</v>
      </c>
      <c r="N401" s="2">
        <v>32527</v>
      </c>
      <c r="O401" s="2">
        <v>0</v>
      </c>
      <c r="Q401" s="2">
        <v>102295</v>
      </c>
      <c r="R401" s="2">
        <v>-87993</v>
      </c>
      <c r="S401" s="2">
        <v>12402</v>
      </c>
      <c r="T401" s="2">
        <v>16140</v>
      </c>
      <c r="U401" s="2">
        <v>0</v>
      </c>
      <c r="W401" s="2">
        <v>115237</v>
      </c>
      <c r="X401" s="2">
        <v>94406</v>
      </c>
      <c r="Y401" s="2">
        <v>76642</v>
      </c>
      <c r="Z401" s="2">
        <v>0</v>
      </c>
      <c r="AA401" s="2">
        <v>0</v>
      </c>
      <c r="AC401" s="2">
        <v>3567</v>
      </c>
      <c r="AD401" s="2">
        <v>3567</v>
      </c>
      <c r="AE401" s="2">
        <v>3569</v>
      </c>
      <c r="AF401" s="2">
        <v>0</v>
      </c>
      <c r="AG401" s="2">
        <v>0</v>
      </c>
      <c r="AI401" s="2">
        <v>-15180</v>
      </c>
      <c r="AJ401" s="2">
        <v>-9261</v>
      </c>
      <c r="AK401" s="2">
        <v>-593</v>
      </c>
      <c r="AL401" s="2">
        <v>-591</v>
      </c>
      <c r="AM401" s="2">
        <v>0</v>
      </c>
    </row>
    <row r="402" spans="1:39">
      <c r="A402" s="335">
        <v>93913</v>
      </c>
      <c r="B402" s="328" t="s">
        <v>1091</v>
      </c>
      <c r="C402" s="239">
        <v>4.9799999999999998E-5</v>
      </c>
      <c r="E402" s="2">
        <v>25317</v>
      </c>
      <c r="F402" s="2">
        <v>7658</v>
      </c>
      <c r="G402" s="2">
        <v>13379</v>
      </c>
      <c r="H402" s="2">
        <v>3233</v>
      </c>
      <c r="I402" s="2">
        <v>0</v>
      </c>
      <c r="K402" s="2">
        <v>7460</v>
      </c>
      <c r="L402" s="2">
        <v>7018</v>
      </c>
      <c r="M402" s="2">
        <v>6290</v>
      </c>
      <c r="N402" s="2">
        <v>2518</v>
      </c>
      <c r="O402" s="2">
        <v>0</v>
      </c>
      <c r="Q402" s="2">
        <v>7920</v>
      </c>
      <c r="R402" s="2">
        <v>-6813</v>
      </c>
      <c r="S402" s="2">
        <v>960</v>
      </c>
      <c r="T402" s="2">
        <v>1250</v>
      </c>
      <c r="U402" s="2">
        <v>0</v>
      </c>
      <c r="W402" s="2">
        <v>8922</v>
      </c>
      <c r="X402" s="2">
        <v>7309</v>
      </c>
      <c r="Y402" s="2">
        <v>5934</v>
      </c>
      <c r="Z402" s="2">
        <v>0</v>
      </c>
      <c r="AA402" s="2">
        <v>0</v>
      </c>
      <c r="AC402" s="2">
        <v>1603</v>
      </c>
      <c r="AD402" s="2">
        <v>731</v>
      </c>
      <c r="AE402" s="2">
        <v>729</v>
      </c>
      <c r="AF402" s="2">
        <v>0</v>
      </c>
      <c r="AG402" s="2">
        <v>0</v>
      </c>
      <c r="AI402" s="2">
        <v>-588</v>
      </c>
      <c r="AJ402" s="2">
        <v>-587</v>
      </c>
      <c r="AK402" s="2">
        <v>-534</v>
      </c>
      <c r="AL402" s="2">
        <v>-535</v>
      </c>
      <c r="AM402" s="2">
        <v>0</v>
      </c>
    </row>
    <row r="403" spans="1:39">
      <c r="A403" s="335">
        <v>93914</v>
      </c>
      <c r="B403" s="328" t="s">
        <v>1092</v>
      </c>
      <c r="C403" s="239">
        <v>6.1E-6</v>
      </c>
      <c r="E403" s="2">
        <v>4593</v>
      </c>
      <c r="F403" s="2">
        <v>2273</v>
      </c>
      <c r="G403" s="2">
        <v>2573</v>
      </c>
      <c r="H403" s="2">
        <v>931</v>
      </c>
      <c r="I403" s="2">
        <v>0</v>
      </c>
      <c r="K403" s="2">
        <v>914</v>
      </c>
      <c r="L403" s="2">
        <v>860</v>
      </c>
      <c r="M403" s="2">
        <v>770</v>
      </c>
      <c r="N403" s="2">
        <v>308</v>
      </c>
      <c r="O403" s="2">
        <v>0</v>
      </c>
      <c r="Q403" s="2">
        <v>970</v>
      </c>
      <c r="R403" s="2">
        <v>-835</v>
      </c>
      <c r="S403" s="2">
        <v>118</v>
      </c>
      <c r="T403" s="2">
        <v>153</v>
      </c>
      <c r="U403" s="2">
        <v>0</v>
      </c>
      <c r="W403" s="2">
        <v>1093</v>
      </c>
      <c r="X403" s="2">
        <v>895</v>
      </c>
      <c r="Y403" s="2">
        <v>727</v>
      </c>
      <c r="Z403" s="2">
        <v>0</v>
      </c>
      <c r="AA403" s="2">
        <v>0</v>
      </c>
      <c r="AC403" s="2">
        <v>1616</v>
      </c>
      <c r="AD403" s="2">
        <v>1353</v>
      </c>
      <c r="AE403" s="2">
        <v>958</v>
      </c>
      <c r="AF403" s="2">
        <v>470</v>
      </c>
      <c r="AG403" s="2">
        <v>0</v>
      </c>
      <c r="AI403" s="2">
        <v>0</v>
      </c>
      <c r="AJ403" s="2">
        <v>0</v>
      </c>
      <c r="AK403" s="2">
        <v>0</v>
      </c>
      <c r="AL403" s="2">
        <v>0</v>
      </c>
      <c r="AM403" s="2">
        <v>0</v>
      </c>
    </row>
    <row r="404" spans="1:39">
      <c r="A404" s="335">
        <v>93921</v>
      </c>
      <c r="B404" s="328" t="s">
        <v>1093</v>
      </c>
      <c r="C404" s="239">
        <v>2.251E-4</v>
      </c>
      <c r="E404" s="2">
        <v>99498</v>
      </c>
      <c r="F404" s="2">
        <v>25125</v>
      </c>
      <c r="G404" s="2">
        <v>48870</v>
      </c>
      <c r="H404" s="2">
        <v>7818</v>
      </c>
      <c r="I404" s="2">
        <v>0</v>
      </c>
      <c r="K404" s="2">
        <v>33722</v>
      </c>
      <c r="L404" s="2">
        <v>31721</v>
      </c>
      <c r="M404" s="2">
        <v>28431</v>
      </c>
      <c r="N404" s="2">
        <v>11384</v>
      </c>
      <c r="O404" s="2">
        <v>0</v>
      </c>
      <c r="Q404" s="2">
        <v>35800</v>
      </c>
      <c r="R404" s="2">
        <v>-30795</v>
      </c>
      <c r="S404" s="2">
        <v>4340</v>
      </c>
      <c r="T404" s="2">
        <v>5649</v>
      </c>
      <c r="U404" s="2">
        <v>0</v>
      </c>
      <c r="W404" s="2">
        <v>40329</v>
      </c>
      <c r="X404" s="2">
        <v>33039</v>
      </c>
      <c r="Y404" s="2">
        <v>26822</v>
      </c>
      <c r="Z404" s="2">
        <v>0</v>
      </c>
      <c r="AA404" s="2">
        <v>0</v>
      </c>
      <c r="AC404" s="2">
        <v>1883</v>
      </c>
      <c r="AD404" s="2">
        <v>1882</v>
      </c>
      <c r="AE404" s="2">
        <v>0</v>
      </c>
      <c r="AF404" s="2">
        <v>0</v>
      </c>
      <c r="AG404" s="2">
        <v>0</v>
      </c>
      <c r="AI404" s="2">
        <v>-12236</v>
      </c>
      <c r="AJ404" s="2">
        <v>-10722</v>
      </c>
      <c r="AK404" s="2">
        <v>-10723</v>
      </c>
      <c r="AL404" s="2">
        <v>-9215</v>
      </c>
      <c r="AM404" s="2">
        <v>0</v>
      </c>
    </row>
    <row r="405" spans="1:39">
      <c r="A405" s="335">
        <v>93931</v>
      </c>
      <c r="B405" s="328" t="s">
        <v>1094</v>
      </c>
      <c r="C405" s="239">
        <v>5.1590000000000002E-4</v>
      </c>
      <c r="E405" s="2">
        <v>233550</v>
      </c>
      <c r="F405" s="2">
        <v>62764</v>
      </c>
      <c r="G405" s="2">
        <v>128648</v>
      </c>
      <c r="H405" s="2">
        <v>28788</v>
      </c>
      <c r="I405" s="2">
        <v>0</v>
      </c>
      <c r="K405" s="2">
        <v>77285</v>
      </c>
      <c r="L405" s="2">
        <v>72701</v>
      </c>
      <c r="M405" s="2">
        <v>65161</v>
      </c>
      <c r="N405" s="2">
        <v>26090</v>
      </c>
      <c r="O405" s="2">
        <v>0</v>
      </c>
      <c r="Q405" s="2">
        <v>82049</v>
      </c>
      <c r="R405" s="2">
        <v>-70578</v>
      </c>
      <c r="S405" s="2">
        <v>9947</v>
      </c>
      <c r="T405" s="2">
        <v>12946</v>
      </c>
      <c r="U405" s="2">
        <v>0</v>
      </c>
      <c r="W405" s="2">
        <v>92430</v>
      </c>
      <c r="X405" s="2">
        <v>75722</v>
      </c>
      <c r="Y405" s="2">
        <v>61473</v>
      </c>
      <c r="Z405" s="2">
        <v>0</v>
      </c>
      <c r="AA405" s="2">
        <v>0</v>
      </c>
      <c r="AC405" s="2">
        <v>2318</v>
      </c>
      <c r="AD405" s="2">
        <v>2318</v>
      </c>
      <c r="AE405" s="2">
        <v>2316</v>
      </c>
      <c r="AF405" s="2">
        <v>0</v>
      </c>
      <c r="AG405" s="2">
        <v>0</v>
      </c>
      <c r="AI405" s="2">
        <v>-20532</v>
      </c>
      <c r="AJ405" s="2">
        <v>-17399</v>
      </c>
      <c r="AK405" s="2">
        <v>-10249</v>
      </c>
      <c r="AL405" s="2">
        <v>-10248</v>
      </c>
      <c r="AM405" s="2">
        <v>0</v>
      </c>
    </row>
    <row r="406" spans="1:39">
      <c r="A406" s="335">
        <v>94001</v>
      </c>
      <c r="B406" s="328" t="s">
        <v>1095</v>
      </c>
      <c r="C406" s="239">
        <v>9.3720000000000001E-4</v>
      </c>
      <c r="E406" s="2">
        <v>477231</v>
      </c>
      <c r="F406" s="2">
        <v>153178</v>
      </c>
      <c r="G406" s="2">
        <v>255234</v>
      </c>
      <c r="H406" s="2">
        <v>74631</v>
      </c>
      <c r="I406" s="2">
        <v>0</v>
      </c>
      <c r="K406" s="2">
        <v>140399</v>
      </c>
      <c r="L406" s="2">
        <v>132070</v>
      </c>
      <c r="M406" s="2">
        <v>118373</v>
      </c>
      <c r="N406" s="2">
        <v>47395</v>
      </c>
      <c r="O406" s="2">
        <v>0</v>
      </c>
      <c r="Q406" s="2">
        <v>149053</v>
      </c>
      <c r="R406" s="2">
        <v>-128214</v>
      </c>
      <c r="S406" s="2">
        <v>18070</v>
      </c>
      <c r="T406" s="2">
        <v>23518</v>
      </c>
      <c r="U406" s="2">
        <v>0</v>
      </c>
      <c r="W406" s="2">
        <v>167911</v>
      </c>
      <c r="X406" s="2">
        <v>137558</v>
      </c>
      <c r="Y406" s="2">
        <v>111674</v>
      </c>
      <c r="Z406" s="2">
        <v>0</v>
      </c>
      <c r="AA406" s="2">
        <v>0</v>
      </c>
      <c r="AC406" s="2">
        <v>19868</v>
      </c>
      <c r="AD406" s="2">
        <v>11764</v>
      </c>
      <c r="AE406" s="2">
        <v>7117</v>
      </c>
      <c r="AF406" s="2">
        <v>3718</v>
      </c>
      <c r="AG406" s="2">
        <v>0</v>
      </c>
      <c r="AI406" s="2">
        <v>0</v>
      </c>
      <c r="AJ406" s="2">
        <v>0</v>
      </c>
      <c r="AK406" s="2">
        <v>0</v>
      </c>
      <c r="AL406" s="2">
        <v>0</v>
      </c>
      <c r="AM406" s="2">
        <v>0</v>
      </c>
    </row>
    <row r="407" spans="1:39">
      <c r="A407" s="335">
        <v>94002</v>
      </c>
      <c r="B407" s="328" t="s">
        <v>1096</v>
      </c>
      <c r="C407" s="239">
        <v>5.2000000000000002E-6</v>
      </c>
      <c r="E407" s="2">
        <v>3356</v>
      </c>
      <c r="F407" s="2">
        <v>1469</v>
      </c>
      <c r="G407" s="2">
        <v>1859</v>
      </c>
      <c r="H407" s="2">
        <v>709</v>
      </c>
      <c r="I407" s="2">
        <v>0</v>
      </c>
      <c r="K407" s="2">
        <v>779</v>
      </c>
      <c r="L407" s="2">
        <v>733</v>
      </c>
      <c r="M407" s="2">
        <v>657</v>
      </c>
      <c r="N407" s="2">
        <v>263</v>
      </c>
      <c r="O407" s="2">
        <v>0</v>
      </c>
      <c r="Q407" s="2">
        <v>827</v>
      </c>
      <c r="R407" s="2">
        <v>-711</v>
      </c>
      <c r="S407" s="2">
        <v>100</v>
      </c>
      <c r="T407" s="2">
        <v>130</v>
      </c>
      <c r="U407" s="2">
        <v>0</v>
      </c>
      <c r="W407" s="2">
        <v>932</v>
      </c>
      <c r="X407" s="2">
        <v>763</v>
      </c>
      <c r="Y407" s="2">
        <v>620</v>
      </c>
      <c r="Z407" s="2">
        <v>0</v>
      </c>
      <c r="AA407" s="2">
        <v>0</v>
      </c>
      <c r="AC407" s="2">
        <v>818</v>
      </c>
      <c r="AD407" s="2">
        <v>684</v>
      </c>
      <c r="AE407" s="2">
        <v>482</v>
      </c>
      <c r="AF407" s="2">
        <v>316</v>
      </c>
      <c r="AG407" s="2">
        <v>0</v>
      </c>
      <c r="AI407" s="2">
        <v>0</v>
      </c>
      <c r="AJ407" s="2">
        <v>0</v>
      </c>
      <c r="AK407" s="2">
        <v>0</v>
      </c>
      <c r="AL407" s="2">
        <v>0</v>
      </c>
      <c r="AM407" s="2">
        <v>0</v>
      </c>
    </row>
    <row r="408" spans="1:39">
      <c r="A408" s="335">
        <v>94004</v>
      </c>
      <c r="B408" s="328" t="s">
        <v>1097</v>
      </c>
      <c r="C408" s="239">
        <v>7.4000000000000003E-6</v>
      </c>
      <c r="E408" s="2">
        <v>5300</v>
      </c>
      <c r="F408" s="2">
        <v>2468</v>
      </c>
      <c r="G408" s="2">
        <v>2397</v>
      </c>
      <c r="H408" s="2">
        <v>790</v>
      </c>
      <c r="I408" s="2">
        <v>0</v>
      </c>
      <c r="K408" s="2">
        <v>1109</v>
      </c>
      <c r="L408" s="2">
        <v>1043</v>
      </c>
      <c r="M408" s="2">
        <v>935</v>
      </c>
      <c r="N408" s="2">
        <v>374</v>
      </c>
      <c r="O408" s="2">
        <v>0</v>
      </c>
      <c r="Q408" s="2">
        <v>1177</v>
      </c>
      <c r="R408" s="2">
        <v>-1012</v>
      </c>
      <c r="S408" s="2">
        <v>143</v>
      </c>
      <c r="T408" s="2">
        <v>186</v>
      </c>
      <c r="U408" s="2">
        <v>0</v>
      </c>
      <c r="W408" s="2">
        <v>1326</v>
      </c>
      <c r="X408" s="2">
        <v>1086</v>
      </c>
      <c r="Y408" s="2">
        <v>882</v>
      </c>
      <c r="Z408" s="2">
        <v>0</v>
      </c>
      <c r="AA408" s="2">
        <v>0</v>
      </c>
      <c r="AC408" s="2">
        <v>1688</v>
      </c>
      <c r="AD408" s="2">
        <v>1351</v>
      </c>
      <c r="AE408" s="2">
        <v>437</v>
      </c>
      <c r="AF408" s="2">
        <v>230</v>
      </c>
      <c r="AG408" s="2">
        <v>0</v>
      </c>
      <c r="AI408" s="2">
        <v>0</v>
      </c>
      <c r="AJ408" s="2">
        <v>0</v>
      </c>
      <c r="AK408" s="2">
        <v>0</v>
      </c>
      <c r="AL408" s="2">
        <v>0</v>
      </c>
      <c r="AM408" s="2">
        <v>0</v>
      </c>
    </row>
    <row r="409" spans="1:39">
      <c r="A409" s="335">
        <v>94005</v>
      </c>
      <c r="B409" s="328" t="s">
        <v>1098</v>
      </c>
      <c r="C409" s="239">
        <v>1.9E-6</v>
      </c>
      <c r="E409" s="2">
        <v>149</v>
      </c>
      <c r="F409" s="2">
        <v>7</v>
      </c>
      <c r="G409" s="2">
        <v>1031</v>
      </c>
      <c r="H409" s="2">
        <v>-197</v>
      </c>
      <c r="I409" s="2">
        <v>0</v>
      </c>
      <c r="K409" s="2">
        <v>285</v>
      </c>
      <c r="L409" s="2">
        <v>268</v>
      </c>
      <c r="M409" s="2">
        <v>240</v>
      </c>
      <c r="N409" s="2">
        <v>96</v>
      </c>
      <c r="O409" s="2">
        <v>0</v>
      </c>
      <c r="Q409" s="2">
        <v>302</v>
      </c>
      <c r="R409" s="2">
        <v>-260</v>
      </c>
      <c r="S409" s="2">
        <v>37</v>
      </c>
      <c r="T409" s="2">
        <v>48</v>
      </c>
      <c r="U409" s="2">
        <v>0</v>
      </c>
      <c r="W409" s="2">
        <v>340</v>
      </c>
      <c r="X409" s="2">
        <v>279</v>
      </c>
      <c r="Y409" s="2">
        <v>226</v>
      </c>
      <c r="Z409" s="2">
        <v>0</v>
      </c>
      <c r="AA409" s="2">
        <v>0</v>
      </c>
      <c r="AC409" s="2">
        <v>871</v>
      </c>
      <c r="AD409" s="2">
        <v>871</v>
      </c>
      <c r="AE409" s="2">
        <v>870</v>
      </c>
      <c r="AF409" s="2">
        <v>0</v>
      </c>
      <c r="AG409" s="2">
        <v>0</v>
      </c>
      <c r="AI409" s="2">
        <v>-1649</v>
      </c>
      <c r="AJ409" s="2">
        <v>-1151</v>
      </c>
      <c r="AK409" s="2">
        <v>-342</v>
      </c>
      <c r="AL409" s="2">
        <v>-341</v>
      </c>
      <c r="AM409" s="2">
        <v>0</v>
      </c>
    </row>
    <row r="410" spans="1:39">
      <c r="A410" s="335">
        <v>94011</v>
      </c>
      <c r="B410" s="328" t="s">
        <v>1099</v>
      </c>
      <c r="C410" s="239">
        <v>2.6699999999999998E-5</v>
      </c>
      <c r="E410" s="2">
        <v>13167</v>
      </c>
      <c r="F410" s="2">
        <v>3196</v>
      </c>
      <c r="G410" s="2">
        <v>6892</v>
      </c>
      <c r="H410" s="2">
        <v>1396</v>
      </c>
      <c r="I410" s="2">
        <v>0</v>
      </c>
      <c r="K410" s="2">
        <v>4000</v>
      </c>
      <c r="L410" s="2">
        <v>3763</v>
      </c>
      <c r="M410" s="2">
        <v>3372</v>
      </c>
      <c r="N410" s="2">
        <v>1350</v>
      </c>
      <c r="O410" s="2">
        <v>0</v>
      </c>
      <c r="Q410" s="2">
        <v>4246</v>
      </c>
      <c r="R410" s="2">
        <v>-3653</v>
      </c>
      <c r="S410" s="2">
        <v>515</v>
      </c>
      <c r="T410" s="2">
        <v>670</v>
      </c>
      <c r="U410" s="2">
        <v>0</v>
      </c>
      <c r="W410" s="2">
        <v>4784</v>
      </c>
      <c r="X410" s="2">
        <v>3919</v>
      </c>
      <c r="Y410" s="2">
        <v>3181</v>
      </c>
      <c r="Z410" s="2">
        <v>0</v>
      </c>
      <c r="AA410" s="2">
        <v>0</v>
      </c>
      <c r="AC410" s="2">
        <v>1418</v>
      </c>
      <c r="AD410" s="2">
        <v>450</v>
      </c>
      <c r="AE410" s="2">
        <v>450</v>
      </c>
      <c r="AF410" s="2">
        <v>0</v>
      </c>
      <c r="AG410" s="2">
        <v>0</v>
      </c>
      <c r="AI410" s="2">
        <v>-1281</v>
      </c>
      <c r="AJ410" s="2">
        <v>-1283</v>
      </c>
      <c r="AK410" s="2">
        <v>-626</v>
      </c>
      <c r="AL410" s="2">
        <v>-624</v>
      </c>
      <c r="AM410" s="2">
        <v>0</v>
      </c>
    </row>
    <row r="411" spans="1:39">
      <c r="A411" s="335">
        <v>94021</v>
      </c>
      <c r="B411" s="328" t="s">
        <v>1100</v>
      </c>
      <c r="C411" s="239">
        <v>8.3300000000000005E-5</v>
      </c>
      <c r="E411" s="2">
        <v>45471</v>
      </c>
      <c r="F411" s="2">
        <v>16579</v>
      </c>
      <c r="G411" s="2">
        <v>23211</v>
      </c>
      <c r="H411" s="2">
        <v>7355</v>
      </c>
      <c r="I411" s="2">
        <v>0</v>
      </c>
      <c r="K411" s="2">
        <v>12479</v>
      </c>
      <c r="L411" s="2">
        <v>11739</v>
      </c>
      <c r="M411" s="2">
        <v>10521</v>
      </c>
      <c r="N411" s="2">
        <v>4213</v>
      </c>
      <c r="O411" s="2">
        <v>0</v>
      </c>
      <c r="Q411" s="2">
        <v>13248</v>
      </c>
      <c r="R411" s="2">
        <v>-11396</v>
      </c>
      <c r="S411" s="2">
        <v>1606</v>
      </c>
      <c r="T411" s="2">
        <v>2090</v>
      </c>
      <c r="U411" s="2">
        <v>0</v>
      </c>
      <c r="W411" s="2">
        <v>14924</v>
      </c>
      <c r="X411" s="2">
        <v>12226</v>
      </c>
      <c r="Y411" s="2">
        <v>9926</v>
      </c>
      <c r="Z411" s="2">
        <v>0</v>
      </c>
      <c r="AA411" s="2">
        <v>0</v>
      </c>
      <c r="AC411" s="2">
        <v>4820</v>
      </c>
      <c r="AD411" s="2">
        <v>4010</v>
      </c>
      <c r="AE411" s="2">
        <v>1158</v>
      </c>
      <c r="AF411" s="2">
        <v>1052</v>
      </c>
      <c r="AG411" s="2">
        <v>0</v>
      </c>
      <c r="AI411" s="2">
        <v>0</v>
      </c>
      <c r="AJ411" s="2">
        <v>0</v>
      </c>
      <c r="AK411" s="2">
        <v>0</v>
      </c>
      <c r="AL411" s="2">
        <v>0</v>
      </c>
      <c r="AM411" s="2">
        <v>0</v>
      </c>
    </row>
    <row r="412" spans="1:39">
      <c r="A412" s="335">
        <v>94031</v>
      </c>
      <c r="B412" s="328" t="s">
        <v>1101</v>
      </c>
      <c r="C412" s="239">
        <v>4.6E-6</v>
      </c>
      <c r="E412" s="2">
        <v>5432</v>
      </c>
      <c r="F412" s="2">
        <v>2961</v>
      </c>
      <c r="G412" s="2">
        <v>3077</v>
      </c>
      <c r="H412" s="2">
        <v>1355</v>
      </c>
      <c r="I412" s="2">
        <v>0</v>
      </c>
      <c r="K412" s="2">
        <v>689</v>
      </c>
      <c r="L412" s="2">
        <v>648</v>
      </c>
      <c r="M412" s="2">
        <v>581</v>
      </c>
      <c r="N412" s="2">
        <v>233</v>
      </c>
      <c r="O412" s="2">
        <v>0</v>
      </c>
      <c r="Q412" s="2">
        <v>732</v>
      </c>
      <c r="R412" s="2">
        <v>-629</v>
      </c>
      <c r="S412" s="2">
        <v>89</v>
      </c>
      <c r="T412" s="2">
        <v>115</v>
      </c>
      <c r="U412" s="2">
        <v>0</v>
      </c>
      <c r="W412" s="2">
        <v>824</v>
      </c>
      <c r="X412" s="2">
        <v>675</v>
      </c>
      <c r="Y412" s="2">
        <v>548</v>
      </c>
      <c r="Z412" s="2">
        <v>0</v>
      </c>
      <c r="AA412" s="2">
        <v>0</v>
      </c>
      <c r="AC412" s="2">
        <v>3187</v>
      </c>
      <c r="AD412" s="2">
        <v>2267</v>
      </c>
      <c r="AE412" s="2">
        <v>1859</v>
      </c>
      <c r="AF412" s="2">
        <v>1007</v>
      </c>
      <c r="AG412" s="2">
        <v>0</v>
      </c>
      <c r="AI412" s="2">
        <v>0</v>
      </c>
      <c r="AJ412" s="2">
        <v>0</v>
      </c>
      <c r="AK412" s="2">
        <v>0</v>
      </c>
      <c r="AL412" s="2">
        <v>0</v>
      </c>
      <c r="AM412" s="2">
        <v>0</v>
      </c>
    </row>
    <row r="413" spans="1:39">
      <c r="A413" s="335">
        <v>94101</v>
      </c>
      <c r="B413" s="328" t="s">
        <v>1102</v>
      </c>
      <c r="C413" s="239">
        <v>1.7750700000000001E-2</v>
      </c>
      <c r="E413" s="2">
        <v>8495628</v>
      </c>
      <c r="F413" s="2">
        <v>2639351</v>
      </c>
      <c r="G413" s="2">
        <v>4669716</v>
      </c>
      <c r="H413" s="2">
        <v>1305037</v>
      </c>
      <c r="I413" s="2">
        <v>0</v>
      </c>
      <c r="K413" s="2">
        <v>2659179</v>
      </c>
      <c r="L413" s="2">
        <v>2501429</v>
      </c>
      <c r="M413" s="2">
        <v>2242002</v>
      </c>
      <c r="N413" s="2">
        <v>897671</v>
      </c>
      <c r="O413" s="2">
        <v>0</v>
      </c>
      <c r="Q413" s="2">
        <v>2823089</v>
      </c>
      <c r="R413" s="2">
        <v>-2428385</v>
      </c>
      <c r="S413" s="2">
        <v>342251</v>
      </c>
      <c r="T413" s="2">
        <v>445436</v>
      </c>
      <c r="U413" s="2">
        <v>0</v>
      </c>
      <c r="W413" s="2">
        <v>3180251</v>
      </c>
      <c r="X413" s="2">
        <v>2605377</v>
      </c>
      <c r="Y413" s="2">
        <v>2115120</v>
      </c>
      <c r="Z413" s="2">
        <v>0</v>
      </c>
      <c r="AA413" s="2">
        <v>0</v>
      </c>
      <c r="AC413" s="2">
        <v>8414</v>
      </c>
      <c r="AD413" s="2">
        <v>8414</v>
      </c>
      <c r="AE413" s="2">
        <v>8414</v>
      </c>
      <c r="AF413" s="2">
        <v>0</v>
      </c>
      <c r="AG413" s="2">
        <v>0</v>
      </c>
      <c r="AI413" s="2">
        <v>-175305</v>
      </c>
      <c r="AJ413" s="2">
        <v>-47484</v>
      </c>
      <c r="AK413" s="2">
        <v>-38071</v>
      </c>
      <c r="AL413" s="2">
        <v>-38070</v>
      </c>
      <c r="AM413" s="2">
        <v>0</v>
      </c>
    </row>
    <row r="414" spans="1:39">
      <c r="A414" s="335">
        <v>94102</v>
      </c>
      <c r="B414" s="328" t="s">
        <v>1103</v>
      </c>
      <c r="C414" s="239">
        <v>3.3849999999999999E-4</v>
      </c>
      <c r="E414" s="2">
        <v>152404</v>
      </c>
      <c r="F414" s="2">
        <v>42746</v>
      </c>
      <c r="G414" s="2">
        <v>84110</v>
      </c>
      <c r="H414" s="2">
        <v>27759</v>
      </c>
      <c r="I414" s="2">
        <v>0</v>
      </c>
      <c r="K414" s="2">
        <v>50710</v>
      </c>
      <c r="L414" s="2">
        <v>47701</v>
      </c>
      <c r="M414" s="2">
        <v>42754</v>
      </c>
      <c r="N414" s="2">
        <v>17118</v>
      </c>
      <c r="O414" s="2">
        <v>0</v>
      </c>
      <c r="Q414" s="2">
        <v>53835</v>
      </c>
      <c r="R414" s="2">
        <v>-46308</v>
      </c>
      <c r="S414" s="2">
        <v>6527</v>
      </c>
      <c r="T414" s="2">
        <v>8494</v>
      </c>
      <c r="U414" s="2">
        <v>0</v>
      </c>
      <c r="W414" s="2">
        <v>60646</v>
      </c>
      <c r="X414" s="2">
        <v>49684</v>
      </c>
      <c r="Y414" s="2">
        <v>40335</v>
      </c>
      <c r="Z414" s="2">
        <v>0</v>
      </c>
      <c r="AA414" s="2">
        <v>0</v>
      </c>
      <c r="AC414" s="2">
        <v>2146</v>
      </c>
      <c r="AD414" s="2">
        <v>2146</v>
      </c>
      <c r="AE414" s="2">
        <v>2146</v>
      </c>
      <c r="AF414" s="2">
        <v>2147</v>
      </c>
      <c r="AG414" s="2">
        <v>0</v>
      </c>
      <c r="AI414" s="2">
        <v>-14933</v>
      </c>
      <c r="AJ414" s="2">
        <v>-10477</v>
      </c>
      <c r="AK414" s="2">
        <v>-7652</v>
      </c>
      <c r="AL414" s="2">
        <v>0</v>
      </c>
      <c r="AM414" s="2">
        <v>0</v>
      </c>
    </row>
    <row r="415" spans="1:39">
      <c r="A415" s="335">
        <v>94108</v>
      </c>
      <c r="B415" s="328" t="s">
        <v>3697</v>
      </c>
      <c r="C415" s="239">
        <v>3.8289999999999998E-4</v>
      </c>
      <c r="E415" s="2">
        <v>157519</v>
      </c>
      <c r="F415" s="2">
        <v>43499</v>
      </c>
      <c r="G415" s="2">
        <v>94033</v>
      </c>
      <c r="H415" s="2">
        <v>18236</v>
      </c>
      <c r="I415" s="2">
        <v>0</v>
      </c>
      <c r="K415" s="2">
        <v>57361</v>
      </c>
      <c r="L415" s="2">
        <v>53958</v>
      </c>
      <c r="M415" s="2">
        <v>48362</v>
      </c>
      <c r="N415" s="2">
        <v>19364</v>
      </c>
      <c r="O415" s="2">
        <v>0</v>
      </c>
      <c r="Q415" s="2">
        <v>60897</v>
      </c>
      <c r="R415" s="2">
        <v>-52383</v>
      </c>
      <c r="S415" s="2">
        <v>7383</v>
      </c>
      <c r="T415" s="2">
        <v>9608</v>
      </c>
      <c r="U415" s="2">
        <v>0</v>
      </c>
      <c r="W415" s="2">
        <v>68601</v>
      </c>
      <c r="X415" s="2">
        <v>56201</v>
      </c>
      <c r="Y415" s="2">
        <v>45625</v>
      </c>
      <c r="Z415" s="2">
        <v>0</v>
      </c>
      <c r="AA415" s="2">
        <v>0</v>
      </c>
      <c r="AC415" s="2">
        <v>3396</v>
      </c>
      <c r="AD415" s="2">
        <v>3396</v>
      </c>
      <c r="AE415" s="2">
        <v>3398</v>
      </c>
      <c r="AF415" s="2">
        <v>0</v>
      </c>
      <c r="AG415" s="2">
        <v>0</v>
      </c>
      <c r="AI415" s="2">
        <v>-32736</v>
      </c>
      <c r="AJ415" s="2">
        <v>-17673</v>
      </c>
      <c r="AK415" s="2">
        <v>-10735</v>
      </c>
      <c r="AL415" s="2">
        <v>-10736</v>
      </c>
      <c r="AM415" s="2">
        <v>0</v>
      </c>
    </row>
    <row r="416" spans="1:39">
      <c r="A416" s="335">
        <v>94109</v>
      </c>
      <c r="B416" s="328" t="s">
        <v>3698</v>
      </c>
      <c r="C416" s="239">
        <v>1.048E-4</v>
      </c>
      <c r="E416" s="2">
        <v>37902</v>
      </c>
      <c r="F416" s="2">
        <v>8539</v>
      </c>
      <c r="G416" s="2">
        <v>24670</v>
      </c>
      <c r="H416" s="2">
        <v>6299</v>
      </c>
      <c r="I416" s="2">
        <v>0</v>
      </c>
      <c r="K416" s="2">
        <v>15700</v>
      </c>
      <c r="L416" s="2">
        <v>14768</v>
      </c>
      <c r="M416" s="2">
        <v>13237</v>
      </c>
      <c r="N416" s="2">
        <v>5300</v>
      </c>
      <c r="O416" s="2">
        <v>0</v>
      </c>
      <c r="Q416" s="2">
        <v>16667</v>
      </c>
      <c r="R416" s="2">
        <v>-14337</v>
      </c>
      <c r="S416" s="2">
        <v>2021</v>
      </c>
      <c r="T416" s="2">
        <v>2630</v>
      </c>
      <c r="U416" s="2">
        <v>0</v>
      </c>
      <c r="W416" s="2">
        <v>18776</v>
      </c>
      <c r="X416" s="2">
        <v>15382</v>
      </c>
      <c r="Y416" s="2">
        <v>12488</v>
      </c>
      <c r="Z416" s="2">
        <v>0</v>
      </c>
      <c r="AA416" s="2">
        <v>0</v>
      </c>
      <c r="AC416" s="2">
        <v>0</v>
      </c>
      <c r="AD416" s="2">
        <v>0</v>
      </c>
      <c r="AE416" s="2">
        <v>0</v>
      </c>
      <c r="AF416" s="2">
        <v>0</v>
      </c>
      <c r="AG416" s="2">
        <v>0</v>
      </c>
      <c r="AI416" s="2">
        <v>-13241</v>
      </c>
      <c r="AJ416" s="2">
        <v>-7274</v>
      </c>
      <c r="AK416" s="2">
        <v>-3076</v>
      </c>
      <c r="AL416" s="2">
        <v>-1631</v>
      </c>
      <c r="AM416" s="2">
        <v>0</v>
      </c>
    </row>
    <row r="417" spans="1:39">
      <c r="A417" s="335">
        <v>94111</v>
      </c>
      <c r="B417" s="328" t="s">
        <v>1106</v>
      </c>
      <c r="C417" s="239">
        <v>2.50095E-2</v>
      </c>
      <c r="E417" s="2">
        <v>11660647</v>
      </c>
      <c r="F417" s="2">
        <v>3492228</v>
      </c>
      <c r="G417" s="2">
        <v>6433776</v>
      </c>
      <c r="H417" s="2">
        <v>1872282</v>
      </c>
      <c r="I417" s="2">
        <v>0</v>
      </c>
      <c r="K417" s="2">
        <v>3746598</v>
      </c>
      <c r="L417" s="2">
        <v>3524339</v>
      </c>
      <c r="M417" s="2">
        <v>3158825</v>
      </c>
      <c r="N417" s="2">
        <v>1264755</v>
      </c>
      <c r="O417" s="2">
        <v>0</v>
      </c>
      <c r="Q417" s="2">
        <v>3977536</v>
      </c>
      <c r="R417" s="2">
        <v>-3421425</v>
      </c>
      <c r="S417" s="2">
        <v>482208</v>
      </c>
      <c r="T417" s="2">
        <v>627588</v>
      </c>
      <c r="U417" s="2">
        <v>0</v>
      </c>
      <c r="W417" s="2">
        <v>4480752</v>
      </c>
      <c r="X417" s="2">
        <v>3670794</v>
      </c>
      <c r="Y417" s="2">
        <v>2980057</v>
      </c>
      <c r="Z417" s="2">
        <v>0</v>
      </c>
      <c r="AA417" s="2">
        <v>0</v>
      </c>
      <c r="AC417" s="2">
        <v>0</v>
      </c>
      <c r="AD417" s="2">
        <v>0</v>
      </c>
      <c r="AE417" s="2">
        <v>0</v>
      </c>
      <c r="AF417" s="2">
        <v>0</v>
      </c>
      <c r="AG417" s="2">
        <v>0</v>
      </c>
      <c r="AI417" s="2">
        <v>-544239</v>
      </c>
      <c r="AJ417" s="2">
        <v>-281480</v>
      </c>
      <c r="AK417" s="2">
        <v>-187314</v>
      </c>
      <c r="AL417" s="2">
        <v>-20061</v>
      </c>
      <c r="AM417" s="2">
        <v>0</v>
      </c>
    </row>
    <row r="418" spans="1:39">
      <c r="A418" s="335">
        <v>94112</v>
      </c>
      <c r="B418" s="328" t="s">
        <v>3699</v>
      </c>
      <c r="C418" s="239">
        <v>1.6870000000000001E-4</v>
      </c>
      <c r="E418" s="2">
        <v>76805</v>
      </c>
      <c r="F418" s="2">
        <v>22036</v>
      </c>
      <c r="G418" s="2">
        <v>42564</v>
      </c>
      <c r="H418" s="2">
        <v>11554</v>
      </c>
      <c r="I418" s="2">
        <v>0</v>
      </c>
      <c r="K418" s="2">
        <v>25272</v>
      </c>
      <c r="L418" s="2">
        <v>23773</v>
      </c>
      <c r="M418" s="2">
        <v>21308</v>
      </c>
      <c r="N418" s="2">
        <v>8531</v>
      </c>
      <c r="O418" s="2">
        <v>0</v>
      </c>
      <c r="Q418" s="2">
        <v>26830</v>
      </c>
      <c r="R418" s="2">
        <v>-23079</v>
      </c>
      <c r="S418" s="2">
        <v>3253</v>
      </c>
      <c r="T418" s="2">
        <v>4233</v>
      </c>
      <c r="U418" s="2">
        <v>0</v>
      </c>
      <c r="W418" s="2">
        <v>30225</v>
      </c>
      <c r="X418" s="2">
        <v>24761</v>
      </c>
      <c r="Y418" s="2">
        <v>20102</v>
      </c>
      <c r="Z418" s="2">
        <v>0</v>
      </c>
      <c r="AA418" s="2">
        <v>0</v>
      </c>
      <c r="AC418" s="2">
        <v>0</v>
      </c>
      <c r="AD418" s="2">
        <v>0</v>
      </c>
      <c r="AE418" s="2">
        <v>0</v>
      </c>
      <c r="AF418" s="2">
        <v>0</v>
      </c>
      <c r="AG418" s="2">
        <v>0</v>
      </c>
      <c r="AI418" s="2">
        <v>-5522</v>
      </c>
      <c r="AJ418" s="2">
        <v>-3419</v>
      </c>
      <c r="AK418" s="2">
        <v>-2099</v>
      </c>
      <c r="AL418" s="2">
        <v>-1210</v>
      </c>
      <c r="AM418" s="2">
        <v>0</v>
      </c>
    </row>
    <row r="419" spans="1:39">
      <c r="A419" s="335">
        <v>94117</v>
      </c>
      <c r="B419" s="328" t="s">
        <v>2814</v>
      </c>
      <c r="C419" s="239">
        <v>3.232E-4</v>
      </c>
      <c r="E419" s="2">
        <v>145623</v>
      </c>
      <c r="F419" s="2">
        <v>38813</v>
      </c>
      <c r="G419" s="2">
        <v>77721</v>
      </c>
      <c r="H419" s="2">
        <v>22564</v>
      </c>
      <c r="I419" s="2">
        <v>0</v>
      </c>
      <c r="K419" s="2">
        <v>48418</v>
      </c>
      <c r="L419" s="2">
        <v>45545</v>
      </c>
      <c r="M419" s="2">
        <v>40822</v>
      </c>
      <c r="N419" s="2">
        <v>16345</v>
      </c>
      <c r="O419" s="2">
        <v>0</v>
      </c>
      <c r="Q419" s="2">
        <v>51402</v>
      </c>
      <c r="R419" s="2">
        <v>-44215</v>
      </c>
      <c r="S419" s="2">
        <v>6232</v>
      </c>
      <c r="T419" s="2">
        <v>8110</v>
      </c>
      <c r="U419" s="2">
        <v>0</v>
      </c>
      <c r="W419" s="2">
        <v>57905</v>
      </c>
      <c r="X419" s="2">
        <v>47438</v>
      </c>
      <c r="Y419" s="2">
        <v>38512</v>
      </c>
      <c r="Z419" s="2">
        <v>0</v>
      </c>
      <c r="AA419" s="2">
        <v>0</v>
      </c>
      <c r="AC419" s="2">
        <v>0</v>
      </c>
      <c r="AD419" s="2">
        <v>0</v>
      </c>
      <c r="AE419" s="2">
        <v>0</v>
      </c>
      <c r="AF419" s="2">
        <v>0</v>
      </c>
      <c r="AG419" s="2">
        <v>0</v>
      </c>
      <c r="AI419" s="2">
        <v>-12102</v>
      </c>
      <c r="AJ419" s="2">
        <v>-9955</v>
      </c>
      <c r="AK419" s="2">
        <v>-7845</v>
      </c>
      <c r="AL419" s="2">
        <v>-1891</v>
      </c>
      <c r="AM419" s="2">
        <v>0</v>
      </c>
    </row>
    <row r="420" spans="1:39">
      <c r="A420" s="335">
        <v>94118</v>
      </c>
      <c r="B420" s="328" t="s">
        <v>1109</v>
      </c>
      <c r="C420" s="239">
        <v>1.6009999999999999E-4</v>
      </c>
      <c r="E420" s="2">
        <v>63479</v>
      </c>
      <c r="F420" s="2">
        <v>15452</v>
      </c>
      <c r="G420" s="2">
        <v>38230</v>
      </c>
      <c r="H420" s="2">
        <v>8807</v>
      </c>
      <c r="I420" s="2">
        <v>0</v>
      </c>
      <c r="K420" s="2">
        <v>23984</v>
      </c>
      <c r="L420" s="2">
        <v>22561</v>
      </c>
      <c r="M420" s="2">
        <v>20221</v>
      </c>
      <c r="N420" s="2">
        <v>8096</v>
      </c>
      <c r="O420" s="2">
        <v>0</v>
      </c>
      <c r="Q420" s="2">
        <v>25462</v>
      </c>
      <c r="R420" s="2">
        <v>-21902</v>
      </c>
      <c r="S420" s="2">
        <v>3087</v>
      </c>
      <c r="T420" s="2">
        <v>4018</v>
      </c>
      <c r="U420" s="2">
        <v>0</v>
      </c>
      <c r="W420" s="2">
        <v>28684</v>
      </c>
      <c r="X420" s="2">
        <v>23499</v>
      </c>
      <c r="Y420" s="2">
        <v>19077</v>
      </c>
      <c r="Z420" s="2">
        <v>0</v>
      </c>
      <c r="AA420" s="2">
        <v>0</v>
      </c>
      <c r="AC420" s="2">
        <v>0</v>
      </c>
      <c r="AD420" s="2">
        <v>0</v>
      </c>
      <c r="AE420" s="2">
        <v>0</v>
      </c>
      <c r="AF420" s="2">
        <v>0</v>
      </c>
      <c r="AG420" s="2">
        <v>0</v>
      </c>
      <c r="AI420" s="2">
        <v>-14651</v>
      </c>
      <c r="AJ420" s="2">
        <v>-8706</v>
      </c>
      <c r="AK420" s="2">
        <v>-4155</v>
      </c>
      <c r="AL420" s="2">
        <v>-3307</v>
      </c>
      <c r="AM420" s="2">
        <v>0</v>
      </c>
    </row>
    <row r="421" spans="1:39">
      <c r="A421" s="335">
        <v>94121</v>
      </c>
      <c r="B421" s="328" t="s">
        <v>1110</v>
      </c>
      <c r="C421" s="239">
        <v>1.1113E-2</v>
      </c>
      <c r="E421" s="2">
        <v>5411522</v>
      </c>
      <c r="F421" s="2">
        <v>1722881</v>
      </c>
      <c r="G421" s="2">
        <v>2978643</v>
      </c>
      <c r="H421" s="2">
        <v>842943</v>
      </c>
      <c r="I421" s="2">
        <v>0</v>
      </c>
      <c r="K421" s="2">
        <v>1664805</v>
      </c>
      <c r="L421" s="2">
        <v>1566044</v>
      </c>
      <c r="M421" s="2">
        <v>1403627</v>
      </c>
      <c r="N421" s="2">
        <v>561996</v>
      </c>
      <c r="O421" s="2">
        <v>0</v>
      </c>
      <c r="Q421" s="2">
        <v>1767423</v>
      </c>
      <c r="R421" s="2">
        <v>-1520314</v>
      </c>
      <c r="S421" s="2">
        <v>214270</v>
      </c>
      <c r="T421" s="2">
        <v>278870</v>
      </c>
      <c r="U421" s="2">
        <v>0</v>
      </c>
      <c r="W421" s="2">
        <v>1991027</v>
      </c>
      <c r="X421" s="2">
        <v>1631122</v>
      </c>
      <c r="Y421" s="2">
        <v>1324192</v>
      </c>
      <c r="Z421" s="2">
        <v>0</v>
      </c>
      <c r="AA421" s="2">
        <v>0</v>
      </c>
      <c r="AC421" s="2">
        <v>46027</v>
      </c>
      <c r="AD421" s="2">
        <v>46029</v>
      </c>
      <c r="AE421" s="2">
        <v>36554</v>
      </c>
      <c r="AF421" s="2">
        <v>2077</v>
      </c>
      <c r="AG421" s="2">
        <v>0</v>
      </c>
      <c r="AI421" s="2">
        <v>-57760</v>
      </c>
      <c r="AJ421" s="2">
        <v>0</v>
      </c>
      <c r="AK421" s="2">
        <v>0</v>
      </c>
      <c r="AL421" s="2">
        <v>0</v>
      </c>
      <c r="AM421" s="2">
        <v>0</v>
      </c>
    </row>
    <row r="422" spans="1:39">
      <c r="A422" s="335">
        <v>94127</v>
      </c>
      <c r="B422" s="328" t="s">
        <v>2812</v>
      </c>
      <c r="C422" s="239">
        <v>1.4310000000000001E-4</v>
      </c>
      <c r="E422" s="2">
        <v>67360</v>
      </c>
      <c r="F422" s="2">
        <v>18520</v>
      </c>
      <c r="G422" s="2">
        <v>33282</v>
      </c>
      <c r="H422" s="2">
        <v>9347</v>
      </c>
      <c r="I422" s="2">
        <v>0</v>
      </c>
      <c r="K422" s="2">
        <v>21437</v>
      </c>
      <c r="L422" s="2">
        <v>20166</v>
      </c>
      <c r="M422" s="2">
        <v>18074</v>
      </c>
      <c r="N422" s="2">
        <v>7237</v>
      </c>
      <c r="O422" s="2">
        <v>0</v>
      </c>
      <c r="Q422" s="2">
        <v>22759</v>
      </c>
      <c r="R422" s="2">
        <v>-19577</v>
      </c>
      <c r="S422" s="2">
        <v>2759</v>
      </c>
      <c r="T422" s="2">
        <v>3591</v>
      </c>
      <c r="U422" s="2">
        <v>0</v>
      </c>
      <c r="W422" s="2">
        <v>25638</v>
      </c>
      <c r="X422" s="2">
        <v>21004</v>
      </c>
      <c r="Y422" s="2">
        <v>17051</v>
      </c>
      <c r="Z422" s="2">
        <v>0</v>
      </c>
      <c r="AA422" s="2">
        <v>0</v>
      </c>
      <c r="AC422" s="2">
        <v>2126</v>
      </c>
      <c r="AD422" s="2">
        <v>1527</v>
      </c>
      <c r="AE422" s="2">
        <v>0</v>
      </c>
      <c r="AF422" s="2">
        <v>0</v>
      </c>
      <c r="AG422" s="2">
        <v>0</v>
      </c>
      <c r="AI422" s="2">
        <v>-4600</v>
      </c>
      <c r="AJ422" s="2">
        <v>-4600</v>
      </c>
      <c r="AK422" s="2">
        <v>-4602</v>
      </c>
      <c r="AL422" s="2">
        <v>-1481</v>
      </c>
      <c r="AM422" s="2">
        <v>0</v>
      </c>
    </row>
    <row r="423" spans="1:39">
      <c r="A423" s="335">
        <v>94131</v>
      </c>
      <c r="B423" s="328" t="s">
        <v>1112</v>
      </c>
      <c r="C423" s="239">
        <v>2.1029999999999999E-4</v>
      </c>
      <c r="E423" s="2">
        <v>108195</v>
      </c>
      <c r="F423" s="2">
        <v>37134</v>
      </c>
      <c r="G423" s="2">
        <v>63203</v>
      </c>
      <c r="H423" s="2">
        <v>17273</v>
      </c>
      <c r="I423" s="2">
        <v>0</v>
      </c>
      <c r="K423" s="2">
        <v>31504</v>
      </c>
      <c r="L423" s="2">
        <v>29635</v>
      </c>
      <c r="M423" s="2">
        <v>26562</v>
      </c>
      <c r="N423" s="2">
        <v>10635</v>
      </c>
      <c r="O423" s="2">
        <v>0</v>
      </c>
      <c r="Q423" s="2">
        <v>33446</v>
      </c>
      <c r="R423" s="2">
        <v>-28770</v>
      </c>
      <c r="S423" s="2">
        <v>4055</v>
      </c>
      <c r="T423" s="2">
        <v>5277</v>
      </c>
      <c r="U423" s="2">
        <v>0</v>
      </c>
      <c r="W423" s="2">
        <v>37678</v>
      </c>
      <c r="X423" s="2">
        <v>30867</v>
      </c>
      <c r="Y423" s="2">
        <v>25059</v>
      </c>
      <c r="Z423" s="2">
        <v>0</v>
      </c>
      <c r="AA423" s="2">
        <v>0</v>
      </c>
      <c r="AC423" s="2">
        <v>7693</v>
      </c>
      <c r="AD423" s="2">
        <v>7529</v>
      </c>
      <c r="AE423" s="2">
        <v>7527</v>
      </c>
      <c r="AF423" s="2">
        <v>1361</v>
      </c>
      <c r="AG423" s="2">
        <v>0</v>
      </c>
      <c r="AI423" s="2">
        <v>-2126</v>
      </c>
      <c r="AJ423" s="2">
        <v>-2127</v>
      </c>
      <c r="AK423" s="2">
        <v>0</v>
      </c>
      <c r="AL423" s="2">
        <v>0</v>
      </c>
      <c r="AM423" s="2">
        <v>0</v>
      </c>
    </row>
    <row r="424" spans="1:39">
      <c r="A424" s="335">
        <v>94151</v>
      </c>
      <c r="B424" s="328" t="s">
        <v>1113</v>
      </c>
      <c r="C424" s="239">
        <v>4.6660000000000001E-4</v>
      </c>
      <c r="E424" s="2">
        <v>218216</v>
      </c>
      <c r="F424" s="2">
        <v>62683</v>
      </c>
      <c r="G424" s="2">
        <v>121893</v>
      </c>
      <c r="H424" s="2">
        <v>30631</v>
      </c>
      <c r="I424" s="2">
        <v>0</v>
      </c>
      <c r="K424" s="2">
        <v>69900</v>
      </c>
      <c r="L424" s="2">
        <v>65753</v>
      </c>
      <c r="M424" s="2">
        <v>58934</v>
      </c>
      <c r="N424" s="2">
        <v>23596</v>
      </c>
      <c r="O424" s="2">
        <v>0</v>
      </c>
      <c r="Q424" s="2">
        <v>74209</v>
      </c>
      <c r="R424" s="2">
        <v>-63833</v>
      </c>
      <c r="S424" s="2">
        <v>8997</v>
      </c>
      <c r="T424" s="2">
        <v>11709</v>
      </c>
      <c r="U424" s="2">
        <v>0</v>
      </c>
      <c r="W424" s="2">
        <v>83597</v>
      </c>
      <c r="X424" s="2">
        <v>68486</v>
      </c>
      <c r="Y424" s="2">
        <v>55599</v>
      </c>
      <c r="Z424" s="2">
        <v>0</v>
      </c>
      <c r="AA424" s="2">
        <v>0</v>
      </c>
      <c r="AC424" s="2">
        <v>3034</v>
      </c>
      <c r="AD424" s="2">
        <v>3034</v>
      </c>
      <c r="AE424" s="2">
        <v>3036</v>
      </c>
      <c r="AF424" s="2">
        <v>0</v>
      </c>
      <c r="AG424" s="2">
        <v>0</v>
      </c>
      <c r="AI424" s="2">
        <v>-12524</v>
      </c>
      <c r="AJ424" s="2">
        <v>-10757</v>
      </c>
      <c r="AK424" s="2">
        <v>-4673</v>
      </c>
      <c r="AL424" s="2">
        <v>-4674</v>
      </c>
      <c r="AM424" s="2">
        <v>0</v>
      </c>
    </row>
    <row r="425" spans="1:39">
      <c r="A425" s="335">
        <v>94157</v>
      </c>
      <c r="B425" s="328" t="s">
        <v>1114</v>
      </c>
      <c r="C425" s="239">
        <v>8.6000000000000007E-6</v>
      </c>
      <c r="E425" s="2">
        <v>5151</v>
      </c>
      <c r="F425" s="2">
        <v>1911</v>
      </c>
      <c r="G425" s="2">
        <v>2755</v>
      </c>
      <c r="H425" s="2">
        <v>998</v>
      </c>
      <c r="I425" s="2">
        <v>0</v>
      </c>
      <c r="K425" s="2">
        <v>1288</v>
      </c>
      <c r="L425" s="2">
        <v>1212</v>
      </c>
      <c r="M425" s="2">
        <v>1086</v>
      </c>
      <c r="N425" s="2">
        <v>435</v>
      </c>
      <c r="O425" s="2">
        <v>0</v>
      </c>
      <c r="Q425" s="2">
        <v>1368</v>
      </c>
      <c r="R425" s="2">
        <v>-1177</v>
      </c>
      <c r="S425" s="2">
        <v>166</v>
      </c>
      <c r="T425" s="2">
        <v>216</v>
      </c>
      <c r="U425" s="2">
        <v>0</v>
      </c>
      <c r="W425" s="2">
        <v>1541</v>
      </c>
      <c r="X425" s="2">
        <v>1262</v>
      </c>
      <c r="Y425" s="2">
        <v>1025</v>
      </c>
      <c r="Z425" s="2">
        <v>0</v>
      </c>
      <c r="AA425" s="2">
        <v>0</v>
      </c>
      <c r="AC425" s="2">
        <v>954</v>
      </c>
      <c r="AD425" s="2">
        <v>614</v>
      </c>
      <c r="AE425" s="2">
        <v>478</v>
      </c>
      <c r="AF425" s="2">
        <v>347</v>
      </c>
      <c r="AG425" s="2">
        <v>0</v>
      </c>
      <c r="AI425" s="2">
        <v>0</v>
      </c>
      <c r="AJ425" s="2">
        <v>0</v>
      </c>
      <c r="AK425" s="2">
        <v>0</v>
      </c>
      <c r="AL425" s="2">
        <v>0</v>
      </c>
      <c r="AM425" s="2">
        <v>0</v>
      </c>
    </row>
    <row r="426" spans="1:39">
      <c r="A426" s="335">
        <v>94161</v>
      </c>
      <c r="B426" s="328" t="s">
        <v>1115</v>
      </c>
      <c r="C426" s="239">
        <v>4.8600000000000002E-5</v>
      </c>
      <c r="E426" s="2">
        <v>24551</v>
      </c>
      <c r="F426" s="2">
        <v>7915</v>
      </c>
      <c r="G426" s="2">
        <v>14233</v>
      </c>
      <c r="H426" s="2">
        <v>6909</v>
      </c>
      <c r="I426" s="2">
        <v>0</v>
      </c>
      <c r="K426" s="2">
        <v>7281</v>
      </c>
      <c r="L426" s="2">
        <v>6849</v>
      </c>
      <c r="M426" s="2">
        <v>6138</v>
      </c>
      <c r="N426" s="2">
        <v>2458</v>
      </c>
      <c r="O426" s="2">
        <v>0</v>
      </c>
      <c r="Q426" s="2">
        <v>7729</v>
      </c>
      <c r="R426" s="2">
        <v>-6649</v>
      </c>
      <c r="S426" s="2">
        <v>937</v>
      </c>
      <c r="T426" s="2">
        <v>1220</v>
      </c>
      <c r="U426" s="2">
        <v>0</v>
      </c>
      <c r="W426" s="2">
        <v>8707</v>
      </c>
      <c r="X426" s="2">
        <v>7133</v>
      </c>
      <c r="Y426" s="2">
        <v>5791</v>
      </c>
      <c r="Z426" s="2">
        <v>0</v>
      </c>
      <c r="AA426" s="2">
        <v>0</v>
      </c>
      <c r="AC426" s="2">
        <v>3484</v>
      </c>
      <c r="AD426" s="2">
        <v>3232</v>
      </c>
      <c r="AE426" s="2">
        <v>3232</v>
      </c>
      <c r="AF426" s="2">
        <v>3231</v>
      </c>
      <c r="AG426" s="2">
        <v>0</v>
      </c>
      <c r="AI426" s="2">
        <v>-2650</v>
      </c>
      <c r="AJ426" s="2">
        <v>-2650</v>
      </c>
      <c r="AK426" s="2">
        <v>-1865</v>
      </c>
      <c r="AL426" s="2">
        <v>0</v>
      </c>
      <c r="AM426" s="2">
        <v>0</v>
      </c>
    </row>
    <row r="427" spans="1:39">
      <c r="A427" s="335">
        <v>94168</v>
      </c>
      <c r="B427" s="328" t="s">
        <v>1116</v>
      </c>
      <c r="C427" s="239">
        <v>5.5099999999999998E-5</v>
      </c>
      <c r="E427" s="2">
        <v>29194</v>
      </c>
      <c r="F427" s="2">
        <v>11887</v>
      </c>
      <c r="G427" s="2">
        <v>18962</v>
      </c>
      <c r="H427" s="2">
        <v>4554</v>
      </c>
      <c r="I427" s="2">
        <v>0</v>
      </c>
      <c r="K427" s="2">
        <v>8254</v>
      </c>
      <c r="L427" s="2">
        <v>7765</v>
      </c>
      <c r="M427" s="2">
        <v>6959</v>
      </c>
      <c r="N427" s="2">
        <v>2786</v>
      </c>
      <c r="O427" s="2">
        <v>0</v>
      </c>
      <c r="Q427" s="2">
        <v>8763</v>
      </c>
      <c r="R427" s="2">
        <v>-7538</v>
      </c>
      <c r="S427" s="2">
        <v>1062</v>
      </c>
      <c r="T427" s="2">
        <v>1383</v>
      </c>
      <c r="U427" s="2">
        <v>0</v>
      </c>
      <c r="W427" s="2">
        <v>9872</v>
      </c>
      <c r="X427" s="2">
        <v>8087</v>
      </c>
      <c r="Y427" s="2">
        <v>6566</v>
      </c>
      <c r="Z427" s="2">
        <v>0</v>
      </c>
      <c r="AA427" s="2">
        <v>0</v>
      </c>
      <c r="AC427" s="2">
        <v>4373</v>
      </c>
      <c r="AD427" s="2">
        <v>4373</v>
      </c>
      <c r="AE427" s="2">
        <v>4375</v>
      </c>
      <c r="AF427" s="2">
        <v>385</v>
      </c>
      <c r="AG427" s="2">
        <v>0</v>
      </c>
      <c r="AI427" s="2">
        <v>-2068</v>
      </c>
      <c r="AJ427" s="2">
        <v>-800</v>
      </c>
      <c r="AK427" s="2">
        <v>0</v>
      </c>
      <c r="AL427" s="2">
        <v>0</v>
      </c>
      <c r="AM427" s="2">
        <v>0</v>
      </c>
    </row>
    <row r="428" spans="1:39">
      <c r="A428" s="335">
        <v>94171</v>
      </c>
      <c r="B428" s="328" t="s">
        <v>1117</v>
      </c>
      <c r="C428" s="239">
        <v>6.1799999999999998E-5</v>
      </c>
      <c r="E428" s="2">
        <v>28108</v>
      </c>
      <c r="F428" s="2">
        <v>7068</v>
      </c>
      <c r="G428" s="2">
        <v>12671</v>
      </c>
      <c r="H428" s="2">
        <v>530</v>
      </c>
      <c r="I428" s="2">
        <v>0</v>
      </c>
      <c r="K428" s="2">
        <v>9258</v>
      </c>
      <c r="L428" s="2">
        <v>8709</v>
      </c>
      <c r="M428" s="2">
        <v>7806</v>
      </c>
      <c r="N428" s="2">
        <v>3125</v>
      </c>
      <c r="O428" s="2">
        <v>0</v>
      </c>
      <c r="Q428" s="2">
        <v>9829</v>
      </c>
      <c r="R428" s="2">
        <v>-8455</v>
      </c>
      <c r="S428" s="2">
        <v>1192</v>
      </c>
      <c r="T428" s="2">
        <v>1551</v>
      </c>
      <c r="U428" s="2">
        <v>0</v>
      </c>
      <c r="W428" s="2">
        <v>11072</v>
      </c>
      <c r="X428" s="2">
        <v>9071</v>
      </c>
      <c r="Y428" s="2">
        <v>7364</v>
      </c>
      <c r="Z428" s="2">
        <v>0</v>
      </c>
      <c r="AA428" s="2">
        <v>0</v>
      </c>
      <c r="AC428" s="2">
        <v>2096</v>
      </c>
      <c r="AD428" s="2">
        <v>1890</v>
      </c>
      <c r="AE428" s="2">
        <v>456</v>
      </c>
      <c r="AF428" s="2">
        <v>0</v>
      </c>
      <c r="AG428" s="2">
        <v>0</v>
      </c>
      <c r="AI428" s="2">
        <v>-4147</v>
      </c>
      <c r="AJ428" s="2">
        <v>-4147</v>
      </c>
      <c r="AK428" s="2">
        <v>-4147</v>
      </c>
      <c r="AL428" s="2">
        <v>-4146</v>
      </c>
      <c r="AM428" s="2">
        <v>0</v>
      </c>
    </row>
    <row r="429" spans="1:39">
      <c r="A429" s="335">
        <v>94172</v>
      </c>
      <c r="B429" s="328" t="s">
        <v>1118</v>
      </c>
      <c r="C429" s="239">
        <v>2.8210000000000003E-4</v>
      </c>
      <c r="E429" s="2">
        <v>110304</v>
      </c>
      <c r="F429" s="2">
        <v>25952</v>
      </c>
      <c r="G429" s="2">
        <v>64585</v>
      </c>
      <c r="H429" s="2">
        <v>14475</v>
      </c>
      <c r="I429" s="2">
        <v>0</v>
      </c>
      <c r="K429" s="2">
        <v>42261</v>
      </c>
      <c r="L429" s="2">
        <v>39754</v>
      </c>
      <c r="M429" s="2">
        <v>35631</v>
      </c>
      <c r="N429" s="2">
        <v>14266</v>
      </c>
      <c r="O429" s="2">
        <v>0</v>
      </c>
      <c r="Q429" s="2">
        <v>44865</v>
      </c>
      <c r="R429" s="2">
        <v>-38593</v>
      </c>
      <c r="S429" s="2">
        <v>5439</v>
      </c>
      <c r="T429" s="2">
        <v>7079</v>
      </c>
      <c r="U429" s="2">
        <v>0</v>
      </c>
      <c r="W429" s="2">
        <v>50542</v>
      </c>
      <c r="X429" s="2">
        <v>41406</v>
      </c>
      <c r="Y429" s="2">
        <v>33614</v>
      </c>
      <c r="Z429" s="2">
        <v>0</v>
      </c>
      <c r="AA429" s="2">
        <v>0</v>
      </c>
      <c r="AC429" s="2">
        <v>0</v>
      </c>
      <c r="AD429" s="2">
        <v>0</v>
      </c>
      <c r="AE429" s="2">
        <v>0</v>
      </c>
      <c r="AF429" s="2">
        <v>0</v>
      </c>
      <c r="AG429" s="2">
        <v>0</v>
      </c>
      <c r="AI429" s="2">
        <v>-27364</v>
      </c>
      <c r="AJ429" s="2">
        <v>-16615</v>
      </c>
      <c r="AK429" s="2">
        <v>-10099</v>
      </c>
      <c r="AL429" s="2">
        <v>-6870</v>
      </c>
      <c r="AM429" s="2">
        <v>0</v>
      </c>
    </row>
    <row r="430" spans="1:39">
      <c r="A430" s="335">
        <v>94201</v>
      </c>
      <c r="B430" s="328" t="s">
        <v>1119</v>
      </c>
      <c r="C430" s="239">
        <v>3.2504999999999999E-3</v>
      </c>
      <c r="E430" s="2">
        <v>1567527</v>
      </c>
      <c r="F430" s="2">
        <v>467560</v>
      </c>
      <c r="G430" s="2">
        <v>854804</v>
      </c>
      <c r="H430" s="2">
        <v>248563</v>
      </c>
      <c r="I430" s="2">
        <v>0</v>
      </c>
      <c r="K430" s="2">
        <v>486948</v>
      </c>
      <c r="L430" s="2">
        <v>458060</v>
      </c>
      <c r="M430" s="2">
        <v>410554</v>
      </c>
      <c r="N430" s="2">
        <v>164381</v>
      </c>
      <c r="O430" s="2">
        <v>0</v>
      </c>
      <c r="Q430" s="2">
        <v>516963</v>
      </c>
      <c r="R430" s="2">
        <v>-444685</v>
      </c>
      <c r="S430" s="2">
        <v>62673</v>
      </c>
      <c r="T430" s="2">
        <v>81568</v>
      </c>
      <c r="U430" s="2">
        <v>0</v>
      </c>
      <c r="W430" s="2">
        <v>582366</v>
      </c>
      <c r="X430" s="2">
        <v>477095</v>
      </c>
      <c r="Y430" s="2">
        <v>387320</v>
      </c>
      <c r="Z430" s="2">
        <v>0</v>
      </c>
      <c r="AA430" s="2">
        <v>0</v>
      </c>
      <c r="AC430" s="2">
        <v>6776</v>
      </c>
      <c r="AD430" s="2">
        <v>2616</v>
      </c>
      <c r="AE430" s="2">
        <v>2616</v>
      </c>
      <c r="AF430" s="2">
        <v>2614</v>
      </c>
      <c r="AG430" s="2">
        <v>0</v>
      </c>
      <c r="AI430" s="2">
        <v>-25526</v>
      </c>
      <c r="AJ430" s="2">
        <v>-25526</v>
      </c>
      <c r="AK430" s="2">
        <v>-8359</v>
      </c>
      <c r="AL430" s="2">
        <v>0</v>
      </c>
      <c r="AM430" s="2">
        <v>0</v>
      </c>
    </row>
    <row r="431" spans="1:39">
      <c r="A431" s="335">
        <v>94204</v>
      </c>
      <c r="B431" s="328" t="s">
        <v>1120</v>
      </c>
      <c r="C431" s="239">
        <v>2.97E-5</v>
      </c>
      <c r="E431" s="2">
        <v>19118</v>
      </c>
      <c r="F431" s="2">
        <v>8089</v>
      </c>
      <c r="G431" s="2">
        <v>10197</v>
      </c>
      <c r="H431" s="2">
        <v>3308</v>
      </c>
      <c r="I431" s="2">
        <v>0</v>
      </c>
      <c r="K431" s="2">
        <v>4449</v>
      </c>
      <c r="L431" s="2">
        <v>4185</v>
      </c>
      <c r="M431" s="2">
        <v>3751</v>
      </c>
      <c r="N431" s="2">
        <v>1502</v>
      </c>
      <c r="O431" s="2">
        <v>0</v>
      </c>
      <c r="Q431" s="2">
        <v>4724</v>
      </c>
      <c r="R431" s="2">
        <v>-4063</v>
      </c>
      <c r="S431" s="2">
        <v>573</v>
      </c>
      <c r="T431" s="2">
        <v>745</v>
      </c>
      <c r="U431" s="2">
        <v>0</v>
      </c>
      <c r="W431" s="2">
        <v>5321</v>
      </c>
      <c r="X431" s="2">
        <v>4359</v>
      </c>
      <c r="Y431" s="2">
        <v>3539</v>
      </c>
      <c r="Z431" s="2">
        <v>0</v>
      </c>
      <c r="AA431" s="2">
        <v>0</v>
      </c>
      <c r="AC431" s="2">
        <v>4624</v>
      </c>
      <c r="AD431" s="2">
        <v>3608</v>
      </c>
      <c r="AE431" s="2">
        <v>2334</v>
      </c>
      <c r="AF431" s="2">
        <v>1061</v>
      </c>
      <c r="AG431" s="2">
        <v>0</v>
      </c>
      <c r="AI431" s="2">
        <v>0</v>
      </c>
      <c r="AJ431" s="2">
        <v>0</v>
      </c>
      <c r="AK431" s="2">
        <v>0</v>
      </c>
      <c r="AL431" s="2">
        <v>0</v>
      </c>
      <c r="AM431" s="2">
        <v>0</v>
      </c>
    </row>
    <row r="432" spans="1:39">
      <c r="A432" s="335">
        <v>94205</v>
      </c>
      <c r="B432" s="328" t="s">
        <v>1121</v>
      </c>
      <c r="C432" s="239">
        <v>1.6200000000000001E-5</v>
      </c>
      <c r="E432" s="2">
        <v>8091</v>
      </c>
      <c r="F432" s="2">
        <v>2436</v>
      </c>
      <c r="G432" s="2">
        <v>4706</v>
      </c>
      <c r="H432" s="2">
        <v>1511</v>
      </c>
      <c r="I432" s="2">
        <v>0</v>
      </c>
      <c r="K432" s="2">
        <v>2427</v>
      </c>
      <c r="L432" s="2">
        <v>2283</v>
      </c>
      <c r="M432" s="2">
        <v>2046</v>
      </c>
      <c r="N432" s="2">
        <v>819</v>
      </c>
      <c r="O432" s="2">
        <v>0</v>
      </c>
      <c r="Q432" s="2">
        <v>2576</v>
      </c>
      <c r="R432" s="2">
        <v>-2216</v>
      </c>
      <c r="S432" s="2">
        <v>312</v>
      </c>
      <c r="T432" s="2">
        <v>407</v>
      </c>
      <c r="U432" s="2">
        <v>0</v>
      </c>
      <c r="W432" s="2">
        <v>2902</v>
      </c>
      <c r="X432" s="2">
        <v>2378</v>
      </c>
      <c r="Y432" s="2">
        <v>1930</v>
      </c>
      <c r="Z432" s="2">
        <v>0</v>
      </c>
      <c r="AA432" s="2">
        <v>0</v>
      </c>
      <c r="AC432" s="2">
        <v>611</v>
      </c>
      <c r="AD432" s="2">
        <v>418</v>
      </c>
      <c r="AE432" s="2">
        <v>418</v>
      </c>
      <c r="AF432" s="2">
        <v>285</v>
      </c>
      <c r="AG432" s="2">
        <v>0</v>
      </c>
      <c r="AI432" s="2">
        <v>-425</v>
      </c>
      <c r="AJ432" s="2">
        <v>-427</v>
      </c>
      <c r="AK432" s="2">
        <v>0</v>
      </c>
      <c r="AL432" s="2">
        <v>0</v>
      </c>
      <c r="AM432" s="2">
        <v>0</v>
      </c>
    </row>
    <row r="433" spans="1:39">
      <c r="A433" s="335">
        <v>94209</v>
      </c>
      <c r="B433" s="328" t="s">
        <v>1122</v>
      </c>
      <c r="C433" s="239">
        <v>3.2519999999999999E-4</v>
      </c>
      <c r="E433" s="2">
        <v>156203</v>
      </c>
      <c r="F433" s="2">
        <v>48736</v>
      </c>
      <c r="G433" s="2">
        <v>83606</v>
      </c>
      <c r="H433" s="2">
        <v>26388</v>
      </c>
      <c r="I433" s="2">
        <v>0</v>
      </c>
      <c r="K433" s="2">
        <v>48717</v>
      </c>
      <c r="L433" s="2">
        <v>45827</v>
      </c>
      <c r="M433" s="2">
        <v>41074</v>
      </c>
      <c r="N433" s="2">
        <v>16446</v>
      </c>
      <c r="O433" s="2">
        <v>0</v>
      </c>
      <c r="Q433" s="2">
        <v>51720</v>
      </c>
      <c r="R433" s="2">
        <v>-44489</v>
      </c>
      <c r="S433" s="2">
        <v>6270</v>
      </c>
      <c r="T433" s="2">
        <v>8161</v>
      </c>
      <c r="U433" s="2">
        <v>0</v>
      </c>
      <c r="W433" s="2">
        <v>58263</v>
      </c>
      <c r="X433" s="2">
        <v>47732</v>
      </c>
      <c r="Y433" s="2">
        <v>38750</v>
      </c>
      <c r="Z433" s="2">
        <v>0</v>
      </c>
      <c r="AA433" s="2">
        <v>0</v>
      </c>
      <c r="AC433" s="2">
        <v>3934</v>
      </c>
      <c r="AD433" s="2">
        <v>3933</v>
      </c>
      <c r="AE433" s="2">
        <v>1780</v>
      </c>
      <c r="AF433" s="2">
        <v>1781</v>
      </c>
      <c r="AG433" s="2">
        <v>0</v>
      </c>
      <c r="AI433" s="2">
        <v>-6431</v>
      </c>
      <c r="AJ433" s="2">
        <v>-4267</v>
      </c>
      <c r="AK433" s="2">
        <v>-4268</v>
      </c>
      <c r="AL433" s="2">
        <v>0</v>
      </c>
      <c r="AM433" s="2">
        <v>0</v>
      </c>
    </row>
    <row r="434" spans="1:39">
      <c r="A434" s="335">
        <v>94211</v>
      </c>
      <c r="B434" s="328" t="s">
        <v>1123</v>
      </c>
      <c r="C434" s="239">
        <v>1.5359999999999999E-4</v>
      </c>
      <c r="E434" s="2">
        <v>76576</v>
      </c>
      <c r="F434" s="2">
        <v>24722</v>
      </c>
      <c r="G434" s="2">
        <v>40304</v>
      </c>
      <c r="H434" s="2">
        <v>9828</v>
      </c>
      <c r="I434" s="2">
        <v>0</v>
      </c>
      <c r="K434" s="2">
        <v>23010</v>
      </c>
      <c r="L434" s="2">
        <v>21645</v>
      </c>
      <c r="M434" s="2">
        <v>19400</v>
      </c>
      <c r="N434" s="2">
        <v>7768</v>
      </c>
      <c r="O434" s="2">
        <v>0</v>
      </c>
      <c r="Q434" s="2">
        <v>24429</v>
      </c>
      <c r="R434" s="2">
        <v>-21013</v>
      </c>
      <c r="S434" s="2">
        <v>2962</v>
      </c>
      <c r="T434" s="2">
        <v>3854</v>
      </c>
      <c r="U434" s="2">
        <v>0</v>
      </c>
      <c r="W434" s="2">
        <v>27519</v>
      </c>
      <c r="X434" s="2">
        <v>22545</v>
      </c>
      <c r="Y434" s="2">
        <v>18303</v>
      </c>
      <c r="Z434" s="2">
        <v>0</v>
      </c>
      <c r="AA434" s="2">
        <v>0</v>
      </c>
      <c r="AC434" s="2">
        <v>3411</v>
      </c>
      <c r="AD434" s="2">
        <v>3338</v>
      </c>
      <c r="AE434" s="2">
        <v>1432</v>
      </c>
      <c r="AF434" s="2">
        <v>0</v>
      </c>
      <c r="AG434" s="2">
        <v>0</v>
      </c>
      <c r="AI434" s="2">
        <v>-1793</v>
      </c>
      <c r="AJ434" s="2">
        <v>-1793</v>
      </c>
      <c r="AK434" s="2">
        <v>-1793</v>
      </c>
      <c r="AL434" s="2">
        <v>-1794</v>
      </c>
      <c r="AM434" s="2">
        <v>0</v>
      </c>
    </row>
    <row r="435" spans="1:39">
      <c r="A435" s="335">
        <v>94221</v>
      </c>
      <c r="B435" s="328" t="s">
        <v>1124</v>
      </c>
      <c r="C435" s="239">
        <v>9.8189999999999996E-4</v>
      </c>
      <c r="E435" s="2">
        <v>433955</v>
      </c>
      <c r="F435" s="2">
        <v>119602</v>
      </c>
      <c r="G435" s="2">
        <v>239874</v>
      </c>
      <c r="H435" s="2">
        <v>60122</v>
      </c>
      <c r="I435" s="2">
        <v>0</v>
      </c>
      <c r="K435" s="2">
        <v>147095</v>
      </c>
      <c r="L435" s="2">
        <v>138369</v>
      </c>
      <c r="M435" s="2">
        <v>124019</v>
      </c>
      <c r="N435" s="2">
        <v>49656</v>
      </c>
      <c r="O435" s="2">
        <v>0</v>
      </c>
      <c r="Q435" s="2">
        <v>156162</v>
      </c>
      <c r="R435" s="2">
        <v>-134329</v>
      </c>
      <c r="S435" s="2">
        <v>18932</v>
      </c>
      <c r="T435" s="2">
        <v>24640</v>
      </c>
      <c r="U435" s="2">
        <v>0</v>
      </c>
      <c r="W435" s="2">
        <v>175919</v>
      </c>
      <c r="X435" s="2">
        <v>144119</v>
      </c>
      <c r="Y435" s="2">
        <v>117000</v>
      </c>
      <c r="Z435" s="2">
        <v>0</v>
      </c>
      <c r="AA435" s="2">
        <v>0</v>
      </c>
      <c r="AC435" s="2">
        <v>0</v>
      </c>
      <c r="AD435" s="2">
        <v>0</v>
      </c>
      <c r="AE435" s="2">
        <v>0</v>
      </c>
      <c r="AF435" s="2">
        <v>0</v>
      </c>
      <c r="AG435" s="2">
        <v>0</v>
      </c>
      <c r="AI435" s="2">
        <v>-45221</v>
      </c>
      <c r="AJ435" s="2">
        <v>-28557</v>
      </c>
      <c r="AK435" s="2">
        <v>-20077</v>
      </c>
      <c r="AL435" s="2">
        <v>-14174</v>
      </c>
      <c r="AM435" s="2">
        <v>0</v>
      </c>
    </row>
    <row r="436" spans="1:39">
      <c r="A436" s="335">
        <v>94231</v>
      </c>
      <c r="B436" s="328" t="s">
        <v>1125</v>
      </c>
      <c r="C436" s="239">
        <v>1.485E-4</v>
      </c>
      <c r="E436" s="2">
        <v>58439</v>
      </c>
      <c r="F436" s="2">
        <v>7936</v>
      </c>
      <c r="G436" s="2">
        <v>23119</v>
      </c>
      <c r="H436" s="2">
        <v>1231</v>
      </c>
      <c r="I436" s="2">
        <v>0</v>
      </c>
      <c r="K436" s="2">
        <v>22246</v>
      </c>
      <c r="L436" s="2">
        <v>20927</v>
      </c>
      <c r="M436" s="2">
        <v>18756</v>
      </c>
      <c r="N436" s="2">
        <v>7510</v>
      </c>
      <c r="O436" s="2">
        <v>0</v>
      </c>
      <c r="Q436" s="2">
        <v>23618</v>
      </c>
      <c r="R436" s="2">
        <v>-20316</v>
      </c>
      <c r="S436" s="2">
        <v>2863</v>
      </c>
      <c r="T436" s="2">
        <v>3726</v>
      </c>
      <c r="U436" s="2">
        <v>0</v>
      </c>
      <c r="W436" s="2">
        <v>26606</v>
      </c>
      <c r="X436" s="2">
        <v>21796</v>
      </c>
      <c r="Y436" s="2">
        <v>17695</v>
      </c>
      <c r="Z436" s="2">
        <v>0</v>
      </c>
      <c r="AA436" s="2">
        <v>0</v>
      </c>
      <c r="AC436" s="2">
        <v>2162</v>
      </c>
      <c r="AD436" s="2">
        <v>1722</v>
      </c>
      <c r="AE436" s="2">
        <v>0</v>
      </c>
      <c r="AF436" s="2">
        <v>0</v>
      </c>
      <c r="AG436" s="2">
        <v>0</v>
      </c>
      <c r="AI436" s="2">
        <v>-16193</v>
      </c>
      <c r="AJ436" s="2">
        <v>-16193</v>
      </c>
      <c r="AK436" s="2">
        <v>-16195</v>
      </c>
      <c r="AL436" s="2">
        <v>-10005</v>
      </c>
      <c r="AM436" s="2">
        <v>0</v>
      </c>
    </row>
    <row r="437" spans="1:39">
      <c r="A437" s="335">
        <v>94241</v>
      </c>
      <c r="B437" s="328" t="s">
        <v>1126</v>
      </c>
      <c r="C437" s="239">
        <v>1.106E-4</v>
      </c>
      <c r="E437" s="2">
        <v>56592</v>
      </c>
      <c r="F437" s="2">
        <v>18892</v>
      </c>
      <c r="G437" s="2">
        <v>25312</v>
      </c>
      <c r="H437" s="2">
        <v>6100</v>
      </c>
      <c r="I437" s="2">
        <v>0</v>
      </c>
      <c r="K437" s="2">
        <v>16569</v>
      </c>
      <c r="L437" s="2">
        <v>15586</v>
      </c>
      <c r="M437" s="2">
        <v>13969</v>
      </c>
      <c r="N437" s="2">
        <v>5593</v>
      </c>
      <c r="O437" s="2">
        <v>0</v>
      </c>
      <c r="Q437" s="2">
        <v>17590</v>
      </c>
      <c r="R437" s="2">
        <v>-15131</v>
      </c>
      <c r="S437" s="2">
        <v>2132</v>
      </c>
      <c r="T437" s="2">
        <v>2775</v>
      </c>
      <c r="U437" s="2">
        <v>0</v>
      </c>
      <c r="W437" s="2">
        <v>19815</v>
      </c>
      <c r="X437" s="2">
        <v>16233</v>
      </c>
      <c r="Y437" s="2">
        <v>13179</v>
      </c>
      <c r="Z437" s="2">
        <v>0</v>
      </c>
      <c r="AA437" s="2">
        <v>0</v>
      </c>
      <c r="AC437" s="2">
        <v>6586</v>
      </c>
      <c r="AD437" s="2">
        <v>6172</v>
      </c>
      <c r="AE437" s="2">
        <v>0</v>
      </c>
      <c r="AF437" s="2">
        <v>0</v>
      </c>
      <c r="AG437" s="2">
        <v>0</v>
      </c>
      <c r="AI437" s="2">
        <v>-3968</v>
      </c>
      <c r="AJ437" s="2">
        <v>-3968</v>
      </c>
      <c r="AK437" s="2">
        <v>-3968</v>
      </c>
      <c r="AL437" s="2">
        <v>-2268</v>
      </c>
      <c r="AM437" s="2">
        <v>0</v>
      </c>
    </row>
    <row r="438" spans="1:39">
      <c r="A438" s="335">
        <v>94251</v>
      </c>
      <c r="B438" s="328" t="s">
        <v>1127</v>
      </c>
      <c r="C438" s="239">
        <v>1.7799999999999999E-5</v>
      </c>
      <c r="E438" s="2">
        <v>8729</v>
      </c>
      <c r="F438" s="2">
        <v>3662</v>
      </c>
      <c r="G438" s="2">
        <v>4863</v>
      </c>
      <c r="H438" s="2">
        <v>1763</v>
      </c>
      <c r="I438" s="2">
        <v>0</v>
      </c>
      <c r="K438" s="2">
        <v>2667</v>
      </c>
      <c r="L438" s="2">
        <v>2508</v>
      </c>
      <c r="M438" s="2">
        <v>2248</v>
      </c>
      <c r="N438" s="2">
        <v>900</v>
      </c>
      <c r="O438" s="2">
        <v>0</v>
      </c>
      <c r="Q438" s="2">
        <v>2831</v>
      </c>
      <c r="R438" s="2">
        <v>-2435</v>
      </c>
      <c r="S438" s="2">
        <v>343</v>
      </c>
      <c r="T438" s="2">
        <v>447</v>
      </c>
      <c r="U438" s="2">
        <v>0</v>
      </c>
      <c r="W438" s="2">
        <v>3189</v>
      </c>
      <c r="X438" s="2">
        <v>2613</v>
      </c>
      <c r="Y438" s="2">
        <v>2121</v>
      </c>
      <c r="Z438" s="2">
        <v>0</v>
      </c>
      <c r="AA438" s="2">
        <v>0</v>
      </c>
      <c r="AC438" s="2">
        <v>1238</v>
      </c>
      <c r="AD438" s="2">
        <v>1240</v>
      </c>
      <c r="AE438" s="2">
        <v>416</v>
      </c>
      <c r="AF438" s="2">
        <v>416</v>
      </c>
      <c r="AG438" s="2">
        <v>0</v>
      </c>
      <c r="AI438" s="2">
        <v>-1196</v>
      </c>
      <c r="AJ438" s="2">
        <v>-264</v>
      </c>
      <c r="AK438" s="2">
        <v>-265</v>
      </c>
      <c r="AL438" s="2">
        <v>0</v>
      </c>
      <c r="AM438" s="2">
        <v>0</v>
      </c>
    </row>
    <row r="439" spans="1:39">
      <c r="A439" s="335">
        <v>94261</v>
      </c>
      <c r="B439" s="328" t="s">
        <v>1128</v>
      </c>
      <c r="C439" s="239">
        <v>4.6600000000000001E-5</v>
      </c>
      <c r="E439" s="2">
        <v>27813</v>
      </c>
      <c r="F439" s="2">
        <v>10300</v>
      </c>
      <c r="G439" s="2">
        <v>13836</v>
      </c>
      <c r="H439" s="2">
        <v>5221</v>
      </c>
      <c r="I439" s="2">
        <v>0</v>
      </c>
      <c r="K439" s="2">
        <v>6981</v>
      </c>
      <c r="L439" s="2">
        <v>6567</v>
      </c>
      <c r="M439" s="2">
        <v>5886</v>
      </c>
      <c r="N439" s="2">
        <v>2357</v>
      </c>
      <c r="O439" s="2">
        <v>0</v>
      </c>
      <c r="Q439" s="2">
        <v>7411</v>
      </c>
      <c r="R439" s="2">
        <v>-6375</v>
      </c>
      <c r="S439" s="2">
        <v>898</v>
      </c>
      <c r="T439" s="2">
        <v>1169</v>
      </c>
      <c r="U439" s="2">
        <v>0</v>
      </c>
      <c r="W439" s="2">
        <v>8349</v>
      </c>
      <c r="X439" s="2">
        <v>6840</v>
      </c>
      <c r="Y439" s="2">
        <v>5553</v>
      </c>
      <c r="Z439" s="2">
        <v>0</v>
      </c>
      <c r="AA439" s="2">
        <v>0</v>
      </c>
      <c r="AC439" s="2">
        <v>5270</v>
      </c>
      <c r="AD439" s="2">
        <v>3466</v>
      </c>
      <c r="AE439" s="2">
        <v>1695</v>
      </c>
      <c r="AF439" s="2">
        <v>1695</v>
      </c>
      <c r="AG439" s="2">
        <v>0</v>
      </c>
      <c r="AI439" s="2">
        <v>-198</v>
      </c>
      <c r="AJ439" s="2">
        <v>-198</v>
      </c>
      <c r="AK439" s="2">
        <v>-196</v>
      </c>
      <c r="AL439" s="2">
        <v>0</v>
      </c>
      <c r="AM439" s="2">
        <v>0</v>
      </c>
    </row>
    <row r="440" spans="1:39">
      <c r="A440" s="335">
        <v>94301</v>
      </c>
      <c r="B440" s="328" t="s">
        <v>1129</v>
      </c>
      <c r="C440" s="239">
        <v>6.3099000000000002E-3</v>
      </c>
      <c r="E440" s="2">
        <v>3050936</v>
      </c>
      <c r="F440" s="2">
        <v>944035</v>
      </c>
      <c r="G440" s="2">
        <v>1643282</v>
      </c>
      <c r="H440" s="2">
        <v>449028</v>
      </c>
      <c r="I440" s="2">
        <v>0</v>
      </c>
      <c r="K440" s="2">
        <v>945267</v>
      </c>
      <c r="L440" s="2">
        <v>889191</v>
      </c>
      <c r="M440" s="2">
        <v>796972</v>
      </c>
      <c r="N440" s="2">
        <v>319098</v>
      </c>
      <c r="O440" s="2">
        <v>0</v>
      </c>
      <c r="Q440" s="2">
        <v>1003533</v>
      </c>
      <c r="R440" s="2">
        <v>-863226</v>
      </c>
      <c r="S440" s="2">
        <v>121661</v>
      </c>
      <c r="T440" s="2">
        <v>158341</v>
      </c>
      <c r="U440" s="2">
        <v>0</v>
      </c>
      <c r="W440" s="2">
        <v>1130494</v>
      </c>
      <c r="X440" s="2">
        <v>926142</v>
      </c>
      <c r="Y440" s="2">
        <v>751869</v>
      </c>
      <c r="Z440" s="2">
        <v>0</v>
      </c>
      <c r="AA440" s="2">
        <v>0</v>
      </c>
      <c r="AC440" s="2">
        <v>20337</v>
      </c>
      <c r="AD440" s="2">
        <v>20338</v>
      </c>
      <c r="AE440" s="2">
        <v>1190</v>
      </c>
      <c r="AF440" s="2">
        <v>0</v>
      </c>
      <c r="AG440" s="2">
        <v>0</v>
      </c>
      <c r="AI440" s="2">
        <v>-48695</v>
      </c>
      <c r="AJ440" s="2">
        <v>-28410</v>
      </c>
      <c r="AK440" s="2">
        <v>-28410</v>
      </c>
      <c r="AL440" s="2">
        <v>-28411</v>
      </c>
      <c r="AM440" s="2">
        <v>0</v>
      </c>
    </row>
    <row r="441" spans="1:39">
      <c r="A441" s="335">
        <v>94311</v>
      </c>
      <c r="B441" s="328" t="s">
        <v>1130</v>
      </c>
      <c r="C441" s="239">
        <v>7.7700000000000002E-4</v>
      </c>
      <c r="E441" s="2">
        <v>378009</v>
      </c>
      <c r="F441" s="2">
        <v>126032</v>
      </c>
      <c r="G441" s="2">
        <v>208650</v>
      </c>
      <c r="H441" s="2">
        <v>67676</v>
      </c>
      <c r="I441" s="2">
        <v>0</v>
      </c>
      <c r="K441" s="2">
        <v>116400</v>
      </c>
      <c r="L441" s="2">
        <v>109495</v>
      </c>
      <c r="M441" s="2">
        <v>98139</v>
      </c>
      <c r="N441" s="2">
        <v>39294</v>
      </c>
      <c r="O441" s="2">
        <v>0</v>
      </c>
      <c r="Q441" s="2">
        <v>123575</v>
      </c>
      <c r="R441" s="2">
        <v>-106297</v>
      </c>
      <c r="S441" s="2">
        <v>14981</v>
      </c>
      <c r="T441" s="2">
        <v>19498</v>
      </c>
      <c r="U441" s="2">
        <v>0</v>
      </c>
      <c r="W441" s="2">
        <v>139209</v>
      </c>
      <c r="X441" s="2">
        <v>114045</v>
      </c>
      <c r="Y441" s="2">
        <v>92585</v>
      </c>
      <c r="Z441" s="2">
        <v>0</v>
      </c>
      <c r="AA441" s="2">
        <v>0</v>
      </c>
      <c r="AC441" s="2">
        <v>14726</v>
      </c>
      <c r="AD441" s="2">
        <v>14728</v>
      </c>
      <c r="AE441" s="2">
        <v>8884</v>
      </c>
      <c r="AF441" s="2">
        <v>8884</v>
      </c>
      <c r="AG441" s="2">
        <v>0</v>
      </c>
      <c r="AI441" s="2">
        <v>-15901</v>
      </c>
      <c r="AJ441" s="2">
        <v>-5939</v>
      </c>
      <c r="AK441" s="2">
        <v>-5939</v>
      </c>
      <c r="AL441" s="2">
        <v>0</v>
      </c>
      <c r="AM441" s="2">
        <v>0</v>
      </c>
    </row>
    <row r="442" spans="1:39">
      <c r="A442" s="335">
        <v>94313</v>
      </c>
      <c r="B442" s="328" t="s">
        <v>1131</v>
      </c>
      <c r="C442" s="239">
        <v>1.4399999999999999E-5</v>
      </c>
      <c r="E442" s="2">
        <v>9684</v>
      </c>
      <c r="F442" s="2">
        <v>3872</v>
      </c>
      <c r="G442" s="2">
        <v>4961</v>
      </c>
      <c r="H442" s="2">
        <v>988</v>
      </c>
      <c r="I442" s="2">
        <v>0</v>
      </c>
      <c r="K442" s="2">
        <v>2157</v>
      </c>
      <c r="L442" s="2">
        <v>2029</v>
      </c>
      <c r="M442" s="2">
        <v>1819</v>
      </c>
      <c r="N442" s="2">
        <v>728</v>
      </c>
      <c r="O442" s="2">
        <v>0</v>
      </c>
      <c r="Q442" s="2">
        <v>2290</v>
      </c>
      <c r="R442" s="2">
        <v>-1970</v>
      </c>
      <c r="S442" s="2">
        <v>278</v>
      </c>
      <c r="T442" s="2">
        <v>361</v>
      </c>
      <c r="U442" s="2">
        <v>0</v>
      </c>
      <c r="W442" s="2">
        <v>2580</v>
      </c>
      <c r="X442" s="2">
        <v>2114</v>
      </c>
      <c r="Y442" s="2">
        <v>1716</v>
      </c>
      <c r="Z442" s="2">
        <v>0</v>
      </c>
      <c r="AA442" s="2">
        <v>0</v>
      </c>
      <c r="AC442" s="2">
        <v>2759</v>
      </c>
      <c r="AD442" s="2">
        <v>1801</v>
      </c>
      <c r="AE442" s="2">
        <v>1250</v>
      </c>
      <c r="AF442" s="2">
        <v>0</v>
      </c>
      <c r="AG442" s="2">
        <v>0</v>
      </c>
      <c r="AI442" s="2">
        <v>-102</v>
      </c>
      <c r="AJ442" s="2">
        <v>-102</v>
      </c>
      <c r="AK442" s="2">
        <v>-102</v>
      </c>
      <c r="AL442" s="2">
        <v>-101</v>
      </c>
      <c r="AM442" s="2">
        <v>0</v>
      </c>
    </row>
    <row r="443" spans="1:39">
      <c r="A443" s="335">
        <v>94317</v>
      </c>
      <c r="B443" s="328" t="s">
        <v>1132</v>
      </c>
      <c r="C443" s="239">
        <v>1.0699999999999999E-5</v>
      </c>
      <c r="E443" s="2">
        <v>8557</v>
      </c>
      <c r="F443" s="2">
        <v>4276</v>
      </c>
      <c r="G443" s="2">
        <v>4687</v>
      </c>
      <c r="H443" s="2">
        <v>1739</v>
      </c>
      <c r="I443" s="2">
        <v>0</v>
      </c>
      <c r="K443" s="2">
        <v>1603</v>
      </c>
      <c r="L443" s="2">
        <v>1508</v>
      </c>
      <c r="M443" s="2">
        <v>1351</v>
      </c>
      <c r="N443" s="2">
        <v>541</v>
      </c>
      <c r="O443" s="2">
        <v>0</v>
      </c>
      <c r="Q443" s="2">
        <v>1702</v>
      </c>
      <c r="R443" s="2">
        <v>-1464</v>
      </c>
      <c r="S443" s="2">
        <v>206</v>
      </c>
      <c r="T443" s="2">
        <v>269</v>
      </c>
      <c r="U443" s="2">
        <v>0</v>
      </c>
      <c r="W443" s="2">
        <v>1917</v>
      </c>
      <c r="X443" s="2">
        <v>1571</v>
      </c>
      <c r="Y443" s="2">
        <v>1275</v>
      </c>
      <c r="Z443" s="2">
        <v>0</v>
      </c>
      <c r="AA443" s="2">
        <v>0</v>
      </c>
      <c r="AC443" s="2">
        <v>3335</v>
      </c>
      <c r="AD443" s="2">
        <v>2661</v>
      </c>
      <c r="AE443" s="2">
        <v>1855</v>
      </c>
      <c r="AF443" s="2">
        <v>929</v>
      </c>
      <c r="AG443" s="2">
        <v>0</v>
      </c>
      <c r="AI443" s="2">
        <v>0</v>
      </c>
      <c r="AJ443" s="2">
        <v>0</v>
      </c>
      <c r="AK443" s="2">
        <v>0</v>
      </c>
      <c r="AL443" s="2">
        <v>0</v>
      </c>
      <c r="AM443" s="2">
        <v>0</v>
      </c>
    </row>
    <row r="444" spans="1:39">
      <c r="A444" s="335">
        <v>94321</v>
      </c>
      <c r="B444" s="328" t="s">
        <v>1133</v>
      </c>
      <c r="C444" s="239">
        <v>2.8079999999999999E-4</v>
      </c>
      <c r="E444" s="2">
        <v>129151</v>
      </c>
      <c r="F444" s="2">
        <v>37638</v>
      </c>
      <c r="G444" s="2">
        <v>70858</v>
      </c>
      <c r="H444" s="2">
        <v>20477</v>
      </c>
      <c r="I444" s="2">
        <v>0</v>
      </c>
      <c r="K444" s="2">
        <v>42066</v>
      </c>
      <c r="L444" s="2">
        <v>39570</v>
      </c>
      <c r="M444" s="2">
        <v>35466</v>
      </c>
      <c r="N444" s="2">
        <v>14200</v>
      </c>
      <c r="O444" s="2">
        <v>0</v>
      </c>
      <c r="Q444" s="2">
        <v>44659</v>
      </c>
      <c r="R444" s="2">
        <v>-38415</v>
      </c>
      <c r="S444" s="2">
        <v>5414</v>
      </c>
      <c r="T444" s="2">
        <v>7046</v>
      </c>
      <c r="U444" s="2">
        <v>0</v>
      </c>
      <c r="W444" s="2">
        <v>50309</v>
      </c>
      <c r="X444" s="2">
        <v>41215</v>
      </c>
      <c r="Y444" s="2">
        <v>33459</v>
      </c>
      <c r="Z444" s="2">
        <v>0</v>
      </c>
      <c r="AA444" s="2">
        <v>0</v>
      </c>
      <c r="AC444" s="2">
        <v>0</v>
      </c>
      <c r="AD444" s="2">
        <v>0</v>
      </c>
      <c r="AE444" s="2">
        <v>0</v>
      </c>
      <c r="AF444" s="2">
        <v>0</v>
      </c>
      <c r="AG444" s="2">
        <v>0</v>
      </c>
      <c r="AI444" s="2">
        <v>-7883</v>
      </c>
      <c r="AJ444" s="2">
        <v>-4732</v>
      </c>
      <c r="AK444" s="2">
        <v>-3481</v>
      </c>
      <c r="AL444" s="2">
        <v>-769</v>
      </c>
      <c r="AM444" s="2">
        <v>0</v>
      </c>
    </row>
    <row r="445" spans="1:39">
      <c r="A445" s="335">
        <v>94331</v>
      </c>
      <c r="B445" s="328" t="s">
        <v>1134</v>
      </c>
      <c r="C445" s="239">
        <v>1.5190000000000001E-4</v>
      </c>
      <c r="E445" s="2">
        <v>74019</v>
      </c>
      <c r="F445" s="2">
        <v>24201</v>
      </c>
      <c r="G445" s="2">
        <v>42981</v>
      </c>
      <c r="H445" s="2">
        <v>9663</v>
      </c>
      <c r="I445" s="2">
        <v>0</v>
      </c>
      <c r="K445" s="2">
        <v>22756</v>
      </c>
      <c r="L445" s="2">
        <v>21406</v>
      </c>
      <c r="M445" s="2">
        <v>19186</v>
      </c>
      <c r="N445" s="2">
        <v>7682</v>
      </c>
      <c r="O445" s="2">
        <v>0</v>
      </c>
      <c r="Q445" s="2">
        <v>24158</v>
      </c>
      <c r="R445" s="2">
        <v>-20781</v>
      </c>
      <c r="S445" s="2">
        <v>2929</v>
      </c>
      <c r="T445" s="2">
        <v>3812</v>
      </c>
      <c r="U445" s="2">
        <v>0</v>
      </c>
      <c r="W445" s="2">
        <v>27215</v>
      </c>
      <c r="X445" s="2">
        <v>22295</v>
      </c>
      <c r="Y445" s="2">
        <v>18100</v>
      </c>
      <c r="Z445" s="2">
        <v>0</v>
      </c>
      <c r="AA445" s="2">
        <v>0</v>
      </c>
      <c r="AC445" s="2">
        <v>4593</v>
      </c>
      <c r="AD445" s="2">
        <v>4593</v>
      </c>
      <c r="AE445" s="2">
        <v>4595</v>
      </c>
      <c r="AF445" s="2">
        <v>0</v>
      </c>
      <c r="AG445" s="2">
        <v>0</v>
      </c>
      <c r="AI445" s="2">
        <v>-4703</v>
      </c>
      <c r="AJ445" s="2">
        <v>-3312</v>
      </c>
      <c r="AK445" s="2">
        <v>-1829</v>
      </c>
      <c r="AL445" s="2">
        <v>-1831</v>
      </c>
      <c r="AM445" s="2">
        <v>0</v>
      </c>
    </row>
    <row r="446" spans="1:39">
      <c r="A446" s="335">
        <v>94341</v>
      </c>
      <c r="B446" s="328" t="s">
        <v>1135</v>
      </c>
      <c r="C446" s="239">
        <v>9.8800000000000003E-5</v>
      </c>
      <c r="E446" s="2">
        <v>47569</v>
      </c>
      <c r="F446" s="2">
        <v>15400</v>
      </c>
      <c r="G446" s="2">
        <v>25339</v>
      </c>
      <c r="H446" s="2">
        <v>9126</v>
      </c>
      <c r="I446" s="2">
        <v>0</v>
      </c>
      <c r="K446" s="2">
        <v>14801</v>
      </c>
      <c r="L446" s="2">
        <v>13923</v>
      </c>
      <c r="M446" s="2">
        <v>12479</v>
      </c>
      <c r="N446" s="2">
        <v>4996</v>
      </c>
      <c r="O446" s="2">
        <v>0</v>
      </c>
      <c r="Q446" s="2">
        <v>15713</v>
      </c>
      <c r="R446" s="2">
        <v>-13516</v>
      </c>
      <c r="S446" s="2">
        <v>1905</v>
      </c>
      <c r="T446" s="2">
        <v>2479</v>
      </c>
      <c r="U446" s="2">
        <v>0</v>
      </c>
      <c r="W446" s="2">
        <v>17701</v>
      </c>
      <c r="X446" s="2">
        <v>14501</v>
      </c>
      <c r="Y446" s="2">
        <v>11773</v>
      </c>
      <c r="Z446" s="2">
        <v>0</v>
      </c>
      <c r="AA446" s="2">
        <v>0</v>
      </c>
      <c r="AC446" s="2">
        <v>2957</v>
      </c>
      <c r="AD446" s="2">
        <v>2958</v>
      </c>
      <c r="AE446" s="2">
        <v>1649</v>
      </c>
      <c r="AF446" s="2">
        <v>1651</v>
      </c>
      <c r="AG446" s="2">
        <v>0</v>
      </c>
      <c r="AI446" s="2">
        <v>-3603</v>
      </c>
      <c r="AJ446" s="2">
        <v>-2466</v>
      </c>
      <c r="AK446" s="2">
        <v>-2467</v>
      </c>
      <c r="AL446" s="2">
        <v>0</v>
      </c>
      <c r="AM446" s="2">
        <v>0</v>
      </c>
    </row>
    <row r="447" spans="1:39">
      <c r="A447" s="335">
        <v>94347</v>
      </c>
      <c r="B447" s="328" t="s">
        <v>1136</v>
      </c>
      <c r="C447" s="239">
        <v>1.17E-5</v>
      </c>
      <c r="E447" s="2">
        <v>7795</v>
      </c>
      <c r="F447" s="2">
        <v>3608</v>
      </c>
      <c r="G447" s="2">
        <v>4339</v>
      </c>
      <c r="H447" s="2">
        <v>2362</v>
      </c>
      <c r="I447" s="2">
        <v>0</v>
      </c>
      <c r="K447" s="2">
        <v>1753</v>
      </c>
      <c r="L447" s="2">
        <v>1649</v>
      </c>
      <c r="M447" s="2">
        <v>1478</v>
      </c>
      <c r="N447" s="2">
        <v>592</v>
      </c>
      <c r="O447" s="2">
        <v>0</v>
      </c>
      <c r="Q447" s="2">
        <v>1861</v>
      </c>
      <c r="R447" s="2">
        <v>-1601</v>
      </c>
      <c r="S447" s="2">
        <v>226</v>
      </c>
      <c r="T447" s="2">
        <v>294</v>
      </c>
      <c r="U447" s="2">
        <v>0</v>
      </c>
      <c r="W447" s="2">
        <v>2096</v>
      </c>
      <c r="X447" s="2">
        <v>1717</v>
      </c>
      <c r="Y447" s="2">
        <v>1394</v>
      </c>
      <c r="Z447" s="2">
        <v>0</v>
      </c>
      <c r="AA447" s="2">
        <v>0</v>
      </c>
      <c r="AC447" s="2">
        <v>2322</v>
      </c>
      <c r="AD447" s="2">
        <v>2080</v>
      </c>
      <c r="AE447" s="2">
        <v>1478</v>
      </c>
      <c r="AF447" s="2">
        <v>1476</v>
      </c>
      <c r="AG447" s="2">
        <v>0</v>
      </c>
      <c r="AI447" s="2">
        <v>-237</v>
      </c>
      <c r="AJ447" s="2">
        <v>-237</v>
      </c>
      <c r="AK447" s="2">
        <v>-237</v>
      </c>
      <c r="AL447" s="2">
        <v>0</v>
      </c>
      <c r="AM447" s="2">
        <v>0</v>
      </c>
    </row>
    <row r="448" spans="1:39">
      <c r="A448" s="335">
        <v>94351</v>
      </c>
      <c r="B448" s="328" t="s">
        <v>1137</v>
      </c>
      <c r="C448" s="239">
        <v>2.2680000000000001E-4</v>
      </c>
      <c r="E448" s="2">
        <v>104589</v>
      </c>
      <c r="F448" s="2">
        <v>28487</v>
      </c>
      <c r="G448" s="2">
        <v>54780</v>
      </c>
      <c r="H448" s="2">
        <v>12996</v>
      </c>
      <c r="I448" s="2">
        <v>0</v>
      </c>
      <c r="K448" s="2">
        <v>33976</v>
      </c>
      <c r="L448" s="2">
        <v>31961</v>
      </c>
      <c r="M448" s="2">
        <v>28646</v>
      </c>
      <c r="N448" s="2">
        <v>11470</v>
      </c>
      <c r="O448" s="2">
        <v>0</v>
      </c>
      <c r="Q448" s="2">
        <v>36070</v>
      </c>
      <c r="R448" s="2">
        <v>-31027</v>
      </c>
      <c r="S448" s="2">
        <v>4373</v>
      </c>
      <c r="T448" s="2">
        <v>5691</v>
      </c>
      <c r="U448" s="2">
        <v>0</v>
      </c>
      <c r="W448" s="2">
        <v>40634</v>
      </c>
      <c r="X448" s="2">
        <v>33289</v>
      </c>
      <c r="Y448" s="2">
        <v>27025</v>
      </c>
      <c r="Z448" s="2">
        <v>0</v>
      </c>
      <c r="AA448" s="2">
        <v>0</v>
      </c>
      <c r="AC448" s="2">
        <v>0</v>
      </c>
      <c r="AD448" s="2">
        <v>0</v>
      </c>
      <c r="AE448" s="2">
        <v>0</v>
      </c>
      <c r="AF448" s="2">
        <v>0</v>
      </c>
      <c r="AG448" s="2">
        <v>0</v>
      </c>
      <c r="AI448" s="2">
        <v>-6091</v>
      </c>
      <c r="AJ448" s="2">
        <v>-5736</v>
      </c>
      <c r="AK448" s="2">
        <v>-5264</v>
      </c>
      <c r="AL448" s="2">
        <v>-4165</v>
      </c>
      <c r="AM448" s="2">
        <v>0</v>
      </c>
    </row>
    <row r="449" spans="1:39">
      <c r="A449" s="335">
        <v>94401</v>
      </c>
      <c r="B449" s="328" t="s">
        <v>1138</v>
      </c>
      <c r="C449" s="239">
        <v>3.4440999999999999E-3</v>
      </c>
      <c r="E449" s="2">
        <v>1687858</v>
      </c>
      <c r="F449" s="2">
        <v>524494</v>
      </c>
      <c r="G449" s="2">
        <v>937475</v>
      </c>
      <c r="H449" s="2">
        <v>284005</v>
      </c>
      <c r="I449" s="2">
        <v>0</v>
      </c>
      <c r="K449" s="2">
        <v>515950</v>
      </c>
      <c r="L449" s="2">
        <v>485343</v>
      </c>
      <c r="M449" s="2">
        <v>435007</v>
      </c>
      <c r="N449" s="2">
        <v>174172</v>
      </c>
      <c r="O449" s="2">
        <v>0</v>
      </c>
      <c r="Q449" s="2">
        <v>547753</v>
      </c>
      <c r="R449" s="2">
        <v>-471170</v>
      </c>
      <c r="S449" s="2">
        <v>66406</v>
      </c>
      <c r="T449" s="2">
        <v>86426</v>
      </c>
      <c r="U449" s="2">
        <v>0</v>
      </c>
      <c r="W449" s="2">
        <v>617052</v>
      </c>
      <c r="X449" s="2">
        <v>505511</v>
      </c>
      <c r="Y449" s="2">
        <v>410389</v>
      </c>
      <c r="Z449" s="2">
        <v>0</v>
      </c>
      <c r="AA449" s="2">
        <v>0</v>
      </c>
      <c r="AC449" s="2">
        <v>27968</v>
      </c>
      <c r="AD449" s="2">
        <v>25674</v>
      </c>
      <c r="AE449" s="2">
        <v>25673</v>
      </c>
      <c r="AF449" s="2">
        <v>23407</v>
      </c>
      <c r="AG449" s="2">
        <v>0</v>
      </c>
      <c r="AI449" s="2">
        <v>-20865</v>
      </c>
      <c r="AJ449" s="2">
        <v>-20864</v>
      </c>
      <c r="AK449" s="2">
        <v>0</v>
      </c>
      <c r="AL449" s="2">
        <v>0</v>
      </c>
      <c r="AM449" s="2">
        <v>0</v>
      </c>
    </row>
    <row r="450" spans="1:39">
      <c r="A450" s="335">
        <v>94403</v>
      </c>
      <c r="B450" s="328" t="s">
        <v>1140</v>
      </c>
      <c r="C450" s="239">
        <v>3.7400000000000001E-5</v>
      </c>
      <c r="E450" s="2">
        <v>24908</v>
      </c>
      <c r="F450" s="2">
        <v>12298</v>
      </c>
      <c r="G450" s="2">
        <v>12899</v>
      </c>
      <c r="H450" s="2">
        <v>3866</v>
      </c>
      <c r="I450" s="2">
        <v>0</v>
      </c>
      <c r="K450" s="2">
        <v>5603</v>
      </c>
      <c r="L450" s="2">
        <v>5270</v>
      </c>
      <c r="M450" s="2">
        <v>4724</v>
      </c>
      <c r="N450" s="2">
        <v>1891</v>
      </c>
      <c r="O450" s="2">
        <v>0</v>
      </c>
      <c r="Q450" s="2">
        <v>5948</v>
      </c>
      <c r="R450" s="2">
        <v>-5117</v>
      </c>
      <c r="S450" s="2">
        <v>721</v>
      </c>
      <c r="T450" s="2">
        <v>939</v>
      </c>
      <c r="U450" s="2">
        <v>0</v>
      </c>
      <c r="W450" s="2">
        <v>6701</v>
      </c>
      <c r="X450" s="2">
        <v>5489</v>
      </c>
      <c r="Y450" s="2">
        <v>4456</v>
      </c>
      <c r="Z450" s="2">
        <v>0</v>
      </c>
      <c r="AA450" s="2">
        <v>0</v>
      </c>
      <c r="AC450" s="2">
        <v>6656</v>
      </c>
      <c r="AD450" s="2">
        <v>6656</v>
      </c>
      <c r="AE450" s="2">
        <v>2998</v>
      </c>
      <c r="AF450" s="2">
        <v>1036</v>
      </c>
      <c r="AG450" s="2">
        <v>0</v>
      </c>
      <c r="AI450" s="2">
        <v>0</v>
      </c>
      <c r="AJ450" s="2">
        <v>0</v>
      </c>
      <c r="AK450" s="2">
        <v>0</v>
      </c>
      <c r="AL450" s="2">
        <v>0</v>
      </c>
      <c r="AM450" s="2">
        <v>0</v>
      </c>
    </row>
    <row r="451" spans="1:39">
      <c r="A451" s="335">
        <v>94408</v>
      </c>
      <c r="B451" s="328" t="s">
        <v>1141</v>
      </c>
      <c r="C451" s="239">
        <v>6.2000000000000003E-5</v>
      </c>
      <c r="E451" s="2">
        <v>33738</v>
      </c>
      <c r="F451" s="2">
        <v>10770</v>
      </c>
      <c r="G451" s="2">
        <v>18390</v>
      </c>
      <c r="H451" s="2">
        <v>6937</v>
      </c>
      <c r="I451" s="2">
        <v>0</v>
      </c>
      <c r="K451" s="2">
        <v>9288</v>
      </c>
      <c r="L451" s="2">
        <v>8737</v>
      </c>
      <c r="M451" s="2">
        <v>7831</v>
      </c>
      <c r="N451" s="2">
        <v>3135</v>
      </c>
      <c r="O451" s="2">
        <v>0</v>
      </c>
      <c r="Q451" s="2">
        <v>9861</v>
      </c>
      <c r="R451" s="2">
        <v>-8482</v>
      </c>
      <c r="S451" s="2">
        <v>1195</v>
      </c>
      <c r="T451" s="2">
        <v>1556</v>
      </c>
      <c r="U451" s="2">
        <v>0</v>
      </c>
      <c r="W451" s="2">
        <v>11108</v>
      </c>
      <c r="X451" s="2">
        <v>9100</v>
      </c>
      <c r="Y451" s="2">
        <v>7388</v>
      </c>
      <c r="Z451" s="2">
        <v>0</v>
      </c>
      <c r="AA451" s="2">
        <v>0</v>
      </c>
      <c r="AC451" s="2">
        <v>4310</v>
      </c>
      <c r="AD451" s="2">
        <v>2246</v>
      </c>
      <c r="AE451" s="2">
        <v>2246</v>
      </c>
      <c r="AF451" s="2">
        <v>2246</v>
      </c>
      <c r="AG451" s="2">
        <v>0</v>
      </c>
      <c r="AI451" s="2">
        <v>-829</v>
      </c>
      <c r="AJ451" s="2">
        <v>-831</v>
      </c>
      <c r="AK451" s="2">
        <v>-270</v>
      </c>
      <c r="AL451" s="2">
        <v>0</v>
      </c>
      <c r="AM451" s="2">
        <v>0</v>
      </c>
    </row>
    <row r="452" spans="1:39">
      <c r="A452" s="335">
        <v>94411</v>
      </c>
      <c r="B452" s="328" t="s">
        <v>1142</v>
      </c>
      <c r="C452" s="239">
        <v>1.2472E-3</v>
      </c>
      <c r="E452" s="2">
        <v>604518</v>
      </c>
      <c r="F452" s="2">
        <v>185284</v>
      </c>
      <c r="G452" s="2">
        <v>314507</v>
      </c>
      <c r="H452" s="2">
        <v>85937</v>
      </c>
      <c r="I452" s="2">
        <v>0</v>
      </c>
      <c r="K452" s="2">
        <v>186839</v>
      </c>
      <c r="L452" s="2">
        <v>175755</v>
      </c>
      <c r="M452" s="2">
        <v>157528</v>
      </c>
      <c r="N452" s="2">
        <v>63072</v>
      </c>
      <c r="O452" s="2">
        <v>0</v>
      </c>
      <c r="Q452" s="2">
        <v>198356</v>
      </c>
      <c r="R452" s="2">
        <v>-170623</v>
      </c>
      <c r="S452" s="2">
        <v>24047</v>
      </c>
      <c r="T452" s="2">
        <v>31297</v>
      </c>
      <c r="U452" s="2">
        <v>0</v>
      </c>
      <c r="W452" s="2">
        <v>223451</v>
      </c>
      <c r="X452" s="2">
        <v>183059</v>
      </c>
      <c r="Y452" s="2">
        <v>148613</v>
      </c>
      <c r="Z452" s="2">
        <v>0</v>
      </c>
      <c r="AA452" s="2">
        <v>0</v>
      </c>
      <c r="AC452" s="2">
        <v>12774</v>
      </c>
      <c r="AD452" s="2">
        <v>12772</v>
      </c>
      <c r="AE452" s="2">
        <v>0</v>
      </c>
      <c r="AF452" s="2">
        <v>0</v>
      </c>
      <c r="AG452" s="2">
        <v>0</v>
      </c>
      <c r="AI452" s="2">
        <v>-16902</v>
      </c>
      <c r="AJ452" s="2">
        <v>-15679</v>
      </c>
      <c r="AK452" s="2">
        <v>-15681</v>
      </c>
      <c r="AL452" s="2">
        <v>-8432</v>
      </c>
      <c r="AM452" s="2">
        <v>0</v>
      </c>
    </row>
    <row r="453" spans="1:39">
      <c r="A453" s="335">
        <v>94412</v>
      </c>
      <c r="B453" s="328" t="s">
        <v>1143</v>
      </c>
      <c r="C453" s="239">
        <v>1.7E-5</v>
      </c>
      <c r="E453" s="2">
        <v>13310</v>
      </c>
      <c r="F453" s="2">
        <v>6447</v>
      </c>
      <c r="G453" s="2">
        <v>7359</v>
      </c>
      <c r="H453" s="2">
        <v>2761</v>
      </c>
      <c r="I453" s="2">
        <v>0</v>
      </c>
      <c r="K453" s="2">
        <v>2547</v>
      </c>
      <c r="L453" s="2">
        <v>2396</v>
      </c>
      <c r="M453" s="2">
        <v>2147</v>
      </c>
      <c r="N453" s="2">
        <v>860</v>
      </c>
      <c r="O453" s="2">
        <v>0</v>
      </c>
      <c r="Q453" s="2">
        <v>2704</v>
      </c>
      <c r="R453" s="2">
        <v>-2326</v>
      </c>
      <c r="S453" s="2">
        <v>328</v>
      </c>
      <c r="T453" s="2">
        <v>427</v>
      </c>
      <c r="U453" s="2">
        <v>0</v>
      </c>
      <c r="W453" s="2">
        <v>3046</v>
      </c>
      <c r="X453" s="2">
        <v>2495</v>
      </c>
      <c r="Y453" s="2">
        <v>2026</v>
      </c>
      <c r="Z453" s="2">
        <v>0</v>
      </c>
      <c r="AA453" s="2">
        <v>0</v>
      </c>
      <c r="AC453" s="2">
        <v>5013</v>
      </c>
      <c r="AD453" s="2">
        <v>3882</v>
      </c>
      <c r="AE453" s="2">
        <v>2858</v>
      </c>
      <c r="AF453" s="2">
        <v>1474</v>
      </c>
      <c r="AG453" s="2">
        <v>0</v>
      </c>
      <c r="AI453" s="2">
        <v>0</v>
      </c>
      <c r="AJ453" s="2">
        <v>0</v>
      </c>
      <c r="AK453" s="2">
        <v>0</v>
      </c>
      <c r="AL453" s="2">
        <v>0</v>
      </c>
      <c r="AM453" s="2">
        <v>0</v>
      </c>
    </row>
    <row r="454" spans="1:39">
      <c r="A454" s="335">
        <v>94421</v>
      </c>
      <c r="B454" s="328" t="s">
        <v>1144</v>
      </c>
      <c r="C454" s="239">
        <v>1.4880000000000001E-4</v>
      </c>
      <c r="E454" s="2">
        <v>69922</v>
      </c>
      <c r="F454" s="2">
        <v>20322</v>
      </c>
      <c r="G454" s="2">
        <v>36797</v>
      </c>
      <c r="H454" s="2">
        <v>9928</v>
      </c>
      <c r="I454" s="2">
        <v>0</v>
      </c>
      <c r="K454" s="2">
        <v>22291</v>
      </c>
      <c r="L454" s="2">
        <v>20969</v>
      </c>
      <c r="M454" s="2">
        <v>18794</v>
      </c>
      <c r="N454" s="2">
        <v>7525</v>
      </c>
      <c r="O454" s="2">
        <v>0</v>
      </c>
      <c r="Q454" s="2">
        <v>23665</v>
      </c>
      <c r="R454" s="2">
        <v>-20357</v>
      </c>
      <c r="S454" s="2">
        <v>2869</v>
      </c>
      <c r="T454" s="2">
        <v>3734</v>
      </c>
      <c r="U454" s="2">
        <v>0</v>
      </c>
      <c r="W454" s="2">
        <v>26659</v>
      </c>
      <c r="X454" s="2">
        <v>21840</v>
      </c>
      <c r="Y454" s="2">
        <v>17731</v>
      </c>
      <c r="Z454" s="2">
        <v>0</v>
      </c>
      <c r="AA454" s="2">
        <v>0</v>
      </c>
      <c r="AC454" s="2">
        <v>470</v>
      </c>
      <c r="AD454" s="2">
        <v>469</v>
      </c>
      <c r="AE454" s="2">
        <v>0</v>
      </c>
      <c r="AF454" s="2">
        <v>0</v>
      </c>
      <c r="AG454" s="2">
        <v>0</v>
      </c>
      <c r="AI454" s="2">
        <v>-3163</v>
      </c>
      <c r="AJ454" s="2">
        <v>-2599</v>
      </c>
      <c r="AK454" s="2">
        <v>-2597</v>
      </c>
      <c r="AL454" s="2">
        <v>-1331</v>
      </c>
      <c r="AM454" s="2">
        <v>0</v>
      </c>
    </row>
    <row r="455" spans="1:39">
      <c r="A455" s="335">
        <v>94427</v>
      </c>
      <c r="B455" s="328" t="s">
        <v>1145</v>
      </c>
      <c r="C455" s="239">
        <v>2.7500000000000001E-5</v>
      </c>
      <c r="E455" s="2">
        <v>17690</v>
      </c>
      <c r="F455" s="2">
        <v>8530</v>
      </c>
      <c r="G455" s="2">
        <v>10768</v>
      </c>
      <c r="H455" s="2">
        <v>4905</v>
      </c>
      <c r="I455" s="2">
        <v>0</v>
      </c>
      <c r="K455" s="2">
        <v>4120</v>
      </c>
      <c r="L455" s="2">
        <v>3875</v>
      </c>
      <c r="M455" s="2">
        <v>3473</v>
      </c>
      <c r="N455" s="2">
        <v>1391</v>
      </c>
      <c r="O455" s="2">
        <v>0</v>
      </c>
      <c r="Q455" s="2">
        <v>4374</v>
      </c>
      <c r="R455" s="2">
        <v>-3762</v>
      </c>
      <c r="S455" s="2">
        <v>530</v>
      </c>
      <c r="T455" s="2">
        <v>690</v>
      </c>
      <c r="U455" s="2">
        <v>0</v>
      </c>
      <c r="W455" s="2">
        <v>4927</v>
      </c>
      <c r="X455" s="2">
        <v>4036</v>
      </c>
      <c r="Y455" s="2">
        <v>3277</v>
      </c>
      <c r="Z455" s="2">
        <v>0</v>
      </c>
      <c r="AA455" s="2">
        <v>0</v>
      </c>
      <c r="AC455" s="2">
        <v>4382</v>
      </c>
      <c r="AD455" s="2">
        <v>4381</v>
      </c>
      <c r="AE455" s="2">
        <v>3488</v>
      </c>
      <c r="AF455" s="2">
        <v>2824</v>
      </c>
      <c r="AG455" s="2">
        <v>0</v>
      </c>
      <c r="AI455" s="2">
        <v>-113</v>
      </c>
      <c r="AJ455" s="2">
        <v>0</v>
      </c>
      <c r="AK455" s="2">
        <v>0</v>
      </c>
      <c r="AL455" s="2">
        <v>0</v>
      </c>
      <c r="AM455" s="2">
        <v>0</v>
      </c>
    </row>
    <row r="456" spans="1:39">
      <c r="A456" s="335">
        <v>94428</v>
      </c>
      <c r="B456" s="328" t="s">
        <v>2803</v>
      </c>
      <c r="C456" s="239">
        <v>7.1400000000000001E-5</v>
      </c>
      <c r="E456" s="2">
        <v>36016</v>
      </c>
      <c r="F456" s="2">
        <v>11766</v>
      </c>
      <c r="G456" s="2">
        <v>20733</v>
      </c>
      <c r="H456" s="2">
        <v>5694</v>
      </c>
      <c r="I456" s="2">
        <v>0</v>
      </c>
      <c r="K456" s="2">
        <v>10696</v>
      </c>
      <c r="L456" s="2">
        <v>10062</v>
      </c>
      <c r="M456" s="2">
        <v>9018</v>
      </c>
      <c r="N456" s="2">
        <v>3611</v>
      </c>
      <c r="O456" s="2">
        <v>0</v>
      </c>
      <c r="Q456" s="2">
        <v>11356</v>
      </c>
      <c r="R456" s="2">
        <v>-9768</v>
      </c>
      <c r="S456" s="2">
        <v>1377</v>
      </c>
      <c r="T456" s="2">
        <v>1792</v>
      </c>
      <c r="U456" s="2">
        <v>0</v>
      </c>
      <c r="W456" s="2">
        <v>12792</v>
      </c>
      <c r="X456" s="2">
        <v>10480</v>
      </c>
      <c r="Y456" s="2">
        <v>8508</v>
      </c>
      <c r="Z456" s="2">
        <v>0</v>
      </c>
      <c r="AA456" s="2">
        <v>0</v>
      </c>
      <c r="AC456" s="2">
        <v>2008</v>
      </c>
      <c r="AD456" s="2">
        <v>1830</v>
      </c>
      <c r="AE456" s="2">
        <v>1830</v>
      </c>
      <c r="AF456" s="2">
        <v>291</v>
      </c>
      <c r="AG456" s="2">
        <v>0</v>
      </c>
      <c r="AI456" s="2">
        <v>-836</v>
      </c>
      <c r="AJ456" s="2">
        <v>-838</v>
      </c>
      <c r="AK456" s="2">
        <v>0</v>
      </c>
      <c r="AL456" s="2">
        <v>0</v>
      </c>
      <c r="AM456" s="2">
        <v>0</v>
      </c>
    </row>
    <row r="457" spans="1:39">
      <c r="A457" s="335">
        <v>94431</v>
      </c>
      <c r="B457" s="328" t="s">
        <v>1147</v>
      </c>
      <c r="C457" s="239">
        <v>4.1829999999999998E-4</v>
      </c>
      <c r="E457" s="2">
        <v>296090</v>
      </c>
      <c r="F457" s="2">
        <v>134661</v>
      </c>
      <c r="G457" s="2">
        <v>154467</v>
      </c>
      <c r="H457" s="2">
        <v>59035</v>
      </c>
      <c r="I457" s="2">
        <v>0</v>
      </c>
      <c r="K457" s="2">
        <v>62664</v>
      </c>
      <c r="L457" s="2">
        <v>58947</v>
      </c>
      <c r="M457" s="2">
        <v>52833</v>
      </c>
      <c r="N457" s="2">
        <v>21154</v>
      </c>
      <c r="O457" s="2">
        <v>0</v>
      </c>
      <c r="Q457" s="2">
        <v>66527</v>
      </c>
      <c r="R457" s="2">
        <v>-57226</v>
      </c>
      <c r="S457" s="2">
        <v>8065</v>
      </c>
      <c r="T457" s="2">
        <v>10497</v>
      </c>
      <c r="U457" s="2">
        <v>0</v>
      </c>
      <c r="W457" s="2">
        <v>74943</v>
      </c>
      <c r="X457" s="2">
        <v>61396</v>
      </c>
      <c r="Y457" s="2">
        <v>49843</v>
      </c>
      <c r="Z457" s="2">
        <v>0</v>
      </c>
      <c r="AA457" s="2">
        <v>0</v>
      </c>
      <c r="AC457" s="2">
        <v>91956</v>
      </c>
      <c r="AD457" s="2">
        <v>71544</v>
      </c>
      <c r="AE457" s="2">
        <v>43726</v>
      </c>
      <c r="AF457" s="2">
        <v>27384</v>
      </c>
      <c r="AG457" s="2">
        <v>0</v>
      </c>
      <c r="AI457" s="2">
        <v>0</v>
      </c>
      <c r="AJ457" s="2">
        <v>0</v>
      </c>
      <c r="AK457" s="2">
        <v>0</v>
      </c>
      <c r="AL457" s="2">
        <v>0</v>
      </c>
      <c r="AM457" s="2">
        <v>0</v>
      </c>
    </row>
    <row r="458" spans="1:39">
      <c r="A458" s="335">
        <v>94437</v>
      </c>
      <c r="B458" s="328" t="s">
        <v>1148</v>
      </c>
      <c r="C458" s="239">
        <v>1.49E-5</v>
      </c>
      <c r="E458" s="2">
        <v>12107</v>
      </c>
      <c r="F458" s="2">
        <v>5850</v>
      </c>
      <c r="G458" s="2">
        <v>6061</v>
      </c>
      <c r="H458" s="2">
        <v>1977</v>
      </c>
      <c r="I458" s="2">
        <v>0</v>
      </c>
      <c r="K458" s="2">
        <v>2232</v>
      </c>
      <c r="L458" s="2">
        <v>2100</v>
      </c>
      <c r="M458" s="2">
        <v>1882</v>
      </c>
      <c r="N458" s="2">
        <v>754</v>
      </c>
      <c r="O458" s="2">
        <v>0</v>
      </c>
      <c r="Q458" s="2">
        <v>2370</v>
      </c>
      <c r="R458" s="2">
        <v>-2038</v>
      </c>
      <c r="S458" s="2">
        <v>287</v>
      </c>
      <c r="T458" s="2">
        <v>374</v>
      </c>
      <c r="U458" s="2">
        <v>0</v>
      </c>
      <c r="W458" s="2">
        <v>2670</v>
      </c>
      <c r="X458" s="2">
        <v>2187</v>
      </c>
      <c r="Y458" s="2">
        <v>1775</v>
      </c>
      <c r="Z458" s="2">
        <v>0</v>
      </c>
      <c r="AA458" s="2">
        <v>0</v>
      </c>
      <c r="AC458" s="2">
        <v>4835</v>
      </c>
      <c r="AD458" s="2">
        <v>3601</v>
      </c>
      <c r="AE458" s="2">
        <v>2117</v>
      </c>
      <c r="AF458" s="2">
        <v>849</v>
      </c>
      <c r="AG458" s="2">
        <v>0</v>
      </c>
      <c r="AI458" s="2">
        <v>0</v>
      </c>
      <c r="AJ458" s="2">
        <v>0</v>
      </c>
      <c r="AK458" s="2">
        <v>0</v>
      </c>
      <c r="AL458" s="2">
        <v>0</v>
      </c>
      <c r="AM458" s="2">
        <v>0</v>
      </c>
    </row>
    <row r="459" spans="1:39">
      <c r="A459" s="335">
        <v>94501</v>
      </c>
      <c r="B459" s="328" t="s">
        <v>1149</v>
      </c>
      <c r="C459" s="239">
        <v>5.9772999999999996E-3</v>
      </c>
      <c r="E459" s="2">
        <v>2963503</v>
      </c>
      <c r="F459" s="2">
        <v>943059</v>
      </c>
      <c r="G459" s="2">
        <v>1626480</v>
      </c>
      <c r="H459" s="2">
        <v>469991</v>
      </c>
      <c r="I459" s="2">
        <v>0</v>
      </c>
      <c r="K459" s="2">
        <v>895441</v>
      </c>
      <c r="L459" s="2">
        <v>842321</v>
      </c>
      <c r="M459" s="2">
        <v>754963</v>
      </c>
      <c r="N459" s="2">
        <v>302278</v>
      </c>
      <c r="O459" s="2">
        <v>0</v>
      </c>
      <c r="Q459" s="2">
        <v>950636</v>
      </c>
      <c r="R459" s="2">
        <v>-817725</v>
      </c>
      <c r="S459" s="2">
        <v>115248</v>
      </c>
      <c r="T459" s="2">
        <v>149994</v>
      </c>
      <c r="U459" s="2">
        <v>0</v>
      </c>
      <c r="W459" s="2">
        <v>1070905</v>
      </c>
      <c r="X459" s="2">
        <v>877324</v>
      </c>
      <c r="Y459" s="2">
        <v>712237</v>
      </c>
      <c r="Z459" s="2">
        <v>0</v>
      </c>
      <c r="AA459" s="2">
        <v>0</v>
      </c>
      <c r="AC459" s="2">
        <v>49413</v>
      </c>
      <c r="AD459" s="2">
        <v>44031</v>
      </c>
      <c r="AE459" s="2">
        <v>44032</v>
      </c>
      <c r="AF459" s="2">
        <v>17719</v>
      </c>
      <c r="AG459" s="2">
        <v>0</v>
      </c>
      <c r="AI459" s="2">
        <v>-2892</v>
      </c>
      <c r="AJ459" s="2">
        <v>-2892</v>
      </c>
      <c r="AK459" s="2">
        <v>0</v>
      </c>
      <c r="AL459" s="2">
        <v>0</v>
      </c>
      <c r="AM459" s="2">
        <v>0</v>
      </c>
    </row>
    <row r="460" spans="1:39">
      <c r="A460" s="335">
        <v>94511</v>
      </c>
      <c r="B460" s="328" t="s">
        <v>1150</v>
      </c>
      <c r="C460" s="239">
        <v>2.0183000000000002E-3</v>
      </c>
      <c r="E460" s="2">
        <v>978768</v>
      </c>
      <c r="F460" s="2">
        <v>307871</v>
      </c>
      <c r="G460" s="2">
        <v>534719</v>
      </c>
      <c r="H460" s="2">
        <v>148315</v>
      </c>
      <c r="I460" s="2">
        <v>0</v>
      </c>
      <c r="K460" s="2">
        <v>302355</v>
      </c>
      <c r="L460" s="2">
        <v>284419</v>
      </c>
      <c r="M460" s="2">
        <v>254921</v>
      </c>
      <c r="N460" s="2">
        <v>102067</v>
      </c>
      <c r="O460" s="2">
        <v>0</v>
      </c>
      <c r="Q460" s="2">
        <v>320992</v>
      </c>
      <c r="R460" s="2">
        <v>-276114</v>
      </c>
      <c r="S460" s="2">
        <v>38915</v>
      </c>
      <c r="T460" s="2">
        <v>50647</v>
      </c>
      <c r="U460" s="2">
        <v>0</v>
      </c>
      <c r="W460" s="2">
        <v>361603</v>
      </c>
      <c r="X460" s="2">
        <v>296238</v>
      </c>
      <c r="Y460" s="2">
        <v>240495</v>
      </c>
      <c r="Z460" s="2">
        <v>0</v>
      </c>
      <c r="AA460" s="2">
        <v>0</v>
      </c>
      <c r="AC460" s="2">
        <v>7729</v>
      </c>
      <c r="AD460" s="2">
        <v>7728</v>
      </c>
      <c r="AE460" s="2">
        <v>4788</v>
      </c>
      <c r="AF460" s="2">
        <v>0</v>
      </c>
      <c r="AG460" s="2">
        <v>0</v>
      </c>
      <c r="AI460" s="2">
        <v>-13911</v>
      </c>
      <c r="AJ460" s="2">
        <v>-4400</v>
      </c>
      <c r="AK460" s="2">
        <v>-4400</v>
      </c>
      <c r="AL460" s="2">
        <v>-4399</v>
      </c>
      <c r="AM460" s="2">
        <v>0</v>
      </c>
    </row>
    <row r="461" spans="1:39">
      <c r="A461" s="335">
        <v>94517</v>
      </c>
      <c r="B461" s="328" t="s">
        <v>2813</v>
      </c>
      <c r="C461" s="239">
        <v>5.4799999999999997E-5</v>
      </c>
      <c r="E461" s="2">
        <v>36644</v>
      </c>
      <c r="F461" s="2">
        <v>16719</v>
      </c>
      <c r="G461" s="2">
        <v>21316</v>
      </c>
      <c r="H461" s="2">
        <v>10176</v>
      </c>
      <c r="I461" s="2">
        <v>0</v>
      </c>
      <c r="K461" s="2">
        <v>8209</v>
      </c>
      <c r="L461" s="2">
        <v>7722</v>
      </c>
      <c r="M461" s="2">
        <v>6922</v>
      </c>
      <c r="N461" s="2">
        <v>2771</v>
      </c>
      <c r="O461" s="2">
        <v>0</v>
      </c>
      <c r="Q461" s="2">
        <v>8715</v>
      </c>
      <c r="R461" s="2">
        <v>-7497</v>
      </c>
      <c r="S461" s="2">
        <v>1057</v>
      </c>
      <c r="T461" s="2">
        <v>1375</v>
      </c>
      <c r="U461" s="2">
        <v>0</v>
      </c>
      <c r="W461" s="2">
        <v>9818</v>
      </c>
      <c r="X461" s="2">
        <v>8043</v>
      </c>
      <c r="Y461" s="2">
        <v>6530</v>
      </c>
      <c r="Z461" s="2">
        <v>0</v>
      </c>
      <c r="AA461" s="2">
        <v>0</v>
      </c>
      <c r="AC461" s="2">
        <v>9902</v>
      </c>
      <c r="AD461" s="2">
        <v>8451</v>
      </c>
      <c r="AE461" s="2">
        <v>6807</v>
      </c>
      <c r="AF461" s="2">
        <v>6030</v>
      </c>
      <c r="AG461" s="2">
        <v>0</v>
      </c>
      <c r="AI461" s="2">
        <v>0</v>
      </c>
      <c r="AJ461" s="2">
        <v>0</v>
      </c>
      <c r="AK461" s="2">
        <v>0</v>
      </c>
      <c r="AL461" s="2">
        <v>0</v>
      </c>
      <c r="AM461" s="2">
        <v>0</v>
      </c>
    </row>
    <row r="462" spans="1:39">
      <c r="A462" s="335">
        <v>94521</v>
      </c>
      <c r="B462" s="328" t="s">
        <v>1153</v>
      </c>
      <c r="C462" s="239">
        <v>1.4990000000000001E-4</v>
      </c>
      <c r="E462" s="2">
        <v>65934</v>
      </c>
      <c r="F462" s="2">
        <v>19569</v>
      </c>
      <c r="G462" s="2">
        <v>33676</v>
      </c>
      <c r="H462" s="2">
        <v>6663</v>
      </c>
      <c r="I462" s="2">
        <v>0</v>
      </c>
      <c r="K462" s="2">
        <v>22456</v>
      </c>
      <c r="L462" s="2">
        <v>21124</v>
      </c>
      <c r="M462" s="2">
        <v>18933</v>
      </c>
      <c r="N462" s="2">
        <v>7581</v>
      </c>
      <c r="O462" s="2">
        <v>0</v>
      </c>
      <c r="Q462" s="2">
        <v>23840</v>
      </c>
      <c r="R462" s="2">
        <v>-20507</v>
      </c>
      <c r="S462" s="2">
        <v>2890</v>
      </c>
      <c r="T462" s="2">
        <v>3762</v>
      </c>
      <c r="U462" s="2">
        <v>0</v>
      </c>
      <c r="W462" s="2">
        <v>26856</v>
      </c>
      <c r="X462" s="2">
        <v>22002</v>
      </c>
      <c r="Y462" s="2">
        <v>17862</v>
      </c>
      <c r="Z462" s="2">
        <v>0</v>
      </c>
      <c r="AA462" s="2">
        <v>0</v>
      </c>
      <c r="AC462" s="2">
        <v>2955</v>
      </c>
      <c r="AD462" s="2">
        <v>2957</v>
      </c>
      <c r="AE462" s="2">
        <v>0</v>
      </c>
      <c r="AF462" s="2">
        <v>0</v>
      </c>
      <c r="AG462" s="2">
        <v>0</v>
      </c>
      <c r="AI462" s="2">
        <v>-10173</v>
      </c>
      <c r="AJ462" s="2">
        <v>-6007</v>
      </c>
      <c r="AK462" s="2">
        <v>-6009</v>
      </c>
      <c r="AL462" s="2">
        <v>-4680</v>
      </c>
      <c r="AM462" s="2">
        <v>0</v>
      </c>
    </row>
    <row r="463" spans="1:39">
      <c r="A463" s="335">
        <v>94527</v>
      </c>
      <c r="B463" s="328" t="s">
        <v>1154</v>
      </c>
      <c r="C463" s="239">
        <v>6.8000000000000001E-6</v>
      </c>
      <c r="E463" s="2">
        <v>2524</v>
      </c>
      <c r="F463" s="2">
        <v>1012</v>
      </c>
      <c r="G463" s="2">
        <v>1973</v>
      </c>
      <c r="H463" s="2">
        <v>522</v>
      </c>
      <c r="I463" s="2">
        <v>0</v>
      </c>
      <c r="K463" s="2">
        <v>1019</v>
      </c>
      <c r="L463" s="2">
        <v>958</v>
      </c>
      <c r="M463" s="2">
        <v>859</v>
      </c>
      <c r="N463" s="2">
        <v>344</v>
      </c>
      <c r="O463" s="2">
        <v>0</v>
      </c>
      <c r="Q463" s="2">
        <v>1081</v>
      </c>
      <c r="R463" s="2">
        <v>-930</v>
      </c>
      <c r="S463" s="2">
        <v>131</v>
      </c>
      <c r="T463" s="2">
        <v>171</v>
      </c>
      <c r="U463" s="2">
        <v>0</v>
      </c>
      <c r="W463" s="2">
        <v>1218</v>
      </c>
      <c r="X463" s="2">
        <v>998</v>
      </c>
      <c r="Y463" s="2">
        <v>810</v>
      </c>
      <c r="Z463" s="2">
        <v>0</v>
      </c>
      <c r="AA463" s="2">
        <v>0</v>
      </c>
      <c r="AC463" s="2">
        <v>173</v>
      </c>
      <c r="AD463" s="2">
        <v>173</v>
      </c>
      <c r="AE463" s="2">
        <v>173</v>
      </c>
      <c r="AF463" s="2">
        <v>7</v>
      </c>
      <c r="AG463" s="2">
        <v>0</v>
      </c>
      <c r="AI463" s="2">
        <v>-967</v>
      </c>
      <c r="AJ463" s="2">
        <v>-187</v>
      </c>
      <c r="AK463" s="2">
        <v>0</v>
      </c>
      <c r="AL463" s="2">
        <v>0</v>
      </c>
      <c r="AM463" s="2">
        <v>0</v>
      </c>
    </row>
    <row r="464" spans="1:39">
      <c r="A464" s="335">
        <v>94531</v>
      </c>
      <c r="B464" s="328" t="s">
        <v>1155</v>
      </c>
      <c r="C464" s="239">
        <v>2.3099999999999999E-5</v>
      </c>
      <c r="E464" s="2">
        <v>16275</v>
      </c>
      <c r="F464" s="2">
        <v>7980</v>
      </c>
      <c r="G464" s="2">
        <v>9790</v>
      </c>
      <c r="H464" s="2">
        <v>4432</v>
      </c>
      <c r="I464" s="2">
        <v>0</v>
      </c>
      <c r="K464" s="2">
        <v>3461</v>
      </c>
      <c r="L464" s="2">
        <v>3255</v>
      </c>
      <c r="M464" s="2">
        <v>2918</v>
      </c>
      <c r="N464" s="2">
        <v>1168</v>
      </c>
      <c r="O464" s="2">
        <v>0</v>
      </c>
      <c r="Q464" s="2">
        <v>3674</v>
      </c>
      <c r="R464" s="2">
        <v>-3160</v>
      </c>
      <c r="S464" s="2">
        <v>445</v>
      </c>
      <c r="T464" s="2">
        <v>580</v>
      </c>
      <c r="U464" s="2">
        <v>0</v>
      </c>
      <c r="W464" s="2">
        <v>4139</v>
      </c>
      <c r="X464" s="2">
        <v>3391</v>
      </c>
      <c r="Y464" s="2">
        <v>2753</v>
      </c>
      <c r="Z464" s="2">
        <v>0</v>
      </c>
      <c r="AA464" s="2">
        <v>0</v>
      </c>
      <c r="AC464" s="2">
        <v>5001</v>
      </c>
      <c r="AD464" s="2">
        <v>4494</v>
      </c>
      <c r="AE464" s="2">
        <v>3674</v>
      </c>
      <c r="AF464" s="2">
        <v>2684</v>
      </c>
      <c r="AG464" s="2">
        <v>0</v>
      </c>
      <c r="AI464" s="2">
        <v>0</v>
      </c>
      <c r="AJ464" s="2">
        <v>0</v>
      </c>
      <c r="AK464" s="2">
        <v>0</v>
      </c>
      <c r="AL464" s="2">
        <v>0</v>
      </c>
      <c r="AM464" s="2">
        <v>0</v>
      </c>
    </row>
    <row r="465" spans="1:39">
      <c r="A465" s="335">
        <v>94532</v>
      </c>
      <c r="B465" s="328" t="s">
        <v>1156</v>
      </c>
      <c r="C465" s="239">
        <v>1.0060000000000001E-4</v>
      </c>
      <c r="E465" s="2">
        <v>49474</v>
      </c>
      <c r="F465" s="2">
        <v>17596</v>
      </c>
      <c r="G465" s="2">
        <v>29163</v>
      </c>
      <c r="H465" s="2">
        <v>7751</v>
      </c>
      <c r="I465" s="2">
        <v>0</v>
      </c>
      <c r="K465" s="2">
        <v>15071</v>
      </c>
      <c r="L465" s="2">
        <v>14177</v>
      </c>
      <c r="M465" s="2">
        <v>12706</v>
      </c>
      <c r="N465" s="2">
        <v>5087</v>
      </c>
      <c r="O465" s="2">
        <v>0</v>
      </c>
      <c r="Q465" s="2">
        <v>16000</v>
      </c>
      <c r="R465" s="2">
        <v>-13763</v>
      </c>
      <c r="S465" s="2">
        <v>1940</v>
      </c>
      <c r="T465" s="2">
        <v>2524</v>
      </c>
      <c r="U465" s="2">
        <v>0</v>
      </c>
      <c r="W465" s="2">
        <v>18024</v>
      </c>
      <c r="X465" s="2">
        <v>14766</v>
      </c>
      <c r="Y465" s="2">
        <v>11987</v>
      </c>
      <c r="Z465" s="2">
        <v>0</v>
      </c>
      <c r="AA465" s="2">
        <v>0</v>
      </c>
      <c r="AC465" s="2">
        <v>2530</v>
      </c>
      <c r="AD465" s="2">
        <v>2530</v>
      </c>
      <c r="AE465" s="2">
        <v>2530</v>
      </c>
      <c r="AF465" s="2">
        <v>140</v>
      </c>
      <c r="AG465" s="2">
        <v>0</v>
      </c>
      <c r="AI465" s="2">
        <v>-2151</v>
      </c>
      <c r="AJ465" s="2">
        <v>-114</v>
      </c>
      <c r="AK465" s="2">
        <v>0</v>
      </c>
      <c r="AL465" s="2">
        <v>0</v>
      </c>
      <c r="AM465" s="2">
        <v>0</v>
      </c>
    </row>
    <row r="466" spans="1:39">
      <c r="A466" s="335">
        <v>94541</v>
      </c>
      <c r="B466" s="328" t="s">
        <v>1157</v>
      </c>
      <c r="C466" s="239">
        <v>2.7750000000000002E-4</v>
      </c>
      <c r="E466" s="2">
        <v>124624</v>
      </c>
      <c r="F466" s="2">
        <v>32883</v>
      </c>
      <c r="G466" s="2">
        <v>67409</v>
      </c>
      <c r="H466" s="2">
        <v>18611</v>
      </c>
      <c r="I466" s="2">
        <v>0</v>
      </c>
      <c r="K466" s="2">
        <v>41571</v>
      </c>
      <c r="L466" s="2">
        <v>39105</v>
      </c>
      <c r="M466" s="2">
        <v>35050</v>
      </c>
      <c r="N466" s="2">
        <v>14033</v>
      </c>
      <c r="O466" s="2">
        <v>0</v>
      </c>
      <c r="Q466" s="2">
        <v>44134</v>
      </c>
      <c r="R466" s="2">
        <v>-37963</v>
      </c>
      <c r="S466" s="2">
        <v>5350</v>
      </c>
      <c r="T466" s="2">
        <v>6964</v>
      </c>
      <c r="U466" s="2">
        <v>0</v>
      </c>
      <c r="W466" s="2">
        <v>49717</v>
      </c>
      <c r="X466" s="2">
        <v>40730</v>
      </c>
      <c r="Y466" s="2">
        <v>33066</v>
      </c>
      <c r="Z466" s="2">
        <v>0</v>
      </c>
      <c r="AA466" s="2">
        <v>0</v>
      </c>
      <c r="AC466" s="2">
        <v>0</v>
      </c>
      <c r="AD466" s="2">
        <v>0</v>
      </c>
      <c r="AE466" s="2">
        <v>0</v>
      </c>
      <c r="AF466" s="2">
        <v>0</v>
      </c>
      <c r="AG466" s="2">
        <v>0</v>
      </c>
      <c r="AI466" s="2">
        <v>-10798</v>
      </c>
      <c r="AJ466" s="2">
        <v>-8989</v>
      </c>
      <c r="AK466" s="2">
        <v>-6057</v>
      </c>
      <c r="AL466" s="2">
        <v>-2386</v>
      </c>
      <c r="AM466" s="2">
        <v>0</v>
      </c>
    </row>
    <row r="467" spans="1:39">
      <c r="A467" s="335">
        <v>94547</v>
      </c>
      <c r="B467" s="328" t="s">
        <v>1158</v>
      </c>
      <c r="C467" s="239">
        <v>1.1E-5</v>
      </c>
      <c r="E467" s="2">
        <v>7931</v>
      </c>
      <c r="F467" s="2">
        <v>3955</v>
      </c>
      <c r="G467" s="2">
        <v>4864</v>
      </c>
      <c r="H467" s="2">
        <v>2077</v>
      </c>
      <c r="I467" s="2">
        <v>0</v>
      </c>
      <c r="K467" s="2">
        <v>1648</v>
      </c>
      <c r="L467" s="2">
        <v>1550</v>
      </c>
      <c r="M467" s="2">
        <v>1389</v>
      </c>
      <c r="N467" s="2">
        <v>556</v>
      </c>
      <c r="O467" s="2">
        <v>0</v>
      </c>
      <c r="Q467" s="2">
        <v>1749</v>
      </c>
      <c r="R467" s="2">
        <v>-1505</v>
      </c>
      <c r="S467" s="2">
        <v>212</v>
      </c>
      <c r="T467" s="2">
        <v>276</v>
      </c>
      <c r="U467" s="2">
        <v>0</v>
      </c>
      <c r="W467" s="2">
        <v>1971</v>
      </c>
      <c r="X467" s="2">
        <v>1615</v>
      </c>
      <c r="Y467" s="2">
        <v>1311</v>
      </c>
      <c r="Z467" s="2">
        <v>0</v>
      </c>
      <c r="AA467" s="2">
        <v>0</v>
      </c>
      <c r="AC467" s="2">
        <v>2563</v>
      </c>
      <c r="AD467" s="2">
        <v>2295</v>
      </c>
      <c r="AE467" s="2">
        <v>1952</v>
      </c>
      <c r="AF467" s="2">
        <v>1245</v>
      </c>
      <c r="AG467" s="2">
        <v>0</v>
      </c>
      <c r="AI467" s="2">
        <v>0</v>
      </c>
      <c r="AJ467" s="2">
        <v>0</v>
      </c>
      <c r="AK467" s="2">
        <v>0</v>
      </c>
      <c r="AL467" s="2">
        <v>0</v>
      </c>
      <c r="AM467" s="2">
        <v>0</v>
      </c>
    </row>
    <row r="468" spans="1:39">
      <c r="A468" s="335">
        <v>94551</v>
      </c>
      <c r="B468" s="328" t="s">
        <v>1159</v>
      </c>
      <c r="C468" s="239">
        <v>5.3000000000000001E-5</v>
      </c>
      <c r="E468" s="2">
        <v>31183</v>
      </c>
      <c r="F468" s="2">
        <v>10898</v>
      </c>
      <c r="G468" s="2">
        <v>16464</v>
      </c>
      <c r="H468" s="2">
        <v>4807</v>
      </c>
      <c r="I468" s="2">
        <v>0</v>
      </c>
      <c r="K468" s="2">
        <v>7940</v>
      </c>
      <c r="L468" s="2">
        <v>7469</v>
      </c>
      <c r="M468" s="2">
        <v>6694</v>
      </c>
      <c r="N468" s="2">
        <v>2680</v>
      </c>
      <c r="O468" s="2">
        <v>0</v>
      </c>
      <c r="Q468" s="2">
        <v>8429</v>
      </c>
      <c r="R468" s="2">
        <v>-7251</v>
      </c>
      <c r="S468" s="2">
        <v>1022</v>
      </c>
      <c r="T468" s="2">
        <v>1330</v>
      </c>
      <c r="U468" s="2">
        <v>0</v>
      </c>
      <c r="W468" s="2">
        <v>9496</v>
      </c>
      <c r="X468" s="2">
        <v>7779</v>
      </c>
      <c r="Y468" s="2">
        <v>6315</v>
      </c>
      <c r="Z468" s="2">
        <v>0</v>
      </c>
      <c r="AA468" s="2">
        <v>0</v>
      </c>
      <c r="AC468" s="2">
        <v>5318</v>
      </c>
      <c r="AD468" s="2">
        <v>2901</v>
      </c>
      <c r="AE468" s="2">
        <v>2433</v>
      </c>
      <c r="AF468" s="2">
        <v>797</v>
      </c>
      <c r="AG468" s="2">
        <v>0</v>
      </c>
      <c r="AI468" s="2">
        <v>0</v>
      </c>
      <c r="AJ468" s="2">
        <v>0</v>
      </c>
      <c r="AK468" s="2">
        <v>0</v>
      </c>
      <c r="AL468" s="2">
        <v>0</v>
      </c>
      <c r="AM468" s="2">
        <v>0</v>
      </c>
    </row>
    <row r="469" spans="1:39">
      <c r="A469" s="335">
        <v>94601</v>
      </c>
      <c r="B469" s="328" t="s">
        <v>1160</v>
      </c>
      <c r="C469" s="239">
        <v>9.1859999999999999E-4</v>
      </c>
      <c r="E469" s="2">
        <v>447091</v>
      </c>
      <c r="F469" s="2">
        <v>129974</v>
      </c>
      <c r="G469" s="2">
        <v>221707</v>
      </c>
      <c r="H469" s="2">
        <v>43514</v>
      </c>
      <c r="I469" s="2">
        <v>0</v>
      </c>
      <c r="K469" s="2">
        <v>137613</v>
      </c>
      <c r="L469" s="2">
        <v>129449</v>
      </c>
      <c r="M469" s="2">
        <v>116024</v>
      </c>
      <c r="N469" s="2">
        <v>46455</v>
      </c>
      <c r="O469" s="2">
        <v>0</v>
      </c>
      <c r="Q469" s="2">
        <v>146095</v>
      </c>
      <c r="R469" s="2">
        <v>-125669</v>
      </c>
      <c r="S469" s="2">
        <v>17712</v>
      </c>
      <c r="T469" s="2">
        <v>23051</v>
      </c>
      <c r="U469" s="2">
        <v>0</v>
      </c>
      <c r="W469" s="2">
        <v>164578</v>
      </c>
      <c r="X469" s="2">
        <v>134828</v>
      </c>
      <c r="Y469" s="2">
        <v>109458</v>
      </c>
      <c r="Z469" s="2">
        <v>0</v>
      </c>
      <c r="AA469" s="2">
        <v>0</v>
      </c>
      <c r="AC469" s="2">
        <v>24799</v>
      </c>
      <c r="AD469" s="2">
        <v>17360</v>
      </c>
      <c r="AE469" s="2">
        <v>4507</v>
      </c>
      <c r="AF469" s="2">
        <v>0</v>
      </c>
      <c r="AG469" s="2">
        <v>0</v>
      </c>
      <c r="AI469" s="2">
        <v>-25994</v>
      </c>
      <c r="AJ469" s="2">
        <v>-25994</v>
      </c>
      <c r="AK469" s="2">
        <v>-25994</v>
      </c>
      <c r="AL469" s="2">
        <v>-25992</v>
      </c>
      <c r="AM469" s="2">
        <v>0</v>
      </c>
    </row>
    <row r="470" spans="1:39">
      <c r="A470" s="335">
        <v>94604</v>
      </c>
      <c r="B470" s="328" t="s">
        <v>1161</v>
      </c>
      <c r="C470" s="239">
        <v>2.6100000000000001E-5</v>
      </c>
      <c r="E470" s="2">
        <v>13811</v>
      </c>
      <c r="F470" s="2">
        <v>4823</v>
      </c>
      <c r="G470" s="2">
        <v>7372</v>
      </c>
      <c r="H470" s="2">
        <v>1979</v>
      </c>
      <c r="I470" s="2">
        <v>0</v>
      </c>
      <c r="K470" s="2">
        <v>3910</v>
      </c>
      <c r="L470" s="2">
        <v>3678</v>
      </c>
      <c r="M470" s="2">
        <v>3297</v>
      </c>
      <c r="N470" s="2">
        <v>1320</v>
      </c>
      <c r="O470" s="2">
        <v>0</v>
      </c>
      <c r="Q470" s="2">
        <v>4151</v>
      </c>
      <c r="R470" s="2">
        <v>-3571</v>
      </c>
      <c r="S470" s="2">
        <v>503</v>
      </c>
      <c r="T470" s="2">
        <v>655</v>
      </c>
      <c r="U470" s="2">
        <v>0</v>
      </c>
      <c r="W470" s="2">
        <v>4676</v>
      </c>
      <c r="X470" s="2">
        <v>3831</v>
      </c>
      <c r="Y470" s="2">
        <v>3110</v>
      </c>
      <c r="Z470" s="2">
        <v>0</v>
      </c>
      <c r="AA470" s="2">
        <v>0</v>
      </c>
      <c r="AC470" s="2">
        <v>1074</v>
      </c>
      <c r="AD470" s="2">
        <v>885</v>
      </c>
      <c r="AE470" s="2">
        <v>462</v>
      </c>
      <c r="AF470" s="2">
        <v>4</v>
      </c>
      <c r="AG470" s="2">
        <v>0</v>
      </c>
      <c r="AI470" s="2">
        <v>0</v>
      </c>
      <c r="AJ470" s="2">
        <v>0</v>
      </c>
      <c r="AK470" s="2">
        <v>0</v>
      </c>
      <c r="AL470" s="2">
        <v>0</v>
      </c>
      <c r="AM470" s="2">
        <v>0</v>
      </c>
    </row>
    <row r="471" spans="1:39">
      <c r="A471" s="335">
        <v>94611</v>
      </c>
      <c r="B471" s="328" t="s">
        <v>1163</v>
      </c>
      <c r="C471" s="239">
        <v>3.4459999999999997E-4</v>
      </c>
      <c r="E471" s="2">
        <v>158455</v>
      </c>
      <c r="F471" s="2">
        <v>42258</v>
      </c>
      <c r="G471" s="2">
        <v>89739</v>
      </c>
      <c r="H471" s="2">
        <v>24593</v>
      </c>
      <c r="I471" s="2">
        <v>0</v>
      </c>
      <c r="K471" s="2">
        <v>51623</v>
      </c>
      <c r="L471" s="2">
        <v>48561</v>
      </c>
      <c r="M471" s="2">
        <v>43525</v>
      </c>
      <c r="N471" s="2">
        <v>17427</v>
      </c>
      <c r="O471" s="2">
        <v>0</v>
      </c>
      <c r="Q471" s="2">
        <v>54806</v>
      </c>
      <c r="R471" s="2">
        <v>-47143</v>
      </c>
      <c r="S471" s="2">
        <v>6644</v>
      </c>
      <c r="T471" s="2">
        <v>8647</v>
      </c>
      <c r="U471" s="2">
        <v>0</v>
      </c>
      <c r="W471" s="2">
        <v>61739</v>
      </c>
      <c r="X471" s="2">
        <v>50579</v>
      </c>
      <c r="Y471" s="2">
        <v>41062</v>
      </c>
      <c r="Z471" s="2">
        <v>0</v>
      </c>
      <c r="AA471" s="2">
        <v>0</v>
      </c>
      <c r="AC471" s="2">
        <v>26</v>
      </c>
      <c r="AD471" s="2">
        <v>0</v>
      </c>
      <c r="AE471" s="2">
        <v>0</v>
      </c>
      <c r="AF471" s="2">
        <v>0</v>
      </c>
      <c r="AG471" s="2">
        <v>0</v>
      </c>
      <c r="AI471" s="2">
        <v>-9739</v>
      </c>
      <c r="AJ471" s="2">
        <v>-9739</v>
      </c>
      <c r="AK471" s="2">
        <v>-1492</v>
      </c>
      <c r="AL471" s="2">
        <v>-1481</v>
      </c>
      <c r="AM471" s="2">
        <v>0</v>
      </c>
    </row>
    <row r="472" spans="1:39">
      <c r="A472" s="335">
        <v>94621</v>
      </c>
      <c r="B472" s="328" t="s">
        <v>1164</v>
      </c>
      <c r="C472" s="239">
        <v>1.3320000000000001E-4</v>
      </c>
      <c r="E472" s="2">
        <v>74506</v>
      </c>
      <c r="F472" s="2">
        <v>30265</v>
      </c>
      <c r="G472" s="2">
        <v>46715</v>
      </c>
      <c r="H472" s="2">
        <v>16600</v>
      </c>
      <c r="I472" s="2">
        <v>0</v>
      </c>
      <c r="K472" s="2">
        <v>19954</v>
      </c>
      <c r="L472" s="2">
        <v>18771</v>
      </c>
      <c r="M472" s="2">
        <v>16824</v>
      </c>
      <c r="N472" s="2">
        <v>6736</v>
      </c>
      <c r="O472" s="2">
        <v>0</v>
      </c>
      <c r="Q472" s="2">
        <v>21184</v>
      </c>
      <c r="R472" s="2">
        <v>-18222</v>
      </c>
      <c r="S472" s="2">
        <v>2568</v>
      </c>
      <c r="T472" s="2">
        <v>3343</v>
      </c>
      <c r="U472" s="2">
        <v>0</v>
      </c>
      <c r="W472" s="2">
        <v>23864</v>
      </c>
      <c r="X472" s="2">
        <v>19551</v>
      </c>
      <c r="Y472" s="2">
        <v>15872</v>
      </c>
      <c r="Z472" s="2">
        <v>0</v>
      </c>
      <c r="AA472" s="2">
        <v>0</v>
      </c>
      <c r="AC472" s="2">
        <v>11451</v>
      </c>
      <c r="AD472" s="2">
        <v>11451</v>
      </c>
      <c r="AE472" s="2">
        <v>11451</v>
      </c>
      <c r="AF472" s="2">
        <v>6521</v>
      </c>
      <c r="AG472" s="2">
        <v>0</v>
      </c>
      <c r="AI472" s="2">
        <v>-1947</v>
      </c>
      <c r="AJ472" s="2">
        <v>-1286</v>
      </c>
      <c r="AK472" s="2">
        <v>0</v>
      </c>
      <c r="AL472" s="2">
        <v>0</v>
      </c>
      <c r="AM472" s="2">
        <v>0</v>
      </c>
    </row>
    <row r="473" spans="1:39">
      <c r="A473" s="335">
        <v>94631</v>
      </c>
      <c r="B473" s="328" t="s">
        <v>1165</v>
      </c>
      <c r="C473" s="239">
        <v>4.2599999999999999E-5</v>
      </c>
      <c r="E473" s="2">
        <v>22359</v>
      </c>
      <c r="F473" s="2">
        <v>7437</v>
      </c>
      <c r="G473" s="2">
        <v>11504</v>
      </c>
      <c r="H473" s="2">
        <v>2705</v>
      </c>
      <c r="I473" s="2">
        <v>0</v>
      </c>
      <c r="K473" s="2">
        <v>6382</v>
      </c>
      <c r="L473" s="2">
        <v>6003</v>
      </c>
      <c r="M473" s="2">
        <v>5381</v>
      </c>
      <c r="N473" s="2">
        <v>2154</v>
      </c>
      <c r="O473" s="2">
        <v>0</v>
      </c>
      <c r="Q473" s="2">
        <v>6775</v>
      </c>
      <c r="R473" s="2">
        <v>-5828</v>
      </c>
      <c r="S473" s="2">
        <v>821</v>
      </c>
      <c r="T473" s="2">
        <v>1069</v>
      </c>
      <c r="U473" s="2">
        <v>0</v>
      </c>
      <c r="W473" s="2">
        <v>7632</v>
      </c>
      <c r="X473" s="2">
        <v>6253</v>
      </c>
      <c r="Y473" s="2">
        <v>5076</v>
      </c>
      <c r="Z473" s="2">
        <v>0</v>
      </c>
      <c r="AA473" s="2">
        <v>0</v>
      </c>
      <c r="AC473" s="2">
        <v>2089</v>
      </c>
      <c r="AD473" s="2">
        <v>1528</v>
      </c>
      <c r="AE473" s="2">
        <v>745</v>
      </c>
      <c r="AF473" s="2">
        <v>0</v>
      </c>
      <c r="AG473" s="2">
        <v>0</v>
      </c>
      <c r="AI473" s="2">
        <v>-519</v>
      </c>
      <c r="AJ473" s="2">
        <v>-519</v>
      </c>
      <c r="AK473" s="2">
        <v>-519</v>
      </c>
      <c r="AL473" s="2">
        <v>-518</v>
      </c>
      <c r="AM473" s="2">
        <v>0</v>
      </c>
    </row>
    <row r="474" spans="1:39">
      <c r="A474" s="335">
        <v>94641</v>
      </c>
      <c r="B474" s="328" t="s">
        <v>1166</v>
      </c>
      <c r="C474" s="239">
        <v>1.04E-5</v>
      </c>
      <c r="E474" s="2">
        <v>8541</v>
      </c>
      <c r="F474" s="2">
        <v>4575</v>
      </c>
      <c r="G474" s="2">
        <v>5250</v>
      </c>
      <c r="H474" s="2">
        <v>2740</v>
      </c>
      <c r="I474" s="2">
        <v>0</v>
      </c>
      <c r="K474" s="2">
        <v>1558</v>
      </c>
      <c r="L474" s="2">
        <v>1466</v>
      </c>
      <c r="M474" s="2">
        <v>1314</v>
      </c>
      <c r="N474" s="2">
        <v>526</v>
      </c>
      <c r="O474" s="2">
        <v>0</v>
      </c>
      <c r="Q474" s="2">
        <v>1654</v>
      </c>
      <c r="R474" s="2">
        <v>-1423</v>
      </c>
      <c r="S474" s="2">
        <v>201</v>
      </c>
      <c r="T474" s="2">
        <v>261</v>
      </c>
      <c r="U474" s="2">
        <v>0</v>
      </c>
      <c r="W474" s="2">
        <v>1863</v>
      </c>
      <c r="X474" s="2">
        <v>1526</v>
      </c>
      <c r="Y474" s="2">
        <v>1239</v>
      </c>
      <c r="Z474" s="2">
        <v>0</v>
      </c>
      <c r="AA474" s="2">
        <v>0</v>
      </c>
      <c r="AC474" s="2">
        <v>3466</v>
      </c>
      <c r="AD474" s="2">
        <v>3006</v>
      </c>
      <c r="AE474" s="2">
        <v>2496</v>
      </c>
      <c r="AF474" s="2">
        <v>1953</v>
      </c>
      <c r="AG474" s="2">
        <v>0</v>
      </c>
      <c r="AI474" s="2">
        <v>0</v>
      </c>
      <c r="AJ474" s="2">
        <v>0</v>
      </c>
      <c r="AK474" s="2">
        <v>0</v>
      </c>
      <c r="AL474" s="2">
        <v>0</v>
      </c>
      <c r="AM474" s="2">
        <v>0</v>
      </c>
    </row>
    <row r="475" spans="1:39">
      <c r="A475" s="335">
        <v>94701</v>
      </c>
      <c r="B475" s="328" t="s">
        <v>1167</v>
      </c>
      <c r="C475" s="239">
        <v>2.4202999999999998E-3</v>
      </c>
      <c r="E475" s="2">
        <v>1132383</v>
      </c>
      <c r="F475" s="2">
        <v>338941</v>
      </c>
      <c r="G475" s="2">
        <v>621599</v>
      </c>
      <c r="H475" s="2">
        <v>193588</v>
      </c>
      <c r="I475" s="2">
        <v>0</v>
      </c>
      <c r="K475" s="2">
        <v>362578</v>
      </c>
      <c r="L475" s="2">
        <v>341069</v>
      </c>
      <c r="M475" s="2">
        <v>305696</v>
      </c>
      <c r="N475" s="2">
        <v>122397</v>
      </c>
      <c r="O475" s="2">
        <v>0</v>
      </c>
      <c r="Q475" s="2">
        <v>384927</v>
      </c>
      <c r="R475" s="2">
        <v>-331109</v>
      </c>
      <c r="S475" s="2">
        <v>46666</v>
      </c>
      <c r="T475" s="2">
        <v>60735</v>
      </c>
      <c r="U475" s="2">
        <v>0</v>
      </c>
      <c r="W475" s="2">
        <v>433626</v>
      </c>
      <c r="X475" s="2">
        <v>355242</v>
      </c>
      <c r="Y475" s="2">
        <v>288396</v>
      </c>
      <c r="Z475" s="2">
        <v>0</v>
      </c>
      <c r="AA475" s="2">
        <v>0</v>
      </c>
      <c r="AC475" s="2">
        <v>10457</v>
      </c>
      <c r="AD475" s="2">
        <v>10457</v>
      </c>
      <c r="AE475" s="2">
        <v>10457</v>
      </c>
      <c r="AF475" s="2">
        <v>10456</v>
      </c>
      <c r="AG475" s="2">
        <v>0</v>
      </c>
      <c r="AI475" s="2">
        <v>-59205</v>
      </c>
      <c r="AJ475" s="2">
        <v>-36718</v>
      </c>
      <c r="AK475" s="2">
        <v>-29616</v>
      </c>
      <c r="AL475" s="2">
        <v>0</v>
      </c>
      <c r="AM475" s="2">
        <v>0</v>
      </c>
    </row>
    <row r="476" spans="1:39">
      <c r="A476" s="335">
        <v>94704</v>
      </c>
      <c r="B476" s="328" t="s">
        <v>1168</v>
      </c>
      <c r="C476" s="239">
        <v>1.5299999999999999E-5</v>
      </c>
      <c r="E476" s="2">
        <v>8659</v>
      </c>
      <c r="F476" s="2">
        <v>3522</v>
      </c>
      <c r="G476" s="2">
        <v>5271</v>
      </c>
      <c r="H476" s="2">
        <v>1147</v>
      </c>
      <c r="I476" s="2">
        <v>0</v>
      </c>
      <c r="K476" s="2">
        <v>2292</v>
      </c>
      <c r="L476" s="2">
        <v>2156</v>
      </c>
      <c r="M476" s="2">
        <v>1932</v>
      </c>
      <c r="N476" s="2">
        <v>774</v>
      </c>
      <c r="O476" s="2">
        <v>0</v>
      </c>
      <c r="Q476" s="2">
        <v>2433</v>
      </c>
      <c r="R476" s="2">
        <v>-2093</v>
      </c>
      <c r="S476" s="2">
        <v>295</v>
      </c>
      <c r="T476" s="2">
        <v>384</v>
      </c>
      <c r="U476" s="2">
        <v>0</v>
      </c>
      <c r="W476" s="2">
        <v>2741</v>
      </c>
      <c r="X476" s="2">
        <v>2246</v>
      </c>
      <c r="Y476" s="2">
        <v>1823</v>
      </c>
      <c r="Z476" s="2">
        <v>0</v>
      </c>
      <c r="AA476" s="2">
        <v>0</v>
      </c>
      <c r="AC476" s="2">
        <v>1232</v>
      </c>
      <c r="AD476" s="2">
        <v>1232</v>
      </c>
      <c r="AE476" s="2">
        <v>1231</v>
      </c>
      <c r="AF476" s="2">
        <v>0</v>
      </c>
      <c r="AG476" s="2">
        <v>0</v>
      </c>
      <c r="AI476" s="2">
        <v>-39</v>
      </c>
      <c r="AJ476" s="2">
        <v>-19</v>
      </c>
      <c r="AK476" s="2">
        <v>-10</v>
      </c>
      <c r="AL476" s="2">
        <v>-11</v>
      </c>
      <c r="AM476" s="2">
        <v>0</v>
      </c>
    </row>
    <row r="477" spans="1:39">
      <c r="A477" s="335">
        <v>94711</v>
      </c>
      <c r="B477" s="328" t="s">
        <v>1169</v>
      </c>
      <c r="C477" s="239">
        <v>3.3819999999999998E-4</v>
      </c>
      <c r="E477" s="2">
        <v>166758</v>
      </c>
      <c r="F477" s="2">
        <v>53636</v>
      </c>
      <c r="G477" s="2">
        <v>92458</v>
      </c>
      <c r="H477" s="2">
        <v>27792</v>
      </c>
      <c r="I477" s="2">
        <v>0</v>
      </c>
      <c r="K477" s="2">
        <v>50665</v>
      </c>
      <c r="L477" s="2">
        <v>47659</v>
      </c>
      <c r="M477" s="2">
        <v>42716</v>
      </c>
      <c r="N477" s="2">
        <v>17103</v>
      </c>
      <c r="O477" s="2">
        <v>0</v>
      </c>
      <c r="Q477" s="2">
        <v>53788</v>
      </c>
      <c r="R477" s="2">
        <v>-46267</v>
      </c>
      <c r="S477" s="2">
        <v>6521</v>
      </c>
      <c r="T477" s="2">
        <v>8487</v>
      </c>
      <c r="U477" s="2">
        <v>0</v>
      </c>
      <c r="W477" s="2">
        <v>60593</v>
      </c>
      <c r="X477" s="2">
        <v>49640</v>
      </c>
      <c r="Y477" s="2">
        <v>40299</v>
      </c>
      <c r="Z477" s="2">
        <v>0</v>
      </c>
      <c r="AA477" s="2">
        <v>0</v>
      </c>
      <c r="AC477" s="2">
        <v>2920</v>
      </c>
      <c r="AD477" s="2">
        <v>2920</v>
      </c>
      <c r="AE477" s="2">
        <v>2922</v>
      </c>
      <c r="AF477" s="2">
        <v>2202</v>
      </c>
      <c r="AG477" s="2">
        <v>0</v>
      </c>
      <c r="AI477" s="2">
        <v>-1208</v>
      </c>
      <c r="AJ477" s="2">
        <v>-316</v>
      </c>
      <c r="AK477" s="2">
        <v>0</v>
      </c>
      <c r="AL477" s="2">
        <v>0</v>
      </c>
      <c r="AM477" s="2">
        <v>0</v>
      </c>
    </row>
    <row r="478" spans="1:39">
      <c r="A478" s="335">
        <v>94801</v>
      </c>
      <c r="B478" s="328" t="s">
        <v>1170</v>
      </c>
      <c r="C478" s="239">
        <v>6.8429999999999999E-4</v>
      </c>
      <c r="E478" s="2">
        <v>328930</v>
      </c>
      <c r="F478" s="2">
        <v>95298</v>
      </c>
      <c r="G478" s="2">
        <v>178109</v>
      </c>
      <c r="H478" s="2">
        <v>54289</v>
      </c>
      <c r="I478" s="2">
        <v>0</v>
      </c>
      <c r="K478" s="2">
        <v>102513</v>
      </c>
      <c r="L478" s="2">
        <v>96432</v>
      </c>
      <c r="M478" s="2">
        <v>86431</v>
      </c>
      <c r="N478" s="2">
        <v>34606</v>
      </c>
      <c r="O478" s="2">
        <v>0</v>
      </c>
      <c r="Q478" s="2">
        <v>108832</v>
      </c>
      <c r="R478" s="2">
        <v>-93616</v>
      </c>
      <c r="S478" s="2">
        <v>13194</v>
      </c>
      <c r="T478" s="2">
        <v>17172</v>
      </c>
      <c r="U478" s="2">
        <v>0</v>
      </c>
      <c r="W478" s="2">
        <v>122601</v>
      </c>
      <c r="X478" s="2">
        <v>100439</v>
      </c>
      <c r="Y478" s="2">
        <v>81539</v>
      </c>
      <c r="Z478" s="2">
        <v>0</v>
      </c>
      <c r="AA478" s="2">
        <v>0</v>
      </c>
      <c r="AC478" s="2">
        <v>5451</v>
      </c>
      <c r="AD478" s="2">
        <v>2510</v>
      </c>
      <c r="AE478" s="2">
        <v>2510</v>
      </c>
      <c r="AF478" s="2">
        <v>2511</v>
      </c>
      <c r="AG478" s="2">
        <v>0</v>
      </c>
      <c r="AI478" s="2">
        <v>-10467</v>
      </c>
      <c r="AJ478" s="2">
        <v>-10467</v>
      </c>
      <c r="AK478" s="2">
        <v>-5565</v>
      </c>
      <c r="AL478" s="2">
        <v>0</v>
      </c>
      <c r="AM478" s="2">
        <v>0</v>
      </c>
    </row>
    <row r="479" spans="1:39">
      <c r="A479" s="335">
        <v>94804</v>
      </c>
      <c r="B479" s="328" t="s">
        <v>1171</v>
      </c>
      <c r="C479" s="239">
        <v>2.7999999999999999E-6</v>
      </c>
      <c r="E479" s="2">
        <v>1867</v>
      </c>
      <c r="F479" s="2">
        <v>990</v>
      </c>
      <c r="G479" s="2">
        <v>1112</v>
      </c>
      <c r="H479" s="2">
        <v>444</v>
      </c>
      <c r="I479" s="2">
        <v>0</v>
      </c>
      <c r="K479" s="2">
        <v>419</v>
      </c>
      <c r="L479" s="2">
        <v>395</v>
      </c>
      <c r="M479" s="2">
        <v>354</v>
      </c>
      <c r="N479" s="2">
        <v>142</v>
      </c>
      <c r="O479" s="2">
        <v>0</v>
      </c>
      <c r="Q479" s="2">
        <v>445</v>
      </c>
      <c r="R479" s="2">
        <v>-383</v>
      </c>
      <c r="S479" s="2">
        <v>54</v>
      </c>
      <c r="T479" s="2">
        <v>70</v>
      </c>
      <c r="U479" s="2">
        <v>0</v>
      </c>
      <c r="W479" s="2">
        <v>502</v>
      </c>
      <c r="X479" s="2">
        <v>411</v>
      </c>
      <c r="Y479" s="2">
        <v>334</v>
      </c>
      <c r="Z479" s="2">
        <v>0</v>
      </c>
      <c r="AA479" s="2">
        <v>0</v>
      </c>
      <c r="AC479" s="2">
        <v>567</v>
      </c>
      <c r="AD479" s="2">
        <v>567</v>
      </c>
      <c r="AE479" s="2">
        <v>370</v>
      </c>
      <c r="AF479" s="2">
        <v>232</v>
      </c>
      <c r="AG479" s="2">
        <v>0</v>
      </c>
      <c r="AI479" s="2">
        <v>-66</v>
      </c>
      <c r="AJ479" s="2">
        <v>0</v>
      </c>
      <c r="AK479" s="2">
        <v>0</v>
      </c>
      <c r="AL479" s="2">
        <v>0</v>
      </c>
      <c r="AM479" s="2">
        <v>0</v>
      </c>
    </row>
    <row r="480" spans="1:39">
      <c r="A480" s="335">
        <v>94812</v>
      </c>
      <c r="B480" s="328" t="s">
        <v>2797</v>
      </c>
      <c r="C480" s="239">
        <v>3.0000000000000001E-5</v>
      </c>
      <c r="E480" s="2">
        <v>18391</v>
      </c>
      <c r="F480" s="2">
        <v>6954</v>
      </c>
      <c r="G480" s="2">
        <v>9550</v>
      </c>
      <c r="H480" s="2">
        <v>3031</v>
      </c>
      <c r="I480" s="2">
        <v>0</v>
      </c>
      <c r="K480" s="2">
        <v>4494</v>
      </c>
      <c r="L480" s="2">
        <v>4228</v>
      </c>
      <c r="M480" s="2">
        <v>3789</v>
      </c>
      <c r="N480" s="2">
        <v>1517</v>
      </c>
      <c r="O480" s="2">
        <v>0</v>
      </c>
      <c r="Q480" s="2">
        <v>4771</v>
      </c>
      <c r="R480" s="2">
        <v>-4104</v>
      </c>
      <c r="S480" s="2">
        <v>578</v>
      </c>
      <c r="T480" s="2">
        <v>753</v>
      </c>
      <c r="U480" s="2">
        <v>0</v>
      </c>
      <c r="W480" s="2">
        <v>5375</v>
      </c>
      <c r="X480" s="2">
        <v>4403</v>
      </c>
      <c r="Y480" s="2">
        <v>3575</v>
      </c>
      <c r="Z480" s="2">
        <v>0</v>
      </c>
      <c r="AA480" s="2">
        <v>0</v>
      </c>
      <c r="AC480" s="2">
        <v>3751</v>
      </c>
      <c r="AD480" s="2">
        <v>2427</v>
      </c>
      <c r="AE480" s="2">
        <v>1608</v>
      </c>
      <c r="AF480" s="2">
        <v>761</v>
      </c>
      <c r="AG480" s="2">
        <v>0</v>
      </c>
      <c r="AI480" s="2">
        <v>0</v>
      </c>
      <c r="AJ480" s="2">
        <v>0</v>
      </c>
      <c r="AK480" s="2">
        <v>0</v>
      </c>
      <c r="AL480" s="2">
        <v>0</v>
      </c>
      <c r="AM480" s="2">
        <v>0</v>
      </c>
    </row>
    <row r="481" spans="1:39">
      <c r="A481" s="335">
        <v>94901</v>
      </c>
      <c r="B481" s="328" t="s">
        <v>1173</v>
      </c>
      <c r="C481" s="239">
        <v>7.2372000000000001E-3</v>
      </c>
      <c r="E481" s="2">
        <v>3585298</v>
      </c>
      <c r="F481" s="2">
        <v>1143226</v>
      </c>
      <c r="G481" s="2">
        <v>1986300</v>
      </c>
      <c r="H481" s="2">
        <v>562852</v>
      </c>
      <c r="I481" s="2">
        <v>0</v>
      </c>
      <c r="K481" s="2">
        <v>1084183</v>
      </c>
      <c r="L481" s="2">
        <v>1019866</v>
      </c>
      <c r="M481" s="2">
        <v>914095</v>
      </c>
      <c r="N481" s="2">
        <v>365992</v>
      </c>
      <c r="O481" s="2">
        <v>0</v>
      </c>
      <c r="Q481" s="2">
        <v>1151012</v>
      </c>
      <c r="R481" s="2">
        <v>-990085</v>
      </c>
      <c r="S481" s="2">
        <v>139540</v>
      </c>
      <c r="T481" s="2">
        <v>181610</v>
      </c>
      <c r="U481" s="2">
        <v>0</v>
      </c>
      <c r="W481" s="2">
        <v>1296631</v>
      </c>
      <c r="X481" s="2">
        <v>1062247</v>
      </c>
      <c r="Y481" s="2">
        <v>862363</v>
      </c>
      <c r="Z481" s="2">
        <v>0</v>
      </c>
      <c r="AA481" s="2">
        <v>0</v>
      </c>
      <c r="AC481" s="2">
        <v>72580</v>
      </c>
      <c r="AD481" s="2">
        <v>70304</v>
      </c>
      <c r="AE481" s="2">
        <v>70302</v>
      </c>
      <c r="AF481" s="2">
        <v>15250</v>
      </c>
      <c r="AG481" s="2">
        <v>0</v>
      </c>
      <c r="AI481" s="2">
        <v>-19108</v>
      </c>
      <c r="AJ481" s="2">
        <v>-19106</v>
      </c>
      <c r="AK481" s="2">
        <v>0</v>
      </c>
      <c r="AL481" s="2">
        <v>0</v>
      </c>
      <c r="AM481" s="2">
        <v>0</v>
      </c>
    </row>
    <row r="482" spans="1:39">
      <c r="A482" s="335">
        <v>94908</v>
      </c>
      <c r="B482" s="328" t="s">
        <v>3700</v>
      </c>
      <c r="C482" s="239">
        <v>5.9000000000000003E-6</v>
      </c>
      <c r="E482" s="2">
        <v>316</v>
      </c>
      <c r="F482" s="2">
        <v>-1312</v>
      </c>
      <c r="G482" s="2">
        <v>3875</v>
      </c>
      <c r="H482" s="2">
        <v>2858</v>
      </c>
      <c r="I482" s="2">
        <v>0</v>
      </c>
      <c r="K482" s="2">
        <v>884</v>
      </c>
      <c r="L482" s="2">
        <v>831</v>
      </c>
      <c r="M482" s="2">
        <v>745</v>
      </c>
      <c r="N482" s="2">
        <v>298</v>
      </c>
      <c r="O482" s="2">
        <v>0</v>
      </c>
      <c r="Q482" s="2">
        <v>938</v>
      </c>
      <c r="R482" s="2">
        <v>-807</v>
      </c>
      <c r="S482" s="2">
        <v>114</v>
      </c>
      <c r="T482" s="2">
        <v>148</v>
      </c>
      <c r="U482" s="2">
        <v>0</v>
      </c>
      <c r="W482" s="2">
        <v>1057</v>
      </c>
      <c r="X482" s="2">
        <v>866</v>
      </c>
      <c r="Y482" s="2">
        <v>703</v>
      </c>
      <c r="Z482" s="2">
        <v>0</v>
      </c>
      <c r="AA482" s="2">
        <v>0</v>
      </c>
      <c r="AC482" s="2">
        <v>2414</v>
      </c>
      <c r="AD482" s="2">
        <v>2414</v>
      </c>
      <c r="AE482" s="2">
        <v>2414</v>
      </c>
      <c r="AF482" s="2">
        <v>2412</v>
      </c>
      <c r="AG482" s="2">
        <v>0</v>
      </c>
      <c r="AI482" s="2">
        <v>-4977</v>
      </c>
      <c r="AJ482" s="2">
        <v>-4616</v>
      </c>
      <c r="AK482" s="2">
        <v>-101</v>
      </c>
      <c r="AL482" s="2">
        <v>0</v>
      </c>
      <c r="AM482" s="2">
        <v>0</v>
      </c>
    </row>
    <row r="483" spans="1:39">
      <c r="A483" s="335">
        <v>94911</v>
      </c>
      <c r="B483" s="328" t="s">
        <v>1175</v>
      </c>
      <c r="C483" s="239">
        <v>2.8782E-3</v>
      </c>
      <c r="E483" s="2">
        <v>1404620</v>
      </c>
      <c r="F483" s="2">
        <v>444205</v>
      </c>
      <c r="G483" s="2">
        <v>763168</v>
      </c>
      <c r="H483" s="2">
        <v>196181</v>
      </c>
      <c r="I483" s="2">
        <v>0</v>
      </c>
      <c r="K483" s="2">
        <v>431175</v>
      </c>
      <c r="L483" s="2">
        <v>405596</v>
      </c>
      <c r="M483" s="2">
        <v>363531</v>
      </c>
      <c r="N483" s="2">
        <v>145553</v>
      </c>
      <c r="O483" s="2">
        <v>0</v>
      </c>
      <c r="Q483" s="2">
        <v>457752</v>
      </c>
      <c r="R483" s="2">
        <v>-393752</v>
      </c>
      <c r="S483" s="2">
        <v>55495</v>
      </c>
      <c r="T483" s="2">
        <v>72226</v>
      </c>
      <c r="U483" s="2">
        <v>0</v>
      </c>
      <c r="W483" s="2">
        <v>515664</v>
      </c>
      <c r="X483" s="2">
        <v>422451</v>
      </c>
      <c r="Y483" s="2">
        <v>342958</v>
      </c>
      <c r="Z483" s="2">
        <v>0</v>
      </c>
      <c r="AA483" s="2">
        <v>0</v>
      </c>
      <c r="AC483" s="2">
        <v>31512</v>
      </c>
      <c r="AD483" s="2">
        <v>31510</v>
      </c>
      <c r="AE483" s="2">
        <v>22784</v>
      </c>
      <c r="AF483" s="2">
        <v>0</v>
      </c>
      <c r="AG483" s="2">
        <v>0</v>
      </c>
      <c r="AI483" s="2">
        <v>-31483</v>
      </c>
      <c r="AJ483" s="2">
        <v>-21600</v>
      </c>
      <c r="AK483" s="2">
        <v>-21600</v>
      </c>
      <c r="AL483" s="2">
        <v>-21598</v>
      </c>
      <c r="AM483" s="2">
        <v>0</v>
      </c>
    </row>
    <row r="484" spans="1:39">
      <c r="A484" s="335">
        <v>94917</v>
      </c>
      <c r="B484" s="328" t="s">
        <v>1176</v>
      </c>
      <c r="C484" s="239">
        <v>3.0700000000000001E-5</v>
      </c>
      <c r="E484" s="2">
        <v>22586</v>
      </c>
      <c r="F484" s="2">
        <v>11053</v>
      </c>
      <c r="G484" s="2">
        <v>12732</v>
      </c>
      <c r="H484" s="2">
        <v>5137</v>
      </c>
      <c r="I484" s="2">
        <v>0</v>
      </c>
      <c r="K484" s="2">
        <v>4599</v>
      </c>
      <c r="L484" s="2">
        <v>4326</v>
      </c>
      <c r="M484" s="2">
        <v>3878</v>
      </c>
      <c r="N484" s="2">
        <v>1553</v>
      </c>
      <c r="O484" s="2">
        <v>0</v>
      </c>
      <c r="Q484" s="2">
        <v>4883</v>
      </c>
      <c r="R484" s="2">
        <v>-4200</v>
      </c>
      <c r="S484" s="2">
        <v>592</v>
      </c>
      <c r="T484" s="2">
        <v>770</v>
      </c>
      <c r="U484" s="2">
        <v>0</v>
      </c>
      <c r="W484" s="2">
        <v>5500</v>
      </c>
      <c r="X484" s="2">
        <v>4506</v>
      </c>
      <c r="Y484" s="2">
        <v>3658</v>
      </c>
      <c r="Z484" s="2">
        <v>0</v>
      </c>
      <c r="AA484" s="2">
        <v>0</v>
      </c>
      <c r="AC484" s="2">
        <v>7604</v>
      </c>
      <c r="AD484" s="2">
        <v>6421</v>
      </c>
      <c r="AE484" s="2">
        <v>4604</v>
      </c>
      <c r="AF484" s="2">
        <v>2814</v>
      </c>
      <c r="AG484" s="2">
        <v>0</v>
      </c>
      <c r="AI484" s="2">
        <v>0</v>
      </c>
      <c r="AJ484" s="2">
        <v>0</v>
      </c>
      <c r="AK484" s="2">
        <v>0</v>
      </c>
      <c r="AL484" s="2">
        <v>0</v>
      </c>
      <c r="AM484" s="2">
        <v>0</v>
      </c>
    </row>
    <row r="485" spans="1:39">
      <c r="A485" s="335">
        <v>94921</v>
      </c>
      <c r="B485" s="328" t="s">
        <v>1177</v>
      </c>
      <c r="C485" s="239">
        <v>3.8489000000000002E-3</v>
      </c>
      <c r="E485" s="2">
        <v>1736853</v>
      </c>
      <c r="F485" s="2">
        <v>509981</v>
      </c>
      <c r="G485" s="2">
        <v>943385</v>
      </c>
      <c r="H485" s="2">
        <v>251636</v>
      </c>
      <c r="I485" s="2">
        <v>0</v>
      </c>
      <c r="K485" s="2">
        <v>576592</v>
      </c>
      <c r="L485" s="2">
        <v>542387</v>
      </c>
      <c r="M485" s="2">
        <v>486135</v>
      </c>
      <c r="N485" s="2">
        <v>194643</v>
      </c>
      <c r="O485" s="2">
        <v>0</v>
      </c>
      <c r="Q485" s="2">
        <v>612133</v>
      </c>
      <c r="R485" s="2">
        <v>-526549</v>
      </c>
      <c r="S485" s="2">
        <v>74211</v>
      </c>
      <c r="T485" s="2">
        <v>96584</v>
      </c>
      <c r="U485" s="2">
        <v>0</v>
      </c>
      <c r="W485" s="2">
        <v>689577</v>
      </c>
      <c r="X485" s="2">
        <v>564926</v>
      </c>
      <c r="Y485" s="2">
        <v>458623</v>
      </c>
      <c r="Z485" s="2">
        <v>0</v>
      </c>
      <c r="AA485" s="2">
        <v>0</v>
      </c>
      <c r="AC485" s="2">
        <v>4800</v>
      </c>
      <c r="AD485" s="2">
        <v>4801</v>
      </c>
      <c r="AE485" s="2">
        <v>0</v>
      </c>
      <c r="AF485" s="2">
        <v>0</v>
      </c>
      <c r="AG485" s="2">
        <v>0</v>
      </c>
      <c r="AI485" s="2">
        <v>-146249</v>
      </c>
      <c r="AJ485" s="2">
        <v>-75584</v>
      </c>
      <c r="AK485" s="2">
        <v>-75584</v>
      </c>
      <c r="AL485" s="2">
        <v>-39591</v>
      </c>
      <c r="AM485" s="2">
        <v>0</v>
      </c>
    </row>
    <row r="486" spans="1:39">
      <c r="A486" s="335">
        <v>94923</v>
      </c>
      <c r="B486" s="328" t="s">
        <v>1178</v>
      </c>
      <c r="C486" s="239">
        <v>2.7800000000000001E-5</v>
      </c>
      <c r="E486" s="2">
        <v>15195</v>
      </c>
      <c r="F486" s="2">
        <v>5692</v>
      </c>
      <c r="G486" s="2">
        <v>7673</v>
      </c>
      <c r="H486" s="2">
        <v>2358</v>
      </c>
      <c r="I486" s="2">
        <v>0</v>
      </c>
      <c r="K486" s="2">
        <v>4165</v>
      </c>
      <c r="L486" s="2">
        <v>3918</v>
      </c>
      <c r="M486" s="2">
        <v>3511</v>
      </c>
      <c r="N486" s="2">
        <v>1406</v>
      </c>
      <c r="O486" s="2">
        <v>0</v>
      </c>
      <c r="Q486" s="2">
        <v>4421</v>
      </c>
      <c r="R486" s="2">
        <v>-3803</v>
      </c>
      <c r="S486" s="2">
        <v>536</v>
      </c>
      <c r="T486" s="2">
        <v>698</v>
      </c>
      <c r="U486" s="2">
        <v>0</v>
      </c>
      <c r="W486" s="2">
        <v>4981</v>
      </c>
      <c r="X486" s="2">
        <v>4080</v>
      </c>
      <c r="Y486" s="2">
        <v>3313</v>
      </c>
      <c r="Z486" s="2">
        <v>0</v>
      </c>
      <c r="AA486" s="2">
        <v>0</v>
      </c>
      <c r="AC486" s="2">
        <v>1628</v>
      </c>
      <c r="AD486" s="2">
        <v>1497</v>
      </c>
      <c r="AE486" s="2">
        <v>313</v>
      </c>
      <c r="AF486" s="2">
        <v>254</v>
      </c>
      <c r="AG486" s="2">
        <v>0</v>
      </c>
      <c r="AI486" s="2">
        <v>0</v>
      </c>
      <c r="AJ486" s="2">
        <v>0</v>
      </c>
      <c r="AK486" s="2">
        <v>0</v>
      </c>
      <c r="AL486" s="2">
        <v>0</v>
      </c>
      <c r="AM486" s="2">
        <v>0</v>
      </c>
    </row>
    <row r="487" spans="1:39">
      <c r="A487" s="335">
        <v>94927</v>
      </c>
      <c r="B487" s="328" t="s">
        <v>1179</v>
      </c>
      <c r="C487" s="239">
        <v>2.5299999999999998E-5</v>
      </c>
      <c r="E487" s="2">
        <v>15101</v>
      </c>
      <c r="F487" s="2">
        <v>5956</v>
      </c>
      <c r="G487" s="2">
        <v>8733</v>
      </c>
      <c r="H487" s="2">
        <v>3172</v>
      </c>
      <c r="I487" s="2">
        <v>0</v>
      </c>
      <c r="K487" s="2">
        <v>3790</v>
      </c>
      <c r="L487" s="2">
        <v>3565</v>
      </c>
      <c r="M487" s="2">
        <v>3196</v>
      </c>
      <c r="N487" s="2">
        <v>1279</v>
      </c>
      <c r="O487" s="2">
        <v>0</v>
      </c>
      <c r="Q487" s="2">
        <v>4024</v>
      </c>
      <c r="R487" s="2">
        <v>-3461</v>
      </c>
      <c r="S487" s="2">
        <v>488</v>
      </c>
      <c r="T487" s="2">
        <v>635</v>
      </c>
      <c r="U487" s="2">
        <v>0</v>
      </c>
      <c r="W487" s="2">
        <v>4533</v>
      </c>
      <c r="X487" s="2">
        <v>3713</v>
      </c>
      <c r="Y487" s="2">
        <v>3015</v>
      </c>
      <c r="Z487" s="2">
        <v>0</v>
      </c>
      <c r="AA487" s="2">
        <v>0</v>
      </c>
      <c r="AC487" s="2">
        <v>2754</v>
      </c>
      <c r="AD487" s="2">
        <v>2139</v>
      </c>
      <c r="AE487" s="2">
        <v>2034</v>
      </c>
      <c r="AF487" s="2">
        <v>1258</v>
      </c>
      <c r="AG487" s="2">
        <v>0</v>
      </c>
      <c r="AI487" s="2">
        <v>0</v>
      </c>
      <c r="AJ487" s="2">
        <v>0</v>
      </c>
      <c r="AK487" s="2">
        <v>0</v>
      </c>
      <c r="AL487" s="2">
        <v>0</v>
      </c>
      <c r="AM487" s="2">
        <v>0</v>
      </c>
    </row>
    <row r="488" spans="1:39">
      <c r="A488" s="335">
        <v>94931</v>
      </c>
      <c r="B488" s="328" t="s">
        <v>1180</v>
      </c>
      <c r="C488" s="239">
        <v>2.142E-4</v>
      </c>
      <c r="E488" s="2">
        <v>101971</v>
      </c>
      <c r="F488" s="2">
        <v>33019</v>
      </c>
      <c r="G488" s="2">
        <v>57167</v>
      </c>
      <c r="H488" s="2">
        <v>18663</v>
      </c>
      <c r="I488" s="2">
        <v>0</v>
      </c>
      <c r="K488" s="2">
        <v>32089</v>
      </c>
      <c r="L488" s="2">
        <v>30185</v>
      </c>
      <c r="M488" s="2">
        <v>27055</v>
      </c>
      <c r="N488" s="2">
        <v>10832</v>
      </c>
      <c r="O488" s="2">
        <v>0</v>
      </c>
      <c r="Q488" s="2">
        <v>34067</v>
      </c>
      <c r="R488" s="2">
        <v>-29304</v>
      </c>
      <c r="S488" s="2">
        <v>4130</v>
      </c>
      <c r="T488" s="2">
        <v>5375</v>
      </c>
      <c r="U488" s="2">
        <v>0</v>
      </c>
      <c r="W488" s="2">
        <v>38377</v>
      </c>
      <c r="X488" s="2">
        <v>31439</v>
      </c>
      <c r="Y488" s="2">
        <v>25523</v>
      </c>
      <c r="Z488" s="2">
        <v>0</v>
      </c>
      <c r="AA488" s="2">
        <v>0</v>
      </c>
      <c r="AC488" s="2">
        <v>2696</v>
      </c>
      <c r="AD488" s="2">
        <v>2698</v>
      </c>
      <c r="AE488" s="2">
        <v>2458</v>
      </c>
      <c r="AF488" s="2">
        <v>2456</v>
      </c>
      <c r="AG488" s="2">
        <v>0</v>
      </c>
      <c r="AI488" s="2">
        <v>-5258</v>
      </c>
      <c r="AJ488" s="2">
        <v>-1999</v>
      </c>
      <c r="AK488" s="2">
        <v>-1999</v>
      </c>
      <c r="AL488" s="2">
        <v>0</v>
      </c>
      <c r="AM488" s="2">
        <v>0</v>
      </c>
    </row>
    <row r="489" spans="1:39">
      <c r="A489" s="335">
        <v>94937</v>
      </c>
      <c r="B489" s="328" t="s">
        <v>1933</v>
      </c>
      <c r="C489" s="239">
        <v>6.9E-6</v>
      </c>
      <c r="E489" s="2">
        <v>4851</v>
      </c>
      <c r="F489" s="2">
        <v>2525</v>
      </c>
      <c r="G489" s="2">
        <v>3311</v>
      </c>
      <c r="H489" s="2">
        <v>2006</v>
      </c>
      <c r="I489" s="2">
        <v>0</v>
      </c>
      <c r="K489" s="2">
        <v>1034</v>
      </c>
      <c r="L489" s="2">
        <v>972</v>
      </c>
      <c r="M489" s="2">
        <v>872</v>
      </c>
      <c r="N489" s="2">
        <v>349</v>
      </c>
      <c r="O489" s="2">
        <v>0</v>
      </c>
      <c r="Q489" s="2">
        <v>1097</v>
      </c>
      <c r="R489" s="2">
        <v>-944</v>
      </c>
      <c r="S489" s="2">
        <v>133</v>
      </c>
      <c r="T489" s="2">
        <v>173</v>
      </c>
      <c r="U489" s="2">
        <v>0</v>
      </c>
      <c r="W489" s="2">
        <v>1236</v>
      </c>
      <c r="X489" s="2">
        <v>1013</v>
      </c>
      <c r="Y489" s="2">
        <v>822</v>
      </c>
      <c r="Z489" s="2">
        <v>0</v>
      </c>
      <c r="AA489" s="2">
        <v>0</v>
      </c>
      <c r="AC489" s="2">
        <v>1484</v>
      </c>
      <c r="AD489" s="2">
        <v>1484</v>
      </c>
      <c r="AE489" s="2">
        <v>1484</v>
      </c>
      <c r="AF489" s="2">
        <v>1484</v>
      </c>
      <c r="AG489" s="2">
        <v>0</v>
      </c>
      <c r="AI489" s="2">
        <v>0</v>
      </c>
      <c r="AJ489" s="2">
        <v>0</v>
      </c>
      <c r="AK489" s="2">
        <v>0</v>
      </c>
      <c r="AL489" s="2">
        <v>0</v>
      </c>
      <c r="AM489" s="2">
        <v>0</v>
      </c>
    </row>
    <row r="490" spans="1:39">
      <c r="A490" s="335">
        <v>94941</v>
      </c>
      <c r="B490" s="328" t="s">
        <v>1181</v>
      </c>
      <c r="C490" s="239">
        <v>5.865E-4</v>
      </c>
      <c r="E490" s="2">
        <v>283895</v>
      </c>
      <c r="F490" s="2">
        <v>86060</v>
      </c>
      <c r="G490" s="2">
        <v>149141</v>
      </c>
      <c r="H490" s="2">
        <v>48077</v>
      </c>
      <c r="I490" s="2">
        <v>0</v>
      </c>
      <c r="K490" s="2">
        <v>87862</v>
      </c>
      <c r="L490" s="2">
        <v>82650</v>
      </c>
      <c r="M490" s="2">
        <v>74078</v>
      </c>
      <c r="N490" s="2">
        <v>29660</v>
      </c>
      <c r="O490" s="2">
        <v>0</v>
      </c>
      <c r="Q490" s="2">
        <v>93278</v>
      </c>
      <c r="R490" s="2">
        <v>-80236</v>
      </c>
      <c r="S490" s="2">
        <v>11308</v>
      </c>
      <c r="T490" s="2">
        <v>14718</v>
      </c>
      <c r="U490" s="2">
        <v>0</v>
      </c>
      <c r="W490" s="2">
        <v>105079</v>
      </c>
      <c r="X490" s="2">
        <v>86084</v>
      </c>
      <c r="Y490" s="2">
        <v>69886</v>
      </c>
      <c r="Z490" s="2">
        <v>0</v>
      </c>
      <c r="AA490" s="2">
        <v>0</v>
      </c>
      <c r="AC490" s="2">
        <v>7508</v>
      </c>
      <c r="AD490" s="2">
        <v>7394</v>
      </c>
      <c r="AE490" s="2">
        <v>3700</v>
      </c>
      <c r="AF490" s="2">
        <v>3699</v>
      </c>
      <c r="AG490" s="2">
        <v>0</v>
      </c>
      <c r="AI490" s="2">
        <v>-9832</v>
      </c>
      <c r="AJ490" s="2">
        <v>-9832</v>
      </c>
      <c r="AK490" s="2">
        <v>-9831</v>
      </c>
      <c r="AL490" s="2">
        <v>0</v>
      </c>
      <c r="AM490" s="2">
        <v>0</v>
      </c>
    </row>
    <row r="491" spans="1:39">
      <c r="A491" s="335">
        <v>94947</v>
      </c>
      <c r="B491" s="328" t="s">
        <v>1934</v>
      </c>
      <c r="C491" s="239">
        <v>5.9000000000000003E-6</v>
      </c>
      <c r="E491" s="2">
        <v>4455</v>
      </c>
      <c r="F491" s="2">
        <v>2466</v>
      </c>
      <c r="G491" s="2">
        <v>3138</v>
      </c>
      <c r="H491" s="2">
        <v>2023</v>
      </c>
      <c r="I491" s="2">
        <v>0</v>
      </c>
      <c r="K491" s="2">
        <v>884</v>
      </c>
      <c r="L491" s="2">
        <v>831</v>
      </c>
      <c r="M491" s="2">
        <v>745</v>
      </c>
      <c r="N491" s="2">
        <v>298</v>
      </c>
      <c r="O491" s="2">
        <v>0</v>
      </c>
      <c r="Q491" s="2">
        <v>938</v>
      </c>
      <c r="R491" s="2">
        <v>-807</v>
      </c>
      <c r="S491" s="2">
        <v>114</v>
      </c>
      <c r="T491" s="2">
        <v>148</v>
      </c>
      <c r="U491" s="2">
        <v>0</v>
      </c>
      <c r="W491" s="2">
        <v>1057</v>
      </c>
      <c r="X491" s="2">
        <v>866</v>
      </c>
      <c r="Y491" s="2">
        <v>703</v>
      </c>
      <c r="Z491" s="2">
        <v>0</v>
      </c>
      <c r="AA491" s="2">
        <v>0</v>
      </c>
      <c r="AC491" s="2">
        <v>1576</v>
      </c>
      <c r="AD491" s="2">
        <v>1576</v>
      </c>
      <c r="AE491" s="2">
        <v>1576</v>
      </c>
      <c r="AF491" s="2">
        <v>1577</v>
      </c>
      <c r="AG491" s="2">
        <v>0</v>
      </c>
      <c r="AI491" s="2">
        <v>0</v>
      </c>
      <c r="AJ491" s="2">
        <v>0</v>
      </c>
      <c r="AK491" s="2">
        <v>0</v>
      </c>
      <c r="AL491" s="2">
        <v>0</v>
      </c>
      <c r="AM491" s="2">
        <v>0</v>
      </c>
    </row>
    <row r="492" spans="1:39">
      <c r="A492" s="335">
        <v>95001</v>
      </c>
      <c r="B492" s="328" t="s">
        <v>1182</v>
      </c>
      <c r="C492" s="239">
        <v>2.2818999999999999E-3</v>
      </c>
      <c r="E492" s="2">
        <v>1162075</v>
      </c>
      <c r="F492" s="2">
        <v>382868</v>
      </c>
      <c r="G492" s="2">
        <v>613522</v>
      </c>
      <c r="H492" s="2">
        <v>194431</v>
      </c>
      <c r="I492" s="2">
        <v>0</v>
      </c>
      <c r="K492" s="2">
        <v>341845</v>
      </c>
      <c r="L492" s="2">
        <v>321565</v>
      </c>
      <c r="M492" s="2">
        <v>288215</v>
      </c>
      <c r="N492" s="2">
        <v>115398</v>
      </c>
      <c r="O492" s="2">
        <v>0</v>
      </c>
      <c r="Q492" s="2">
        <v>362916</v>
      </c>
      <c r="R492" s="2">
        <v>-312175</v>
      </c>
      <c r="S492" s="2">
        <v>43997</v>
      </c>
      <c r="T492" s="2">
        <v>57262</v>
      </c>
      <c r="U492" s="2">
        <v>0</v>
      </c>
      <c r="W492" s="2">
        <v>408830</v>
      </c>
      <c r="X492" s="2">
        <v>334928</v>
      </c>
      <c r="Y492" s="2">
        <v>271904</v>
      </c>
      <c r="Z492" s="2">
        <v>0</v>
      </c>
      <c r="AA492" s="2">
        <v>0</v>
      </c>
      <c r="AC492" s="2">
        <v>60850</v>
      </c>
      <c r="AD492" s="2">
        <v>50916</v>
      </c>
      <c r="AE492" s="2">
        <v>21772</v>
      </c>
      <c r="AF492" s="2">
        <v>21771</v>
      </c>
      <c r="AG492" s="2">
        <v>0</v>
      </c>
      <c r="AI492" s="2">
        <v>-12366</v>
      </c>
      <c r="AJ492" s="2">
        <v>-12366</v>
      </c>
      <c r="AK492" s="2">
        <v>-12366</v>
      </c>
      <c r="AL492" s="2">
        <v>0</v>
      </c>
      <c r="AM492" s="2">
        <v>0</v>
      </c>
    </row>
    <row r="493" spans="1:39">
      <c r="A493" s="335">
        <v>95002</v>
      </c>
      <c r="B493" s="328" t="s">
        <v>1183</v>
      </c>
      <c r="C493" s="239">
        <v>1.805E-4</v>
      </c>
      <c r="E493" s="2">
        <v>97745</v>
      </c>
      <c r="F493" s="2">
        <v>34180</v>
      </c>
      <c r="G493" s="2">
        <v>53827</v>
      </c>
      <c r="H493" s="2">
        <v>17361</v>
      </c>
      <c r="I493" s="2">
        <v>0</v>
      </c>
      <c r="K493" s="2">
        <v>27040</v>
      </c>
      <c r="L493" s="2">
        <v>25436</v>
      </c>
      <c r="M493" s="2">
        <v>22798</v>
      </c>
      <c r="N493" s="2">
        <v>9128</v>
      </c>
      <c r="O493" s="2">
        <v>0</v>
      </c>
      <c r="Q493" s="2">
        <v>28707</v>
      </c>
      <c r="R493" s="2">
        <v>-24693</v>
      </c>
      <c r="S493" s="2">
        <v>3480</v>
      </c>
      <c r="T493" s="2">
        <v>4529</v>
      </c>
      <c r="U493" s="2">
        <v>0</v>
      </c>
      <c r="W493" s="2">
        <v>32339</v>
      </c>
      <c r="X493" s="2">
        <v>26493</v>
      </c>
      <c r="Y493" s="2">
        <v>21508</v>
      </c>
      <c r="Z493" s="2">
        <v>0</v>
      </c>
      <c r="AA493" s="2">
        <v>0</v>
      </c>
      <c r="AC493" s="2">
        <v>9659</v>
      </c>
      <c r="AD493" s="2">
        <v>6944</v>
      </c>
      <c r="AE493" s="2">
        <v>6041</v>
      </c>
      <c r="AF493" s="2">
        <v>3704</v>
      </c>
      <c r="AG493" s="2">
        <v>0</v>
      </c>
      <c r="AI493" s="2">
        <v>0</v>
      </c>
      <c r="AJ493" s="2">
        <v>0</v>
      </c>
      <c r="AK493" s="2">
        <v>0</v>
      </c>
      <c r="AL493" s="2">
        <v>0</v>
      </c>
      <c r="AM493" s="2">
        <v>0</v>
      </c>
    </row>
    <row r="494" spans="1:39">
      <c r="A494" s="335">
        <v>95005</v>
      </c>
      <c r="B494" s="328" t="s">
        <v>1184</v>
      </c>
      <c r="C494" s="239">
        <v>1.8819999999999999E-4</v>
      </c>
      <c r="E494" s="2">
        <v>88812</v>
      </c>
      <c r="F494" s="2">
        <v>25456</v>
      </c>
      <c r="G494" s="2">
        <v>47218</v>
      </c>
      <c r="H494" s="2">
        <v>12339</v>
      </c>
      <c r="I494" s="2">
        <v>0</v>
      </c>
      <c r="K494" s="2">
        <v>28194</v>
      </c>
      <c r="L494" s="2">
        <v>26521</v>
      </c>
      <c r="M494" s="2">
        <v>23771</v>
      </c>
      <c r="N494" s="2">
        <v>9517</v>
      </c>
      <c r="O494" s="2">
        <v>0</v>
      </c>
      <c r="Q494" s="2">
        <v>29932</v>
      </c>
      <c r="R494" s="2">
        <v>-25747</v>
      </c>
      <c r="S494" s="2">
        <v>3629</v>
      </c>
      <c r="T494" s="2">
        <v>4723</v>
      </c>
      <c r="U494" s="2">
        <v>0</v>
      </c>
      <c r="W494" s="2">
        <v>33718</v>
      </c>
      <c r="X494" s="2">
        <v>27623</v>
      </c>
      <c r="Y494" s="2">
        <v>22425</v>
      </c>
      <c r="Z494" s="2">
        <v>0</v>
      </c>
      <c r="AA494" s="2">
        <v>0</v>
      </c>
      <c r="AC494" s="2">
        <v>0</v>
      </c>
      <c r="AD494" s="2">
        <v>0</v>
      </c>
      <c r="AE494" s="2">
        <v>0</v>
      </c>
      <c r="AF494" s="2">
        <v>0</v>
      </c>
      <c r="AG494" s="2">
        <v>0</v>
      </c>
      <c r="AI494" s="2">
        <v>-3032</v>
      </c>
      <c r="AJ494" s="2">
        <v>-2941</v>
      </c>
      <c r="AK494" s="2">
        <v>-2607</v>
      </c>
      <c r="AL494" s="2">
        <v>-1901</v>
      </c>
      <c r="AM494" s="2">
        <v>0</v>
      </c>
    </row>
    <row r="495" spans="1:39">
      <c r="A495" s="335">
        <v>95008</v>
      </c>
      <c r="B495" s="328" t="s">
        <v>3701</v>
      </c>
      <c r="C495" s="239">
        <v>1.193E-4</v>
      </c>
      <c r="E495" s="2">
        <v>62682</v>
      </c>
      <c r="F495" s="2">
        <v>24338</v>
      </c>
      <c r="G495" s="2">
        <v>36219</v>
      </c>
      <c r="H495" s="2">
        <v>11025</v>
      </c>
      <c r="I495" s="2">
        <v>0</v>
      </c>
      <c r="K495" s="2">
        <v>17872</v>
      </c>
      <c r="L495" s="2">
        <v>16812</v>
      </c>
      <c r="M495" s="2">
        <v>15068</v>
      </c>
      <c r="N495" s="2">
        <v>6033</v>
      </c>
      <c r="O495" s="2">
        <v>0</v>
      </c>
      <c r="Q495" s="2">
        <v>18974</v>
      </c>
      <c r="R495" s="2">
        <v>-16321</v>
      </c>
      <c r="S495" s="2">
        <v>2300</v>
      </c>
      <c r="T495" s="2">
        <v>2994</v>
      </c>
      <c r="U495" s="2">
        <v>0</v>
      </c>
      <c r="W495" s="2">
        <v>21374</v>
      </c>
      <c r="X495" s="2">
        <v>17510</v>
      </c>
      <c r="Y495" s="2">
        <v>14215</v>
      </c>
      <c r="Z495" s="2">
        <v>0</v>
      </c>
      <c r="AA495" s="2">
        <v>0</v>
      </c>
      <c r="AC495" s="2">
        <v>6339</v>
      </c>
      <c r="AD495" s="2">
        <v>6337</v>
      </c>
      <c r="AE495" s="2">
        <v>4636</v>
      </c>
      <c r="AF495" s="2">
        <v>1998</v>
      </c>
      <c r="AG495" s="2">
        <v>0</v>
      </c>
      <c r="AI495" s="2">
        <v>-1877</v>
      </c>
      <c r="AJ495" s="2">
        <v>0</v>
      </c>
      <c r="AK495" s="2">
        <v>0</v>
      </c>
      <c r="AL495" s="2">
        <v>0</v>
      </c>
      <c r="AM495" s="2">
        <v>0</v>
      </c>
    </row>
    <row r="496" spans="1:39">
      <c r="A496" s="335">
        <v>95009</v>
      </c>
      <c r="B496" s="328" t="s">
        <v>1186</v>
      </c>
      <c r="C496" s="239">
        <v>4.0723000000000001E-3</v>
      </c>
      <c r="E496" s="2">
        <v>2026157</v>
      </c>
      <c r="F496" s="2">
        <v>606000</v>
      </c>
      <c r="G496" s="2">
        <v>1034947</v>
      </c>
      <c r="H496" s="2">
        <v>293245</v>
      </c>
      <c r="I496" s="2">
        <v>0</v>
      </c>
      <c r="K496" s="2">
        <v>610059</v>
      </c>
      <c r="L496" s="2">
        <v>573869</v>
      </c>
      <c r="M496" s="2">
        <v>514352</v>
      </c>
      <c r="N496" s="2">
        <v>205940</v>
      </c>
      <c r="O496" s="2">
        <v>0</v>
      </c>
      <c r="Q496" s="2">
        <v>647663</v>
      </c>
      <c r="R496" s="2">
        <v>-557111</v>
      </c>
      <c r="S496" s="2">
        <v>78518</v>
      </c>
      <c r="T496" s="2">
        <v>102190</v>
      </c>
      <c r="U496" s="2">
        <v>0</v>
      </c>
      <c r="W496" s="2">
        <v>729601</v>
      </c>
      <c r="X496" s="2">
        <v>597716</v>
      </c>
      <c r="Y496" s="2">
        <v>485243</v>
      </c>
      <c r="Z496" s="2">
        <v>0</v>
      </c>
      <c r="AA496" s="2">
        <v>0</v>
      </c>
      <c r="AC496" s="2">
        <v>82000</v>
      </c>
      <c r="AD496" s="2">
        <v>34692</v>
      </c>
      <c r="AE496" s="2">
        <v>0</v>
      </c>
      <c r="AF496" s="2">
        <v>0</v>
      </c>
      <c r="AG496" s="2">
        <v>0</v>
      </c>
      <c r="AI496" s="2">
        <v>-43166</v>
      </c>
      <c r="AJ496" s="2">
        <v>-43166</v>
      </c>
      <c r="AK496" s="2">
        <v>-43166</v>
      </c>
      <c r="AL496" s="2">
        <v>-14885</v>
      </c>
      <c r="AM496" s="2">
        <v>0</v>
      </c>
    </row>
    <row r="497" spans="1:39">
      <c r="A497" s="335">
        <v>95011</v>
      </c>
      <c r="B497" s="328" t="s">
        <v>1187</v>
      </c>
      <c r="C497" s="239">
        <v>1.9230000000000001E-4</v>
      </c>
      <c r="E497" s="2">
        <v>94012</v>
      </c>
      <c r="F497" s="2">
        <v>30911</v>
      </c>
      <c r="G497" s="2">
        <v>51988</v>
      </c>
      <c r="H497" s="2">
        <v>14815</v>
      </c>
      <c r="I497" s="2">
        <v>0</v>
      </c>
      <c r="K497" s="2">
        <v>28808</v>
      </c>
      <c r="L497" s="2">
        <v>27099</v>
      </c>
      <c r="M497" s="2">
        <v>24288</v>
      </c>
      <c r="N497" s="2">
        <v>9725</v>
      </c>
      <c r="O497" s="2">
        <v>0</v>
      </c>
      <c r="Q497" s="2">
        <v>30584</v>
      </c>
      <c r="R497" s="2">
        <v>-26308</v>
      </c>
      <c r="S497" s="2">
        <v>3708</v>
      </c>
      <c r="T497" s="2">
        <v>4826</v>
      </c>
      <c r="U497" s="2">
        <v>0</v>
      </c>
      <c r="W497" s="2">
        <v>34453</v>
      </c>
      <c r="X497" s="2">
        <v>28225</v>
      </c>
      <c r="Y497" s="2">
        <v>22914</v>
      </c>
      <c r="Z497" s="2">
        <v>0</v>
      </c>
      <c r="AA497" s="2">
        <v>0</v>
      </c>
      <c r="AC497" s="2">
        <v>1897</v>
      </c>
      <c r="AD497" s="2">
        <v>1895</v>
      </c>
      <c r="AE497" s="2">
        <v>1078</v>
      </c>
      <c r="AF497" s="2">
        <v>264</v>
      </c>
      <c r="AG497" s="2">
        <v>0</v>
      </c>
      <c r="AI497" s="2">
        <v>-1730</v>
      </c>
      <c r="AJ497" s="2">
        <v>0</v>
      </c>
      <c r="AK497" s="2">
        <v>0</v>
      </c>
      <c r="AL497" s="2">
        <v>0</v>
      </c>
      <c r="AM497" s="2">
        <v>0</v>
      </c>
    </row>
    <row r="498" spans="1:39">
      <c r="A498" s="335">
        <v>95017</v>
      </c>
      <c r="B498" s="328" t="s">
        <v>1188</v>
      </c>
      <c r="C498" s="239">
        <v>5.1E-5</v>
      </c>
      <c r="E498" s="2">
        <v>25919</v>
      </c>
      <c r="F498" s="2">
        <v>7981</v>
      </c>
      <c r="G498" s="2">
        <v>13780</v>
      </c>
      <c r="H498" s="2">
        <v>3864</v>
      </c>
      <c r="I498" s="2">
        <v>0</v>
      </c>
      <c r="K498" s="2">
        <v>7640</v>
      </c>
      <c r="L498" s="2">
        <v>7187</v>
      </c>
      <c r="M498" s="2">
        <v>6442</v>
      </c>
      <c r="N498" s="2">
        <v>2579</v>
      </c>
      <c r="O498" s="2">
        <v>0</v>
      </c>
      <c r="Q498" s="2">
        <v>8111</v>
      </c>
      <c r="R498" s="2">
        <v>-6977</v>
      </c>
      <c r="S498" s="2">
        <v>983</v>
      </c>
      <c r="T498" s="2">
        <v>1280</v>
      </c>
      <c r="U498" s="2">
        <v>0</v>
      </c>
      <c r="W498" s="2">
        <v>9137</v>
      </c>
      <c r="X498" s="2">
        <v>7486</v>
      </c>
      <c r="Y498" s="2">
        <v>6077</v>
      </c>
      <c r="Z498" s="2">
        <v>0</v>
      </c>
      <c r="AA498" s="2">
        <v>0</v>
      </c>
      <c r="AC498" s="2">
        <v>1031</v>
      </c>
      <c r="AD498" s="2">
        <v>285</v>
      </c>
      <c r="AE498" s="2">
        <v>278</v>
      </c>
      <c r="AF498" s="2">
        <v>5</v>
      </c>
      <c r="AG498" s="2">
        <v>0</v>
      </c>
      <c r="AI498" s="2">
        <v>0</v>
      </c>
      <c r="AJ498" s="2">
        <v>0</v>
      </c>
      <c r="AK498" s="2">
        <v>0</v>
      </c>
      <c r="AL498" s="2">
        <v>0</v>
      </c>
      <c r="AM498" s="2">
        <v>0</v>
      </c>
    </row>
    <row r="499" spans="1:39">
      <c r="A499" s="335">
        <v>95101</v>
      </c>
      <c r="B499" s="328" t="s">
        <v>1189</v>
      </c>
      <c r="C499" s="239">
        <v>8.8515E-3</v>
      </c>
      <c r="E499" s="2">
        <v>4279680</v>
      </c>
      <c r="F499" s="2">
        <v>1316628</v>
      </c>
      <c r="G499" s="2">
        <v>2335496</v>
      </c>
      <c r="H499" s="2">
        <v>680428</v>
      </c>
      <c r="I499" s="2">
        <v>0</v>
      </c>
      <c r="K499" s="2">
        <v>1326017</v>
      </c>
      <c r="L499" s="2">
        <v>1247353</v>
      </c>
      <c r="M499" s="2">
        <v>1117989</v>
      </c>
      <c r="N499" s="2">
        <v>447629</v>
      </c>
      <c r="O499" s="2">
        <v>0</v>
      </c>
      <c r="Q499" s="2">
        <v>1407751</v>
      </c>
      <c r="R499" s="2">
        <v>-1210929</v>
      </c>
      <c r="S499" s="2">
        <v>170666</v>
      </c>
      <c r="T499" s="2">
        <v>222120</v>
      </c>
      <c r="U499" s="2">
        <v>0</v>
      </c>
      <c r="W499" s="2">
        <v>1585852</v>
      </c>
      <c r="X499" s="2">
        <v>1299188</v>
      </c>
      <c r="Y499" s="2">
        <v>1054718</v>
      </c>
      <c r="Z499" s="2">
        <v>0</v>
      </c>
      <c r="AA499" s="2">
        <v>0</v>
      </c>
      <c r="AC499" s="2">
        <v>10681</v>
      </c>
      <c r="AD499" s="2">
        <v>10681</v>
      </c>
      <c r="AE499" s="2">
        <v>10681</v>
      </c>
      <c r="AF499" s="2">
        <v>10679</v>
      </c>
      <c r="AG499" s="2">
        <v>0</v>
      </c>
      <c r="AI499" s="2">
        <v>-50621</v>
      </c>
      <c r="AJ499" s="2">
        <v>-29665</v>
      </c>
      <c r="AK499" s="2">
        <v>-18558</v>
      </c>
      <c r="AL499" s="2">
        <v>0</v>
      </c>
      <c r="AM499" s="2">
        <v>0</v>
      </c>
    </row>
    <row r="500" spans="1:39">
      <c r="A500" s="335">
        <v>95103</v>
      </c>
      <c r="B500" s="328" t="s">
        <v>1190</v>
      </c>
      <c r="C500" s="239">
        <v>5.0599999999999997E-5</v>
      </c>
      <c r="E500" s="2">
        <v>30661</v>
      </c>
      <c r="F500" s="2">
        <v>11824</v>
      </c>
      <c r="G500" s="2">
        <v>17346</v>
      </c>
      <c r="H500" s="2">
        <v>6923</v>
      </c>
      <c r="I500" s="2">
        <v>0</v>
      </c>
      <c r="K500" s="2">
        <v>7580</v>
      </c>
      <c r="L500" s="2">
        <v>7131</v>
      </c>
      <c r="M500" s="2">
        <v>6391</v>
      </c>
      <c r="N500" s="2">
        <v>2559</v>
      </c>
      <c r="O500" s="2">
        <v>0</v>
      </c>
      <c r="Q500" s="2">
        <v>8047</v>
      </c>
      <c r="R500" s="2">
        <v>-6922</v>
      </c>
      <c r="S500" s="2">
        <v>976</v>
      </c>
      <c r="T500" s="2">
        <v>1270</v>
      </c>
      <c r="U500" s="2">
        <v>0</v>
      </c>
      <c r="W500" s="2">
        <v>9066</v>
      </c>
      <c r="X500" s="2">
        <v>7427</v>
      </c>
      <c r="Y500" s="2">
        <v>6029</v>
      </c>
      <c r="Z500" s="2">
        <v>0</v>
      </c>
      <c r="AA500" s="2">
        <v>0</v>
      </c>
      <c r="AC500" s="2">
        <v>5968</v>
      </c>
      <c r="AD500" s="2">
        <v>4188</v>
      </c>
      <c r="AE500" s="2">
        <v>3950</v>
      </c>
      <c r="AF500" s="2">
        <v>3094</v>
      </c>
      <c r="AG500" s="2">
        <v>0</v>
      </c>
      <c r="AI500" s="2">
        <v>0</v>
      </c>
      <c r="AJ500" s="2">
        <v>0</v>
      </c>
      <c r="AK500" s="2">
        <v>0</v>
      </c>
      <c r="AL500" s="2">
        <v>0</v>
      </c>
      <c r="AM500" s="2">
        <v>0</v>
      </c>
    </row>
    <row r="501" spans="1:39">
      <c r="A501" s="335">
        <v>95104</v>
      </c>
      <c r="B501" s="328" t="s">
        <v>1191</v>
      </c>
      <c r="C501" s="239">
        <v>1.149E-4</v>
      </c>
      <c r="E501" s="2">
        <v>68112</v>
      </c>
      <c r="F501" s="2">
        <v>28283</v>
      </c>
      <c r="G501" s="2">
        <v>39410</v>
      </c>
      <c r="H501" s="2">
        <v>15715</v>
      </c>
      <c r="I501" s="2">
        <v>0</v>
      </c>
      <c r="K501" s="2">
        <v>17213</v>
      </c>
      <c r="L501" s="2">
        <v>16192</v>
      </c>
      <c r="M501" s="2">
        <v>14512</v>
      </c>
      <c r="N501" s="2">
        <v>5811</v>
      </c>
      <c r="O501" s="2">
        <v>0</v>
      </c>
      <c r="Q501" s="2">
        <v>18274</v>
      </c>
      <c r="R501" s="2">
        <v>-15719</v>
      </c>
      <c r="S501" s="2">
        <v>2215</v>
      </c>
      <c r="T501" s="2">
        <v>2883</v>
      </c>
      <c r="U501" s="2">
        <v>0</v>
      </c>
      <c r="W501" s="2">
        <v>20586</v>
      </c>
      <c r="X501" s="2">
        <v>16865</v>
      </c>
      <c r="Y501" s="2">
        <v>13691</v>
      </c>
      <c r="Z501" s="2">
        <v>0</v>
      </c>
      <c r="AA501" s="2">
        <v>0</v>
      </c>
      <c r="AC501" s="2">
        <v>12039</v>
      </c>
      <c r="AD501" s="2">
        <v>10945</v>
      </c>
      <c r="AE501" s="2">
        <v>8992</v>
      </c>
      <c r="AF501" s="2">
        <v>7021</v>
      </c>
      <c r="AG501" s="2">
        <v>0</v>
      </c>
      <c r="AI501" s="2">
        <v>0</v>
      </c>
      <c r="AJ501" s="2">
        <v>0</v>
      </c>
      <c r="AK501" s="2">
        <v>0</v>
      </c>
      <c r="AL501" s="2">
        <v>0</v>
      </c>
      <c r="AM501" s="2">
        <v>0</v>
      </c>
    </row>
    <row r="502" spans="1:39">
      <c r="A502" s="335">
        <v>95105</v>
      </c>
      <c r="B502" s="328" t="s">
        <v>3702</v>
      </c>
      <c r="C502" s="239">
        <v>7.1500000000000003E-5</v>
      </c>
      <c r="E502" s="2">
        <v>39276</v>
      </c>
      <c r="F502" s="2">
        <v>14541</v>
      </c>
      <c r="G502" s="2">
        <v>22058</v>
      </c>
      <c r="H502" s="2">
        <v>6985</v>
      </c>
      <c r="I502" s="2">
        <v>0</v>
      </c>
      <c r="K502" s="2">
        <v>10711</v>
      </c>
      <c r="L502" s="2">
        <v>10076</v>
      </c>
      <c r="M502" s="2">
        <v>9031</v>
      </c>
      <c r="N502" s="2">
        <v>3616</v>
      </c>
      <c r="O502" s="2">
        <v>0</v>
      </c>
      <c r="Q502" s="2">
        <v>11371</v>
      </c>
      <c r="R502" s="2">
        <v>-9782</v>
      </c>
      <c r="S502" s="2">
        <v>1379</v>
      </c>
      <c r="T502" s="2">
        <v>1794</v>
      </c>
      <c r="U502" s="2">
        <v>0</v>
      </c>
      <c r="W502" s="2">
        <v>12810</v>
      </c>
      <c r="X502" s="2">
        <v>10494</v>
      </c>
      <c r="Y502" s="2">
        <v>8520</v>
      </c>
      <c r="Z502" s="2">
        <v>0</v>
      </c>
      <c r="AA502" s="2">
        <v>0</v>
      </c>
      <c r="AC502" s="2">
        <v>4384</v>
      </c>
      <c r="AD502" s="2">
        <v>3753</v>
      </c>
      <c r="AE502" s="2">
        <v>3128</v>
      </c>
      <c r="AF502" s="2">
        <v>1575</v>
      </c>
      <c r="AG502" s="2">
        <v>0</v>
      </c>
      <c r="AI502" s="2">
        <v>0</v>
      </c>
      <c r="AJ502" s="2">
        <v>0</v>
      </c>
      <c r="AK502" s="2">
        <v>0</v>
      </c>
      <c r="AL502" s="2">
        <v>0</v>
      </c>
      <c r="AM502" s="2">
        <v>0</v>
      </c>
    </row>
    <row r="503" spans="1:39">
      <c r="A503" s="335">
        <v>95106</v>
      </c>
      <c r="B503" s="328" t="s">
        <v>1193</v>
      </c>
      <c r="C503" s="239">
        <v>1.29E-5</v>
      </c>
      <c r="E503" s="2">
        <v>7434</v>
      </c>
      <c r="F503" s="2">
        <v>2384</v>
      </c>
      <c r="G503" s="2">
        <v>4213</v>
      </c>
      <c r="H503" s="2">
        <v>1199</v>
      </c>
      <c r="I503" s="2">
        <v>0</v>
      </c>
      <c r="K503" s="2">
        <v>1933</v>
      </c>
      <c r="L503" s="2">
        <v>1818</v>
      </c>
      <c r="M503" s="2">
        <v>1629</v>
      </c>
      <c r="N503" s="2">
        <v>652</v>
      </c>
      <c r="O503" s="2">
        <v>0</v>
      </c>
      <c r="Q503" s="2">
        <v>2052</v>
      </c>
      <c r="R503" s="2">
        <v>-1765</v>
      </c>
      <c r="S503" s="2">
        <v>249</v>
      </c>
      <c r="T503" s="2">
        <v>324</v>
      </c>
      <c r="U503" s="2">
        <v>0</v>
      </c>
      <c r="W503" s="2">
        <v>2311</v>
      </c>
      <c r="X503" s="2">
        <v>1893</v>
      </c>
      <c r="Y503" s="2">
        <v>1537</v>
      </c>
      <c r="Z503" s="2">
        <v>0</v>
      </c>
      <c r="AA503" s="2">
        <v>0</v>
      </c>
      <c r="AC503" s="2">
        <v>1496</v>
      </c>
      <c r="AD503" s="2">
        <v>798</v>
      </c>
      <c r="AE503" s="2">
        <v>798</v>
      </c>
      <c r="AF503" s="2">
        <v>223</v>
      </c>
      <c r="AG503" s="2">
        <v>0</v>
      </c>
      <c r="AI503" s="2">
        <v>-358</v>
      </c>
      <c r="AJ503" s="2">
        <v>-360</v>
      </c>
      <c r="AK503" s="2">
        <v>0</v>
      </c>
      <c r="AL503" s="2">
        <v>0</v>
      </c>
      <c r="AM503" s="2">
        <v>0</v>
      </c>
    </row>
    <row r="504" spans="1:39">
      <c r="A504" s="335">
        <v>95110</v>
      </c>
      <c r="B504" s="328" t="s">
        <v>1194</v>
      </c>
      <c r="C504" s="239">
        <v>3.1538E-3</v>
      </c>
      <c r="E504" s="2">
        <v>1247003</v>
      </c>
      <c r="F504" s="2">
        <v>305225</v>
      </c>
      <c r="G504" s="2">
        <v>693715</v>
      </c>
      <c r="H504" s="2">
        <v>184700</v>
      </c>
      <c r="I504" s="2">
        <v>0</v>
      </c>
      <c r="K504" s="2">
        <v>472461</v>
      </c>
      <c r="L504" s="2">
        <v>444433</v>
      </c>
      <c r="M504" s="2">
        <v>398341</v>
      </c>
      <c r="N504" s="2">
        <v>159491</v>
      </c>
      <c r="O504" s="2">
        <v>0</v>
      </c>
      <c r="Q504" s="2">
        <v>501584</v>
      </c>
      <c r="R504" s="2">
        <v>-431456</v>
      </c>
      <c r="S504" s="2">
        <v>60808</v>
      </c>
      <c r="T504" s="2">
        <v>79141</v>
      </c>
      <c r="U504" s="2">
        <v>0</v>
      </c>
      <c r="W504" s="2">
        <v>565041</v>
      </c>
      <c r="X504" s="2">
        <v>462902</v>
      </c>
      <c r="Y504" s="2">
        <v>375797</v>
      </c>
      <c r="Z504" s="2">
        <v>0</v>
      </c>
      <c r="AA504" s="2">
        <v>0</v>
      </c>
      <c r="AC504" s="2">
        <v>0</v>
      </c>
      <c r="AD504" s="2">
        <v>0</v>
      </c>
      <c r="AE504" s="2">
        <v>0</v>
      </c>
      <c r="AF504" s="2">
        <v>0</v>
      </c>
      <c r="AG504" s="2">
        <v>0</v>
      </c>
      <c r="AI504" s="2">
        <v>-292083</v>
      </c>
      <c r="AJ504" s="2">
        <v>-170654</v>
      </c>
      <c r="AK504" s="2">
        <v>-141231</v>
      </c>
      <c r="AL504" s="2">
        <v>-53932</v>
      </c>
      <c r="AM504" s="2">
        <v>0</v>
      </c>
    </row>
    <row r="505" spans="1:39">
      <c r="A505" s="335">
        <v>95111</v>
      </c>
      <c r="B505" s="328" t="s">
        <v>1195</v>
      </c>
      <c r="C505" s="239">
        <v>1.0529000000000001E-3</v>
      </c>
      <c r="E505" s="2">
        <v>470623</v>
      </c>
      <c r="F505" s="2">
        <v>132741</v>
      </c>
      <c r="G505" s="2">
        <v>256413</v>
      </c>
      <c r="H505" s="2">
        <v>60227</v>
      </c>
      <c r="I505" s="2">
        <v>0</v>
      </c>
      <c r="K505" s="2">
        <v>157732</v>
      </c>
      <c r="L505" s="2">
        <v>148375</v>
      </c>
      <c r="M505" s="2">
        <v>132987</v>
      </c>
      <c r="N505" s="2">
        <v>53246</v>
      </c>
      <c r="O505" s="2">
        <v>0</v>
      </c>
      <c r="Q505" s="2">
        <v>167454</v>
      </c>
      <c r="R505" s="2">
        <v>-144042</v>
      </c>
      <c r="S505" s="2">
        <v>20301</v>
      </c>
      <c r="T505" s="2">
        <v>26421</v>
      </c>
      <c r="U505" s="2">
        <v>0</v>
      </c>
      <c r="W505" s="2">
        <v>188640</v>
      </c>
      <c r="X505" s="2">
        <v>154540</v>
      </c>
      <c r="Y505" s="2">
        <v>125460</v>
      </c>
      <c r="Z505" s="2">
        <v>0</v>
      </c>
      <c r="AA505" s="2">
        <v>0</v>
      </c>
      <c r="AC505" s="2">
        <v>0</v>
      </c>
      <c r="AD505" s="2">
        <v>0</v>
      </c>
      <c r="AE505" s="2">
        <v>0</v>
      </c>
      <c r="AF505" s="2">
        <v>0</v>
      </c>
      <c r="AG505" s="2">
        <v>0</v>
      </c>
      <c r="AI505" s="2">
        <v>-43203</v>
      </c>
      <c r="AJ505" s="2">
        <v>-26132</v>
      </c>
      <c r="AK505" s="2">
        <v>-22335</v>
      </c>
      <c r="AL505" s="2">
        <v>-19440</v>
      </c>
      <c r="AM505" s="2">
        <v>0</v>
      </c>
    </row>
    <row r="506" spans="1:39">
      <c r="A506" s="335">
        <v>95113</v>
      </c>
      <c r="B506" s="328" t="s">
        <v>1196</v>
      </c>
      <c r="C506" s="239">
        <v>4.5300000000000003E-5</v>
      </c>
      <c r="E506" s="2">
        <v>60465</v>
      </c>
      <c r="F506" s="2">
        <v>37231</v>
      </c>
      <c r="G506" s="2">
        <v>33574</v>
      </c>
      <c r="H506" s="2">
        <v>14834</v>
      </c>
      <c r="I506" s="2">
        <v>0</v>
      </c>
      <c r="K506" s="2">
        <v>6786</v>
      </c>
      <c r="L506" s="2">
        <v>6384</v>
      </c>
      <c r="M506" s="2">
        <v>5722</v>
      </c>
      <c r="N506" s="2">
        <v>2291</v>
      </c>
      <c r="O506" s="2">
        <v>0</v>
      </c>
      <c r="Q506" s="2">
        <v>7205</v>
      </c>
      <c r="R506" s="2">
        <v>-6197</v>
      </c>
      <c r="S506" s="2">
        <v>873</v>
      </c>
      <c r="T506" s="2">
        <v>1137</v>
      </c>
      <c r="U506" s="2">
        <v>0</v>
      </c>
      <c r="W506" s="2">
        <v>8116</v>
      </c>
      <c r="X506" s="2">
        <v>6649</v>
      </c>
      <c r="Y506" s="2">
        <v>5398</v>
      </c>
      <c r="Z506" s="2">
        <v>0</v>
      </c>
      <c r="AA506" s="2">
        <v>0</v>
      </c>
      <c r="AC506" s="2">
        <v>38358</v>
      </c>
      <c r="AD506" s="2">
        <v>30395</v>
      </c>
      <c r="AE506" s="2">
        <v>21581</v>
      </c>
      <c r="AF506" s="2">
        <v>11406</v>
      </c>
      <c r="AG506" s="2">
        <v>0</v>
      </c>
      <c r="AI506" s="2">
        <v>0</v>
      </c>
      <c r="AJ506" s="2">
        <v>0</v>
      </c>
      <c r="AK506" s="2">
        <v>0</v>
      </c>
      <c r="AL506" s="2">
        <v>0</v>
      </c>
      <c r="AM506" s="2">
        <v>0</v>
      </c>
    </row>
    <row r="507" spans="1:39">
      <c r="A507" s="335">
        <v>95121</v>
      </c>
      <c r="B507" s="328" t="s">
        <v>1197</v>
      </c>
      <c r="C507" s="239">
        <v>4.6769999999999998E-4</v>
      </c>
      <c r="E507" s="2">
        <v>221157</v>
      </c>
      <c r="F507" s="2">
        <v>61441</v>
      </c>
      <c r="G507" s="2">
        <v>115118</v>
      </c>
      <c r="H507" s="2">
        <v>25086</v>
      </c>
      <c r="I507" s="2">
        <v>0</v>
      </c>
      <c r="K507" s="2">
        <v>70065</v>
      </c>
      <c r="L507" s="2">
        <v>65908</v>
      </c>
      <c r="M507" s="2">
        <v>59073</v>
      </c>
      <c r="N507" s="2">
        <v>23652</v>
      </c>
      <c r="O507" s="2">
        <v>0</v>
      </c>
      <c r="Q507" s="2">
        <v>74383</v>
      </c>
      <c r="R507" s="2">
        <v>-63984</v>
      </c>
      <c r="S507" s="2">
        <v>9018</v>
      </c>
      <c r="T507" s="2">
        <v>11736</v>
      </c>
      <c r="U507" s="2">
        <v>0</v>
      </c>
      <c r="W507" s="2">
        <v>83794</v>
      </c>
      <c r="X507" s="2">
        <v>68647</v>
      </c>
      <c r="Y507" s="2">
        <v>55730</v>
      </c>
      <c r="Z507" s="2">
        <v>0</v>
      </c>
      <c r="AA507" s="2">
        <v>0</v>
      </c>
      <c r="AC507" s="2">
        <v>3647</v>
      </c>
      <c r="AD507" s="2">
        <v>1603</v>
      </c>
      <c r="AE507" s="2">
        <v>1601</v>
      </c>
      <c r="AF507" s="2">
        <v>0</v>
      </c>
      <c r="AG507" s="2">
        <v>0</v>
      </c>
      <c r="AI507" s="2">
        <v>-10732</v>
      </c>
      <c r="AJ507" s="2">
        <v>-10733</v>
      </c>
      <c r="AK507" s="2">
        <v>-10304</v>
      </c>
      <c r="AL507" s="2">
        <v>-10302</v>
      </c>
      <c r="AM507" s="2">
        <v>0</v>
      </c>
    </row>
    <row r="508" spans="1:39">
      <c r="A508" s="335">
        <v>95122</v>
      </c>
      <c r="B508" s="328" t="s">
        <v>1198</v>
      </c>
      <c r="C508" s="239">
        <v>1.5400000000000002E-5</v>
      </c>
      <c r="E508" s="2">
        <v>10887</v>
      </c>
      <c r="F508" s="2">
        <v>5475</v>
      </c>
      <c r="G508" s="2">
        <v>6586</v>
      </c>
      <c r="H508" s="2">
        <v>3380</v>
      </c>
      <c r="I508" s="2">
        <v>0</v>
      </c>
      <c r="K508" s="2">
        <v>2307</v>
      </c>
      <c r="L508" s="2">
        <v>2170</v>
      </c>
      <c r="M508" s="2">
        <v>1945</v>
      </c>
      <c r="N508" s="2">
        <v>779</v>
      </c>
      <c r="O508" s="2">
        <v>0</v>
      </c>
      <c r="Q508" s="2">
        <v>2449</v>
      </c>
      <c r="R508" s="2">
        <v>-2107</v>
      </c>
      <c r="S508" s="2">
        <v>297</v>
      </c>
      <c r="T508" s="2">
        <v>386</v>
      </c>
      <c r="U508" s="2">
        <v>0</v>
      </c>
      <c r="W508" s="2">
        <v>2759</v>
      </c>
      <c r="X508" s="2">
        <v>2260</v>
      </c>
      <c r="Y508" s="2">
        <v>1835</v>
      </c>
      <c r="Z508" s="2">
        <v>0</v>
      </c>
      <c r="AA508" s="2">
        <v>0</v>
      </c>
      <c r="AC508" s="2">
        <v>3372</v>
      </c>
      <c r="AD508" s="2">
        <v>3152</v>
      </c>
      <c r="AE508" s="2">
        <v>2509</v>
      </c>
      <c r="AF508" s="2">
        <v>2215</v>
      </c>
      <c r="AG508" s="2">
        <v>0</v>
      </c>
      <c r="AI508" s="2">
        <v>0</v>
      </c>
      <c r="AJ508" s="2">
        <v>0</v>
      </c>
      <c r="AK508" s="2">
        <v>0</v>
      </c>
      <c r="AL508" s="2">
        <v>0</v>
      </c>
      <c r="AM508" s="2">
        <v>0</v>
      </c>
    </row>
    <row r="509" spans="1:39">
      <c r="A509" s="335">
        <v>95123</v>
      </c>
      <c r="B509" s="328" t="s">
        <v>1199</v>
      </c>
      <c r="C509" s="239">
        <v>4.8999999999999998E-5</v>
      </c>
      <c r="E509" s="2">
        <v>25302</v>
      </c>
      <c r="F509" s="2">
        <v>7705</v>
      </c>
      <c r="G509" s="2">
        <v>12598</v>
      </c>
      <c r="H509" s="2">
        <v>3296</v>
      </c>
      <c r="I509" s="2">
        <v>0</v>
      </c>
      <c r="K509" s="2">
        <v>7341</v>
      </c>
      <c r="L509" s="2">
        <v>6905</v>
      </c>
      <c r="M509" s="2">
        <v>6189</v>
      </c>
      <c r="N509" s="2">
        <v>2478</v>
      </c>
      <c r="O509" s="2">
        <v>0</v>
      </c>
      <c r="Q509" s="2">
        <v>7793</v>
      </c>
      <c r="R509" s="2">
        <v>-6703</v>
      </c>
      <c r="S509" s="2">
        <v>945</v>
      </c>
      <c r="T509" s="2">
        <v>1230</v>
      </c>
      <c r="U509" s="2">
        <v>0</v>
      </c>
      <c r="W509" s="2">
        <v>8779</v>
      </c>
      <c r="X509" s="2">
        <v>7192</v>
      </c>
      <c r="Y509" s="2">
        <v>5839</v>
      </c>
      <c r="Z509" s="2">
        <v>0</v>
      </c>
      <c r="AA509" s="2">
        <v>0</v>
      </c>
      <c r="AC509" s="2">
        <v>1802</v>
      </c>
      <c r="AD509" s="2">
        <v>724</v>
      </c>
      <c r="AE509" s="2">
        <v>38</v>
      </c>
      <c r="AF509" s="2">
        <v>0</v>
      </c>
      <c r="AG509" s="2">
        <v>0</v>
      </c>
      <c r="AI509" s="2">
        <v>-413</v>
      </c>
      <c r="AJ509" s="2">
        <v>-413</v>
      </c>
      <c r="AK509" s="2">
        <v>-413</v>
      </c>
      <c r="AL509" s="2">
        <v>-412</v>
      </c>
      <c r="AM509" s="2">
        <v>0</v>
      </c>
    </row>
    <row r="510" spans="1:39">
      <c r="A510" s="335">
        <v>95131</v>
      </c>
      <c r="B510" s="328" t="s">
        <v>1200</v>
      </c>
      <c r="C510" s="239">
        <v>1.7905E-3</v>
      </c>
      <c r="E510" s="2">
        <v>903918</v>
      </c>
      <c r="F510" s="2">
        <v>296309</v>
      </c>
      <c r="G510" s="2">
        <v>482748</v>
      </c>
      <c r="H510" s="2">
        <v>138017</v>
      </c>
      <c r="I510" s="2">
        <v>0</v>
      </c>
      <c r="K510" s="2">
        <v>268229</v>
      </c>
      <c r="L510" s="2">
        <v>252317</v>
      </c>
      <c r="M510" s="2">
        <v>226149</v>
      </c>
      <c r="N510" s="2">
        <v>90547</v>
      </c>
      <c r="O510" s="2">
        <v>0</v>
      </c>
      <c r="Q510" s="2">
        <v>284763</v>
      </c>
      <c r="R510" s="2">
        <v>-244949</v>
      </c>
      <c r="S510" s="2">
        <v>34523</v>
      </c>
      <c r="T510" s="2">
        <v>44931</v>
      </c>
      <c r="U510" s="2">
        <v>0</v>
      </c>
      <c r="W510" s="2">
        <v>320790</v>
      </c>
      <c r="X510" s="2">
        <v>262802</v>
      </c>
      <c r="Y510" s="2">
        <v>213351</v>
      </c>
      <c r="Z510" s="2">
        <v>0</v>
      </c>
      <c r="AA510" s="2">
        <v>0</v>
      </c>
      <c r="AC510" s="2">
        <v>30136</v>
      </c>
      <c r="AD510" s="2">
        <v>26139</v>
      </c>
      <c r="AE510" s="2">
        <v>8725</v>
      </c>
      <c r="AF510" s="2">
        <v>2539</v>
      </c>
      <c r="AG510" s="2">
        <v>0</v>
      </c>
      <c r="AI510" s="2">
        <v>0</v>
      </c>
      <c r="AJ510" s="2">
        <v>0</v>
      </c>
      <c r="AK510" s="2">
        <v>0</v>
      </c>
      <c r="AL510" s="2">
        <v>0</v>
      </c>
      <c r="AM510" s="2">
        <v>0</v>
      </c>
    </row>
    <row r="511" spans="1:39">
      <c r="A511" s="335">
        <v>95141</v>
      </c>
      <c r="B511" s="328" t="s">
        <v>1201</v>
      </c>
      <c r="C511" s="239">
        <v>3.6099999999999999E-4</v>
      </c>
      <c r="E511" s="2">
        <v>176433</v>
      </c>
      <c r="F511" s="2">
        <v>55139</v>
      </c>
      <c r="G511" s="2">
        <v>98942</v>
      </c>
      <c r="H511" s="2">
        <v>32404</v>
      </c>
      <c r="I511" s="2">
        <v>0</v>
      </c>
      <c r="K511" s="2">
        <v>54080</v>
      </c>
      <c r="L511" s="2">
        <v>50872</v>
      </c>
      <c r="M511" s="2">
        <v>45596</v>
      </c>
      <c r="N511" s="2">
        <v>18256</v>
      </c>
      <c r="O511" s="2">
        <v>0</v>
      </c>
      <c r="Q511" s="2">
        <v>57414</v>
      </c>
      <c r="R511" s="2">
        <v>-49387</v>
      </c>
      <c r="S511" s="2">
        <v>6960</v>
      </c>
      <c r="T511" s="2">
        <v>9059</v>
      </c>
      <c r="U511" s="2">
        <v>0</v>
      </c>
      <c r="W511" s="2">
        <v>64677</v>
      </c>
      <c r="X511" s="2">
        <v>52986</v>
      </c>
      <c r="Y511" s="2">
        <v>43016</v>
      </c>
      <c r="Z511" s="2">
        <v>0</v>
      </c>
      <c r="AA511" s="2">
        <v>0</v>
      </c>
      <c r="AC511" s="2">
        <v>5089</v>
      </c>
      <c r="AD511" s="2">
        <v>5089</v>
      </c>
      <c r="AE511" s="2">
        <v>5089</v>
      </c>
      <c r="AF511" s="2">
        <v>5089</v>
      </c>
      <c r="AG511" s="2">
        <v>0</v>
      </c>
      <c r="AI511" s="2">
        <v>-4827</v>
      </c>
      <c r="AJ511" s="2">
        <v>-4421</v>
      </c>
      <c r="AK511" s="2">
        <v>-1719</v>
      </c>
      <c r="AL511" s="2">
        <v>0</v>
      </c>
      <c r="AM511" s="2">
        <v>0</v>
      </c>
    </row>
    <row r="512" spans="1:39">
      <c r="A512" s="335">
        <v>95151</v>
      </c>
      <c r="B512" s="328" t="s">
        <v>1202</v>
      </c>
      <c r="C512" s="239">
        <v>1.1010000000000001E-4</v>
      </c>
      <c r="E512" s="2">
        <v>50246</v>
      </c>
      <c r="F512" s="2">
        <v>13247</v>
      </c>
      <c r="G512" s="2">
        <v>27583</v>
      </c>
      <c r="H512" s="2">
        <v>6704</v>
      </c>
      <c r="I512" s="2">
        <v>0</v>
      </c>
      <c r="K512" s="2">
        <v>16494</v>
      </c>
      <c r="L512" s="2">
        <v>15515</v>
      </c>
      <c r="M512" s="2">
        <v>13906</v>
      </c>
      <c r="N512" s="2">
        <v>5568</v>
      </c>
      <c r="O512" s="2">
        <v>0</v>
      </c>
      <c r="Q512" s="2">
        <v>17510</v>
      </c>
      <c r="R512" s="2">
        <v>-15062</v>
      </c>
      <c r="S512" s="2">
        <v>2123</v>
      </c>
      <c r="T512" s="2">
        <v>2763</v>
      </c>
      <c r="U512" s="2">
        <v>0</v>
      </c>
      <c r="W512" s="2">
        <v>19726</v>
      </c>
      <c r="X512" s="2">
        <v>16160</v>
      </c>
      <c r="Y512" s="2">
        <v>13119</v>
      </c>
      <c r="Z512" s="2">
        <v>0</v>
      </c>
      <c r="AA512" s="2">
        <v>0</v>
      </c>
      <c r="AC512" s="2">
        <v>62</v>
      </c>
      <c r="AD512" s="2">
        <v>62</v>
      </c>
      <c r="AE512" s="2">
        <v>63</v>
      </c>
      <c r="AF512" s="2">
        <v>0</v>
      </c>
      <c r="AG512" s="2">
        <v>0</v>
      </c>
      <c r="AI512" s="2">
        <v>-3546</v>
      </c>
      <c r="AJ512" s="2">
        <v>-3428</v>
      </c>
      <c r="AK512" s="2">
        <v>-1628</v>
      </c>
      <c r="AL512" s="2">
        <v>-1627</v>
      </c>
      <c r="AM512" s="2">
        <v>0</v>
      </c>
    </row>
    <row r="513" spans="1:39">
      <c r="A513" s="335">
        <v>95161</v>
      </c>
      <c r="B513" s="328" t="s">
        <v>1203</v>
      </c>
      <c r="C513" s="239">
        <v>7.1199999999999996E-5</v>
      </c>
      <c r="E513" s="2">
        <v>39193</v>
      </c>
      <c r="F513" s="2">
        <v>13933</v>
      </c>
      <c r="G513" s="2">
        <v>21801</v>
      </c>
      <c r="H513" s="2">
        <v>6681</v>
      </c>
      <c r="I513" s="2">
        <v>0</v>
      </c>
      <c r="K513" s="2">
        <v>10666</v>
      </c>
      <c r="L513" s="2">
        <v>10034</v>
      </c>
      <c r="M513" s="2">
        <v>8993</v>
      </c>
      <c r="N513" s="2">
        <v>3601</v>
      </c>
      <c r="O513" s="2">
        <v>0</v>
      </c>
      <c r="Q513" s="2">
        <v>11324</v>
      </c>
      <c r="R513" s="2">
        <v>-9741</v>
      </c>
      <c r="S513" s="2">
        <v>1373</v>
      </c>
      <c r="T513" s="2">
        <v>1787</v>
      </c>
      <c r="U513" s="2">
        <v>0</v>
      </c>
      <c r="W513" s="2">
        <v>12756</v>
      </c>
      <c r="X513" s="2">
        <v>10450</v>
      </c>
      <c r="Y513" s="2">
        <v>8484</v>
      </c>
      <c r="Z513" s="2">
        <v>0</v>
      </c>
      <c r="AA513" s="2">
        <v>0</v>
      </c>
      <c r="AC513" s="2">
        <v>4447</v>
      </c>
      <c r="AD513" s="2">
        <v>3190</v>
      </c>
      <c r="AE513" s="2">
        <v>2951</v>
      </c>
      <c r="AF513" s="2">
        <v>1293</v>
      </c>
      <c r="AG513" s="2">
        <v>0</v>
      </c>
      <c r="AI513" s="2">
        <v>0</v>
      </c>
      <c r="AJ513" s="2">
        <v>0</v>
      </c>
      <c r="AK513" s="2">
        <v>0</v>
      </c>
      <c r="AL513" s="2">
        <v>0</v>
      </c>
      <c r="AM513" s="2">
        <v>0</v>
      </c>
    </row>
    <row r="514" spans="1:39">
      <c r="A514" s="335">
        <v>95171</v>
      </c>
      <c r="B514" s="328" t="s">
        <v>1204</v>
      </c>
      <c r="C514" s="239">
        <v>1.089E-4</v>
      </c>
      <c r="E514" s="2">
        <v>53230</v>
      </c>
      <c r="F514" s="2">
        <v>17437</v>
      </c>
      <c r="G514" s="2">
        <v>31738</v>
      </c>
      <c r="H514" s="2">
        <v>13209</v>
      </c>
      <c r="I514" s="2">
        <v>0</v>
      </c>
      <c r="K514" s="2">
        <v>16314</v>
      </c>
      <c r="L514" s="2">
        <v>15346</v>
      </c>
      <c r="M514" s="2">
        <v>13755</v>
      </c>
      <c r="N514" s="2">
        <v>5507</v>
      </c>
      <c r="O514" s="2">
        <v>0</v>
      </c>
      <c r="Q514" s="2">
        <v>17320</v>
      </c>
      <c r="R514" s="2">
        <v>-14898</v>
      </c>
      <c r="S514" s="2">
        <v>2100</v>
      </c>
      <c r="T514" s="2">
        <v>2733</v>
      </c>
      <c r="U514" s="2">
        <v>0</v>
      </c>
      <c r="W514" s="2">
        <v>19511</v>
      </c>
      <c r="X514" s="2">
        <v>15984</v>
      </c>
      <c r="Y514" s="2">
        <v>12976</v>
      </c>
      <c r="Z514" s="2">
        <v>0</v>
      </c>
      <c r="AA514" s="2">
        <v>0</v>
      </c>
      <c r="AC514" s="2">
        <v>4970</v>
      </c>
      <c r="AD514" s="2">
        <v>4970</v>
      </c>
      <c r="AE514" s="2">
        <v>4970</v>
      </c>
      <c r="AF514" s="2">
        <v>4969</v>
      </c>
      <c r="AG514" s="2">
        <v>0</v>
      </c>
      <c r="AI514" s="2">
        <v>-4885</v>
      </c>
      <c r="AJ514" s="2">
        <v>-3965</v>
      </c>
      <c r="AK514" s="2">
        <v>-2063</v>
      </c>
      <c r="AL514" s="2">
        <v>0</v>
      </c>
      <c r="AM514" s="2">
        <v>0</v>
      </c>
    </row>
    <row r="515" spans="1:39">
      <c r="A515" s="335">
        <v>95181</v>
      </c>
      <c r="B515" s="328" t="s">
        <v>1205</v>
      </c>
      <c r="C515" s="239">
        <v>5.9700000000000001E-5</v>
      </c>
      <c r="E515" s="2">
        <v>22594</v>
      </c>
      <c r="F515" s="2">
        <v>3793</v>
      </c>
      <c r="G515" s="2">
        <v>11783</v>
      </c>
      <c r="H515" s="2">
        <v>1428</v>
      </c>
      <c r="I515" s="2">
        <v>0</v>
      </c>
      <c r="K515" s="2">
        <v>8943</v>
      </c>
      <c r="L515" s="2">
        <v>8413</v>
      </c>
      <c r="M515" s="2">
        <v>7540</v>
      </c>
      <c r="N515" s="2">
        <v>3019</v>
      </c>
      <c r="O515" s="2">
        <v>0</v>
      </c>
      <c r="Q515" s="2">
        <v>9495</v>
      </c>
      <c r="R515" s="2">
        <v>-8167</v>
      </c>
      <c r="S515" s="2">
        <v>1151</v>
      </c>
      <c r="T515" s="2">
        <v>1498</v>
      </c>
      <c r="U515" s="2">
        <v>0</v>
      </c>
      <c r="W515" s="2">
        <v>10696</v>
      </c>
      <c r="X515" s="2">
        <v>8763</v>
      </c>
      <c r="Y515" s="2">
        <v>7114</v>
      </c>
      <c r="Z515" s="2">
        <v>0</v>
      </c>
      <c r="AA515" s="2">
        <v>0</v>
      </c>
      <c r="AC515" s="2">
        <v>0</v>
      </c>
      <c r="AD515" s="2">
        <v>0</v>
      </c>
      <c r="AE515" s="2">
        <v>0</v>
      </c>
      <c r="AF515" s="2">
        <v>0</v>
      </c>
      <c r="AG515" s="2">
        <v>0</v>
      </c>
      <c r="AI515" s="2">
        <v>-6540</v>
      </c>
      <c r="AJ515" s="2">
        <v>-5216</v>
      </c>
      <c r="AK515" s="2">
        <v>-4022</v>
      </c>
      <c r="AL515" s="2">
        <v>-3089</v>
      </c>
      <c r="AM515" s="2">
        <v>0</v>
      </c>
    </row>
    <row r="516" spans="1:39">
      <c r="A516" s="335">
        <v>95191</v>
      </c>
      <c r="B516" s="328" t="s">
        <v>1206</v>
      </c>
      <c r="C516" s="239">
        <v>7.3800000000000005E-5</v>
      </c>
      <c r="E516" s="2">
        <v>44641</v>
      </c>
      <c r="F516" s="2">
        <v>21353</v>
      </c>
      <c r="G516" s="2">
        <v>28449</v>
      </c>
      <c r="H516" s="2">
        <v>13680</v>
      </c>
      <c r="I516" s="2">
        <v>0</v>
      </c>
      <c r="K516" s="2">
        <v>11056</v>
      </c>
      <c r="L516" s="2">
        <v>10400</v>
      </c>
      <c r="M516" s="2">
        <v>9321</v>
      </c>
      <c r="N516" s="2">
        <v>3732</v>
      </c>
      <c r="O516" s="2">
        <v>0</v>
      </c>
      <c r="Q516" s="2">
        <v>11737</v>
      </c>
      <c r="R516" s="2">
        <v>-10096</v>
      </c>
      <c r="S516" s="2">
        <v>1423</v>
      </c>
      <c r="T516" s="2">
        <v>1852</v>
      </c>
      <c r="U516" s="2">
        <v>0</v>
      </c>
      <c r="W516" s="2">
        <v>13222</v>
      </c>
      <c r="X516" s="2">
        <v>10832</v>
      </c>
      <c r="Y516" s="2">
        <v>8794</v>
      </c>
      <c r="Z516" s="2">
        <v>0</v>
      </c>
      <c r="AA516" s="2">
        <v>0</v>
      </c>
      <c r="AC516" s="2">
        <v>10217</v>
      </c>
      <c r="AD516" s="2">
        <v>10217</v>
      </c>
      <c r="AE516" s="2">
        <v>8911</v>
      </c>
      <c r="AF516" s="2">
        <v>8096</v>
      </c>
      <c r="AG516" s="2">
        <v>0</v>
      </c>
      <c r="AI516" s="2">
        <v>-1591</v>
      </c>
      <c r="AJ516" s="2">
        <v>0</v>
      </c>
      <c r="AK516" s="2">
        <v>0</v>
      </c>
      <c r="AL516" s="2">
        <v>0</v>
      </c>
      <c r="AM516" s="2">
        <v>0</v>
      </c>
    </row>
    <row r="517" spans="1:39">
      <c r="A517" s="335">
        <v>95201</v>
      </c>
      <c r="B517" s="328" t="s">
        <v>1207</v>
      </c>
      <c r="C517" s="239">
        <v>6.5070000000000004E-4</v>
      </c>
      <c r="E517" s="2">
        <v>303918</v>
      </c>
      <c r="F517" s="2">
        <v>82672</v>
      </c>
      <c r="G517" s="2">
        <v>156701</v>
      </c>
      <c r="H517" s="2">
        <v>38829</v>
      </c>
      <c r="I517" s="2">
        <v>0</v>
      </c>
      <c r="K517" s="2">
        <v>97479</v>
      </c>
      <c r="L517" s="2">
        <v>91697</v>
      </c>
      <c r="M517" s="2">
        <v>82187</v>
      </c>
      <c r="N517" s="2">
        <v>32907</v>
      </c>
      <c r="O517" s="2">
        <v>0</v>
      </c>
      <c r="Q517" s="2">
        <v>103488</v>
      </c>
      <c r="R517" s="2">
        <v>-89019</v>
      </c>
      <c r="S517" s="2">
        <v>12546</v>
      </c>
      <c r="T517" s="2">
        <v>16329</v>
      </c>
      <c r="U517" s="2">
        <v>0</v>
      </c>
      <c r="W517" s="2">
        <v>116581</v>
      </c>
      <c r="X517" s="2">
        <v>95507</v>
      </c>
      <c r="Y517" s="2">
        <v>77535</v>
      </c>
      <c r="Z517" s="2">
        <v>0</v>
      </c>
      <c r="AA517" s="2">
        <v>0</v>
      </c>
      <c r="AC517" s="2">
        <v>1937</v>
      </c>
      <c r="AD517" s="2">
        <v>54</v>
      </c>
      <c r="AE517" s="2">
        <v>0</v>
      </c>
      <c r="AF517" s="2">
        <v>0</v>
      </c>
      <c r="AG517" s="2">
        <v>0</v>
      </c>
      <c r="AI517" s="2">
        <v>-15567</v>
      </c>
      <c r="AJ517" s="2">
        <v>-15567</v>
      </c>
      <c r="AK517" s="2">
        <v>-15567</v>
      </c>
      <c r="AL517" s="2">
        <v>-10407</v>
      </c>
      <c r="AM517" s="2">
        <v>0</v>
      </c>
    </row>
    <row r="518" spans="1:39">
      <c r="A518" s="335">
        <v>95204</v>
      </c>
      <c r="B518" s="328" t="s">
        <v>1208</v>
      </c>
      <c r="C518" s="239">
        <v>5.6999999999999996E-6</v>
      </c>
      <c r="E518" s="2">
        <v>2523</v>
      </c>
      <c r="F518" s="2">
        <v>778</v>
      </c>
      <c r="G518" s="2">
        <v>973</v>
      </c>
      <c r="H518" s="2">
        <v>-35</v>
      </c>
      <c r="I518" s="2">
        <v>0</v>
      </c>
      <c r="K518" s="2">
        <v>854</v>
      </c>
      <c r="L518" s="2">
        <v>803</v>
      </c>
      <c r="M518" s="2">
        <v>720</v>
      </c>
      <c r="N518" s="2">
        <v>288</v>
      </c>
      <c r="O518" s="2">
        <v>0</v>
      </c>
      <c r="Q518" s="2">
        <v>907</v>
      </c>
      <c r="R518" s="2">
        <v>-780</v>
      </c>
      <c r="S518" s="2">
        <v>110</v>
      </c>
      <c r="T518" s="2">
        <v>143</v>
      </c>
      <c r="U518" s="2">
        <v>0</v>
      </c>
      <c r="W518" s="2">
        <v>1021</v>
      </c>
      <c r="X518" s="2">
        <v>837</v>
      </c>
      <c r="Y518" s="2">
        <v>679</v>
      </c>
      <c r="Z518" s="2">
        <v>0</v>
      </c>
      <c r="AA518" s="2">
        <v>0</v>
      </c>
      <c r="AC518" s="2">
        <v>456</v>
      </c>
      <c r="AD518" s="2">
        <v>456</v>
      </c>
      <c r="AE518" s="2">
        <v>0</v>
      </c>
      <c r="AF518" s="2">
        <v>0</v>
      </c>
      <c r="AG518" s="2">
        <v>0</v>
      </c>
      <c r="AI518" s="2">
        <v>-715</v>
      </c>
      <c r="AJ518" s="2">
        <v>-538</v>
      </c>
      <c r="AK518" s="2">
        <v>-536</v>
      </c>
      <c r="AL518" s="2">
        <v>-466</v>
      </c>
      <c r="AM518" s="2">
        <v>0</v>
      </c>
    </row>
    <row r="519" spans="1:39">
      <c r="A519" s="335">
        <v>95205</v>
      </c>
      <c r="B519" s="328" t="s">
        <v>1209</v>
      </c>
      <c r="C519" s="239">
        <v>2.7E-6</v>
      </c>
      <c r="E519" s="2">
        <v>1619</v>
      </c>
      <c r="F519" s="2">
        <v>648</v>
      </c>
      <c r="G519" s="2">
        <v>929</v>
      </c>
      <c r="H519" s="2">
        <v>658</v>
      </c>
      <c r="I519" s="2">
        <v>0</v>
      </c>
      <c r="K519" s="2">
        <v>404</v>
      </c>
      <c r="L519" s="2">
        <v>380</v>
      </c>
      <c r="M519" s="2">
        <v>341</v>
      </c>
      <c r="N519" s="2">
        <v>137</v>
      </c>
      <c r="O519" s="2">
        <v>0</v>
      </c>
      <c r="Q519" s="2">
        <v>429</v>
      </c>
      <c r="R519" s="2">
        <v>-369</v>
      </c>
      <c r="S519" s="2">
        <v>52</v>
      </c>
      <c r="T519" s="2">
        <v>68</v>
      </c>
      <c r="U519" s="2">
        <v>0</v>
      </c>
      <c r="W519" s="2">
        <v>484</v>
      </c>
      <c r="X519" s="2">
        <v>396</v>
      </c>
      <c r="Y519" s="2">
        <v>322</v>
      </c>
      <c r="Z519" s="2">
        <v>0</v>
      </c>
      <c r="AA519" s="2">
        <v>0</v>
      </c>
      <c r="AC519" s="2">
        <v>539</v>
      </c>
      <c r="AD519" s="2">
        <v>478</v>
      </c>
      <c r="AE519" s="2">
        <v>452</v>
      </c>
      <c r="AF519" s="2">
        <v>453</v>
      </c>
      <c r="AG519" s="2">
        <v>0</v>
      </c>
      <c r="AI519" s="2">
        <v>-237</v>
      </c>
      <c r="AJ519" s="2">
        <v>-237</v>
      </c>
      <c r="AK519" s="2">
        <v>-238</v>
      </c>
      <c r="AL519" s="2">
        <v>0</v>
      </c>
      <c r="AM519" s="2">
        <v>0</v>
      </c>
    </row>
    <row r="520" spans="1:39">
      <c r="A520" s="335">
        <v>95211</v>
      </c>
      <c r="B520" s="328" t="s">
        <v>1210</v>
      </c>
      <c r="C520" s="239">
        <v>5.1000000000000003E-6</v>
      </c>
      <c r="E520" s="2">
        <v>2494</v>
      </c>
      <c r="F520" s="2">
        <v>339</v>
      </c>
      <c r="G520" s="2">
        <v>980</v>
      </c>
      <c r="H520" s="2">
        <v>404</v>
      </c>
      <c r="I520" s="2">
        <v>0</v>
      </c>
      <c r="K520" s="2">
        <v>764</v>
      </c>
      <c r="L520" s="2">
        <v>719</v>
      </c>
      <c r="M520" s="2">
        <v>644</v>
      </c>
      <c r="N520" s="2">
        <v>258</v>
      </c>
      <c r="O520" s="2">
        <v>0</v>
      </c>
      <c r="Q520" s="2">
        <v>811</v>
      </c>
      <c r="R520" s="2">
        <v>-698</v>
      </c>
      <c r="S520" s="2">
        <v>98</v>
      </c>
      <c r="T520" s="2">
        <v>128</v>
      </c>
      <c r="U520" s="2">
        <v>0</v>
      </c>
      <c r="W520" s="2">
        <v>914</v>
      </c>
      <c r="X520" s="2">
        <v>749</v>
      </c>
      <c r="Y520" s="2">
        <v>608</v>
      </c>
      <c r="Z520" s="2">
        <v>0</v>
      </c>
      <c r="AA520" s="2">
        <v>0</v>
      </c>
      <c r="AC520" s="2">
        <v>454</v>
      </c>
      <c r="AD520" s="2">
        <v>17</v>
      </c>
      <c r="AE520" s="2">
        <v>17</v>
      </c>
      <c r="AF520" s="2">
        <v>18</v>
      </c>
      <c r="AG520" s="2">
        <v>0</v>
      </c>
      <c r="AI520" s="2">
        <v>-449</v>
      </c>
      <c r="AJ520" s="2">
        <v>-448</v>
      </c>
      <c r="AK520" s="2">
        <v>-387</v>
      </c>
      <c r="AL520" s="2">
        <v>0</v>
      </c>
      <c r="AM520" s="2">
        <v>0</v>
      </c>
    </row>
    <row r="521" spans="1:39">
      <c r="A521" s="335">
        <v>95221</v>
      </c>
      <c r="B521" s="328" t="s">
        <v>1211</v>
      </c>
      <c r="C521" s="239">
        <v>5.4400000000000001E-5</v>
      </c>
      <c r="E521" s="2">
        <v>28976</v>
      </c>
      <c r="F521" s="2">
        <v>12784</v>
      </c>
      <c r="G521" s="2">
        <v>14395</v>
      </c>
      <c r="H521" s="2">
        <v>2494</v>
      </c>
      <c r="I521" s="2">
        <v>0</v>
      </c>
      <c r="K521" s="2">
        <v>8150</v>
      </c>
      <c r="L521" s="2">
        <v>7666</v>
      </c>
      <c r="M521" s="2">
        <v>6871</v>
      </c>
      <c r="N521" s="2">
        <v>2751</v>
      </c>
      <c r="O521" s="2">
        <v>0</v>
      </c>
      <c r="Q521" s="2">
        <v>8652</v>
      </c>
      <c r="R521" s="2">
        <v>-7442</v>
      </c>
      <c r="S521" s="2">
        <v>1049</v>
      </c>
      <c r="T521" s="2">
        <v>1365</v>
      </c>
      <c r="U521" s="2">
        <v>0</v>
      </c>
      <c r="W521" s="2">
        <v>9746</v>
      </c>
      <c r="X521" s="2">
        <v>7985</v>
      </c>
      <c r="Y521" s="2">
        <v>6482</v>
      </c>
      <c r="Z521" s="2">
        <v>0</v>
      </c>
      <c r="AA521" s="2">
        <v>0</v>
      </c>
      <c r="AC521" s="2">
        <v>6196</v>
      </c>
      <c r="AD521" s="2">
        <v>6197</v>
      </c>
      <c r="AE521" s="2">
        <v>1615</v>
      </c>
      <c r="AF521" s="2">
        <v>0</v>
      </c>
      <c r="AG521" s="2">
        <v>0</v>
      </c>
      <c r="AI521" s="2">
        <v>-3768</v>
      </c>
      <c r="AJ521" s="2">
        <v>-1622</v>
      </c>
      <c r="AK521" s="2">
        <v>-1622</v>
      </c>
      <c r="AL521" s="2">
        <v>-1622</v>
      </c>
      <c r="AM521" s="2">
        <v>0</v>
      </c>
    </row>
    <row r="522" spans="1:39">
      <c r="A522" s="335">
        <v>95301</v>
      </c>
      <c r="B522" s="328" t="s">
        <v>1212</v>
      </c>
      <c r="C522" s="239">
        <v>2.1561000000000002E-3</v>
      </c>
      <c r="E522" s="2">
        <v>1034055</v>
      </c>
      <c r="F522" s="2">
        <v>303957</v>
      </c>
      <c r="G522" s="2">
        <v>543155</v>
      </c>
      <c r="H522" s="2">
        <v>141801</v>
      </c>
      <c r="I522" s="2">
        <v>0</v>
      </c>
      <c r="K522" s="2">
        <v>322999</v>
      </c>
      <c r="L522" s="2">
        <v>303838</v>
      </c>
      <c r="M522" s="2">
        <v>272326</v>
      </c>
      <c r="N522" s="2">
        <v>109036</v>
      </c>
      <c r="O522" s="2">
        <v>0</v>
      </c>
      <c r="Q522" s="2">
        <v>342908</v>
      </c>
      <c r="R522" s="2">
        <v>-294965</v>
      </c>
      <c r="S522" s="2">
        <v>41572</v>
      </c>
      <c r="T522" s="2">
        <v>54105</v>
      </c>
      <c r="U522" s="2">
        <v>0</v>
      </c>
      <c r="W522" s="2">
        <v>386291</v>
      </c>
      <c r="X522" s="2">
        <v>316464</v>
      </c>
      <c r="Y522" s="2">
        <v>256914</v>
      </c>
      <c r="Z522" s="2">
        <v>0</v>
      </c>
      <c r="AA522" s="2">
        <v>0</v>
      </c>
      <c r="AC522" s="2">
        <v>9514</v>
      </c>
      <c r="AD522" s="2">
        <v>6277</v>
      </c>
      <c r="AE522" s="2">
        <v>0</v>
      </c>
      <c r="AF522" s="2">
        <v>0</v>
      </c>
      <c r="AG522" s="2">
        <v>0</v>
      </c>
      <c r="AI522" s="2">
        <v>-27657</v>
      </c>
      <c r="AJ522" s="2">
        <v>-27657</v>
      </c>
      <c r="AK522" s="2">
        <v>-27657</v>
      </c>
      <c r="AL522" s="2">
        <v>-21340</v>
      </c>
      <c r="AM522" s="2">
        <v>0</v>
      </c>
    </row>
    <row r="523" spans="1:39">
      <c r="A523" s="335">
        <v>95311</v>
      </c>
      <c r="B523" s="328" t="s">
        <v>1213</v>
      </c>
      <c r="C523" s="239">
        <v>2.578E-3</v>
      </c>
      <c r="E523" s="2">
        <v>1242896</v>
      </c>
      <c r="F523" s="2">
        <v>401010</v>
      </c>
      <c r="G523" s="2">
        <v>685602</v>
      </c>
      <c r="H523" s="2">
        <v>195082</v>
      </c>
      <c r="I523" s="2">
        <v>0</v>
      </c>
      <c r="K523" s="2">
        <v>386202</v>
      </c>
      <c r="L523" s="2">
        <v>363292</v>
      </c>
      <c r="M523" s="2">
        <v>325614</v>
      </c>
      <c r="N523" s="2">
        <v>130372</v>
      </c>
      <c r="O523" s="2">
        <v>0</v>
      </c>
      <c r="Q523" s="2">
        <v>410008</v>
      </c>
      <c r="R523" s="2">
        <v>-352683</v>
      </c>
      <c r="S523" s="2">
        <v>49706</v>
      </c>
      <c r="T523" s="2">
        <v>64692</v>
      </c>
      <c r="U523" s="2">
        <v>0</v>
      </c>
      <c r="W523" s="2">
        <v>461880</v>
      </c>
      <c r="X523" s="2">
        <v>378389</v>
      </c>
      <c r="Y523" s="2">
        <v>307187</v>
      </c>
      <c r="Z523" s="2">
        <v>0</v>
      </c>
      <c r="AA523" s="2">
        <v>0</v>
      </c>
      <c r="AC523" s="2">
        <v>12012</v>
      </c>
      <c r="AD523" s="2">
        <v>12012</v>
      </c>
      <c r="AE523" s="2">
        <v>3095</v>
      </c>
      <c r="AF523" s="2">
        <v>18</v>
      </c>
      <c r="AG523" s="2">
        <v>0</v>
      </c>
      <c r="AI523" s="2">
        <v>-27206</v>
      </c>
      <c r="AJ523" s="2">
        <v>0</v>
      </c>
      <c r="AK523" s="2">
        <v>0</v>
      </c>
      <c r="AL523" s="2">
        <v>0</v>
      </c>
      <c r="AM523" s="2">
        <v>0</v>
      </c>
    </row>
    <row r="524" spans="1:39">
      <c r="A524" s="335">
        <v>95317</v>
      </c>
      <c r="B524" s="328" t="s">
        <v>1214</v>
      </c>
      <c r="C524" s="239">
        <v>4.1999999999999998E-5</v>
      </c>
      <c r="E524" s="2">
        <v>23063</v>
      </c>
      <c r="F524" s="2">
        <v>8524</v>
      </c>
      <c r="G524" s="2">
        <v>12711</v>
      </c>
      <c r="H524" s="2">
        <v>4518</v>
      </c>
      <c r="I524" s="2">
        <v>0</v>
      </c>
      <c r="K524" s="2">
        <v>6292</v>
      </c>
      <c r="L524" s="2">
        <v>5919</v>
      </c>
      <c r="M524" s="2">
        <v>5305</v>
      </c>
      <c r="N524" s="2">
        <v>2124</v>
      </c>
      <c r="O524" s="2">
        <v>0</v>
      </c>
      <c r="Q524" s="2">
        <v>6680</v>
      </c>
      <c r="R524" s="2">
        <v>-5746</v>
      </c>
      <c r="S524" s="2">
        <v>810</v>
      </c>
      <c r="T524" s="2">
        <v>1054</v>
      </c>
      <c r="U524" s="2">
        <v>0</v>
      </c>
      <c r="W524" s="2">
        <v>7525</v>
      </c>
      <c r="X524" s="2">
        <v>6165</v>
      </c>
      <c r="Y524" s="2">
        <v>5005</v>
      </c>
      <c r="Z524" s="2">
        <v>0</v>
      </c>
      <c r="AA524" s="2">
        <v>0</v>
      </c>
      <c r="AC524" s="2">
        <v>2566</v>
      </c>
      <c r="AD524" s="2">
        <v>2186</v>
      </c>
      <c r="AE524" s="2">
        <v>1591</v>
      </c>
      <c r="AF524" s="2">
        <v>1340</v>
      </c>
      <c r="AG524" s="2">
        <v>0</v>
      </c>
      <c r="AI524" s="2">
        <v>0</v>
      </c>
      <c r="AJ524" s="2">
        <v>0</v>
      </c>
      <c r="AK524" s="2">
        <v>0</v>
      </c>
      <c r="AL524" s="2">
        <v>0</v>
      </c>
      <c r="AM524" s="2">
        <v>0</v>
      </c>
    </row>
    <row r="525" spans="1:39">
      <c r="A525" s="335">
        <v>95321</v>
      </c>
      <c r="B525" s="328" t="s">
        <v>1215</v>
      </c>
      <c r="C525" s="239">
        <v>4.85E-5</v>
      </c>
      <c r="E525" s="2">
        <v>24833</v>
      </c>
      <c r="F525" s="2">
        <v>8275</v>
      </c>
      <c r="G525" s="2">
        <v>14333</v>
      </c>
      <c r="H525" s="2">
        <v>3884</v>
      </c>
      <c r="I525" s="2">
        <v>0</v>
      </c>
      <c r="K525" s="2">
        <v>7266</v>
      </c>
      <c r="L525" s="2">
        <v>6835</v>
      </c>
      <c r="M525" s="2">
        <v>6126</v>
      </c>
      <c r="N525" s="2">
        <v>2453</v>
      </c>
      <c r="O525" s="2">
        <v>0</v>
      </c>
      <c r="Q525" s="2">
        <v>7713</v>
      </c>
      <c r="R525" s="2">
        <v>-6635</v>
      </c>
      <c r="S525" s="2">
        <v>935</v>
      </c>
      <c r="T525" s="2">
        <v>1217</v>
      </c>
      <c r="U525" s="2">
        <v>0</v>
      </c>
      <c r="W525" s="2">
        <v>8689</v>
      </c>
      <c r="X525" s="2">
        <v>7119</v>
      </c>
      <c r="Y525" s="2">
        <v>5779</v>
      </c>
      <c r="Z525" s="2">
        <v>0</v>
      </c>
      <c r="AA525" s="2">
        <v>0</v>
      </c>
      <c r="AC525" s="2">
        <v>1705</v>
      </c>
      <c r="AD525" s="2">
        <v>1494</v>
      </c>
      <c r="AE525" s="2">
        <v>1493</v>
      </c>
      <c r="AF525" s="2">
        <v>214</v>
      </c>
      <c r="AG525" s="2">
        <v>0</v>
      </c>
      <c r="AI525" s="2">
        <v>-540</v>
      </c>
      <c r="AJ525" s="2">
        <v>-538</v>
      </c>
      <c r="AK525" s="2">
        <v>0</v>
      </c>
      <c r="AL525" s="2">
        <v>0</v>
      </c>
      <c r="AM525" s="2">
        <v>0</v>
      </c>
    </row>
    <row r="526" spans="1:39">
      <c r="A526" s="335">
        <v>95401</v>
      </c>
      <c r="B526" s="328" t="s">
        <v>1216</v>
      </c>
      <c r="C526" s="239">
        <v>2.9023E-3</v>
      </c>
      <c r="E526" s="2">
        <v>1385510</v>
      </c>
      <c r="F526" s="2">
        <v>402303</v>
      </c>
      <c r="G526" s="2">
        <v>737712</v>
      </c>
      <c r="H526" s="2">
        <v>218397</v>
      </c>
      <c r="I526" s="2">
        <v>0</v>
      </c>
      <c r="K526" s="2">
        <v>434785</v>
      </c>
      <c r="L526" s="2">
        <v>408992</v>
      </c>
      <c r="M526" s="2">
        <v>366575</v>
      </c>
      <c r="N526" s="2">
        <v>146772</v>
      </c>
      <c r="O526" s="2">
        <v>0</v>
      </c>
      <c r="Q526" s="2">
        <v>461585</v>
      </c>
      <c r="R526" s="2">
        <v>-397049</v>
      </c>
      <c r="S526" s="2">
        <v>55959</v>
      </c>
      <c r="T526" s="2">
        <v>72830</v>
      </c>
      <c r="U526" s="2">
        <v>0</v>
      </c>
      <c r="W526" s="2">
        <v>519982</v>
      </c>
      <c r="X526" s="2">
        <v>425988</v>
      </c>
      <c r="Y526" s="2">
        <v>345829</v>
      </c>
      <c r="Z526" s="2">
        <v>0</v>
      </c>
      <c r="AA526" s="2">
        <v>0</v>
      </c>
      <c r="AC526" s="2">
        <v>4785</v>
      </c>
      <c r="AD526" s="2">
        <v>0</v>
      </c>
      <c r="AE526" s="2">
        <v>0</v>
      </c>
      <c r="AF526" s="2">
        <v>0</v>
      </c>
      <c r="AG526" s="2">
        <v>0</v>
      </c>
      <c r="AI526" s="2">
        <v>-35627</v>
      </c>
      <c r="AJ526" s="2">
        <v>-35628</v>
      </c>
      <c r="AK526" s="2">
        <v>-30651</v>
      </c>
      <c r="AL526" s="2">
        <v>-1205</v>
      </c>
      <c r="AM526" s="2">
        <v>0</v>
      </c>
    </row>
    <row r="527" spans="1:39">
      <c r="A527" s="335">
        <v>95404</v>
      </c>
      <c r="B527" s="328" t="s">
        <v>1217</v>
      </c>
      <c r="C527" s="239">
        <v>4.4799999999999998E-5</v>
      </c>
      <c r="E527" s="2">
        <v>21401</v>
      </c>
      <c r="F527" s="2">
        <v>5029</v>
      </c>
      <c r="G527" s="2">
        <v>10025</v>
      </c>
      <c r="H527" s="2">
        <v>2387</v>
      </c>
      <c r="I527" s="2">
        <v>0</v>
      </c>
      <c r="K527" s="2">
        <v>6711</v>
      </c>
      <c r="L527" s="2">
        <v>6313</v>
      </c>
      <c r="M527" s="2">
        <v>5658</v>
      </c>
      <c r="N527" s="2">
        <v>2266</v>
      </c>
      <c r="O527" s="2">
        <v>0</v>
      </c>
      <c r="Q527" s="2">
        <v>7125</v>
      </c>
      <c r="R527" s="2">
        <v>-6129</v>
      </c>
      <c r="S527" s="2">
        <v>864</v>
      </c>
      <c r="T527" s="2">
        <v>1124</v>
      </c>
      <c r="U527" s="2">
        <v>0</v>
      </c>
      <c r="W527" s="2">
        <v>8026</v>
      </c>
      <c r="X527" s="2">
        <v>6576</v>
      </c>
      <c r="Y527" s="2">
        <v>5338</v>
      </c>
      <c r="Z527" s="2">
        <v>0</v>
      </c>
      <c r="AA527" s="2">
        <v>0</v>
      </c>
      <c r="AC527" s="2">
        <v>1374</v>
      </c>
      <c r="AD527" s="2">
        <v>104</v>
      </c>
      <c r="AE527" s="2">
        <v>0</v>
      </c>
      <c r="AF527" s="2">
        <v>0</v>
      </c>
      <c r="AG527" s="2">
        <v>0</v>
      </c>
      <c r="AI527" s="2">
        <v>-1835</v>
      </c>
      <c r="AJ527" s="2">
        <v>-1835</v>
      </c>
      <c r="AK527" s="2">
        <v>-1835</v>
      </c>
      <c r="AL527" s="2">
        <v>-1003</v>
      </c>
      <c r="AM527" s="2">
        <v>0</v>
      </c>
    </row>
    <row r="528" spans="1:39">
      <c r="A528" s="335">
        <v>95405</v>
      </c>
      <c r="B528" s="328" t="s">
        <v>1218</v>
      </c>
      <c r="C528" s="239">
        <v>3.3399999999999999E-5</v>
      </c>
      <c r="E528" s="2">
        <v>25261</v>
      </c>
      <c r="F528" s="2">
        <v>12471</v>
      </c>
      <c r="G528" s="2">
        <v>14551</v>
      </c>
      <c r="H528" s="2">
        <v>6193</v>
      </c>
      <c r="I528" s="2">
        <v>0</v>
      </c>
      <c r="K528" s="2">
        <v>5004</v>
      </c>
      <c r="L528" s="2">
        <v>4707</v>
      </c>
      <c r="M528" s="2">
        <v>4219</v>
      </c>
      <c r="N528" s="2">
        <v>1689</v>
      </c>
      <c r="O528" s="2">
        <v>0</v>
      </c>
      <c r="Q528" s="2">
        <v>5312</v>
      </c>
      <c r="R528" s="2">
        <v>-4569</v>
      </c>
      <c r="S528" s="2">
        <v>644</v>
      </c>
      <c r="T528" s="2">
        <v>838</v>
      </c>
      <c r="U528" s="2">
        <v>0</v>
      </c>
      <c r="W528" s="2">
        <v>5984</v>
      </c>
      <c r="X528" s="2">
        <v>4902</v>
      </c>
      <c r="Y528" s="2">
        <v>3980</v>
      </c>
      <c r="Z528" s="2">
        <v>0</v>
      </c>
      <c r="AA528" s="2">
        <v>0</v>
      </c>
      <c r="AC528" s="2">
        <v>8961</v>
      </c>
      <c r="AD528" s="2">
        <v>7431</v>
      </c>
      <c r="AE528" s="2">
        <v>5708</v>
      </c>
      <c r="AF528" s="2">
        <v>3666</v>
      </c>
      <c r="AG528" s="2">
        <v>0</v>
      </c>
      <c r="AI528" s="2">
        <v>0</v>
      </c>
      <c r="AJ528" s="2">
        <v>0</v>
      </c>
      <c r="AK528" s="2">
        <v>0</v>
      </c>
      <c r="AL528" s="2">
        <v>0</v>
      </c>
      <c r="AM528" s="2">
        <v>0</v>
      </c>
    </row>
    <row r="529" spans="1:39">
      <c r="A529" s="335">
        <v>95411</v>
      </c>
      <c r="B529" s="328" t="s">
        <v>1219</v>
      </c>
      <c r="C529" s="239">
        <v>2.0365000000000001E-3</v>
      </c>
      <c r="E529" s="2">
        <v>971621</v>
      </c>
      <c r="F529" s="2">
        <v>281480</v>
      </c>
      <c r="G529" s="2">
        <v>523743</v>
      </c>
      <c r="H529" s="2">
        <v>140317</v>
      </c>
      <c r="I529" s="2">
        <v>0</v>
      </c>
      <c r="K529" s="2">
        <v>305082</v>
      </c>
      <c r="L529" s="2">
        <v>286984</v>
      </c>
      <c r="M529" s="2">
        <v>257220</v>
      </c>
      <c r="N529" s="2">
        <v>102988</v>
      </c>
      <c r="O529" s="2">
        <v>0</v>
      </c>
      <c r="Q529" s="2">
        <v>323887</v>
      </c>
      <c r="R529" s="2">
        <v>-278603</v>
      </c>
      <c r="S529" s="2">
        <v>39266</v>
      </c>
      <c r="T529" s="2">
        <v>51104</v>
      </c>
      <c r="U529" s="2">
        <v>0</v>
      </c>
      <c r="W529" s="2">
        <v>364863</v>
      </c>
      <c r="X529" s="2">
        <v>298909</v>
      </c>
      <c r="Y529" s="2">
        <v>242663</v>
      </c>
      <c r="Z529" s="2">
        <v>0</v>
      </c>
      <c r="AA529" s="2">
        <v>0</v>
      </c>
      <c r="AC529" s="2">
        <v>3600</v>
      </c>
      <c r="AD529" s="2">
        <v>0</v>
      </c>
      <c r="AE529" s="2">
        <v>0</v>
      </c>
      <c r="AF529" s="2">
        <v>0</v>
      </c>
      <c r="AG529" s="2">
        <v>0</v>
      </c>
      <c r="AI529" s="2">
        <v>-25811</v>
      </c>
      <c r="AJ529" s="2">
        <v>-25810</v>
      </c>
      <c r="AK529" s="2">
        <v>-15406</v>
      </c>
      <c r="AL529" s="2">
        <v>-13775</v>
      </c>
      <c r="AM529" s="2">
        <v>0</v>
      </c>
    </row>
    <row r="530" spans="1:39">
      <c r="A530" s="335">
        <v>95413</v>
      </c>
      <c r="B530" s="328" t="s">
        <v>3703</v>
      </c>
      <c r="C530" s="239">
        <v>2.4610000000000002E-4</v>
      </c>
      <c r="E530" s="2">
        <v>170653</v>
      </c>
      <c r="F530" s="2">
        <v>62743</v>
      </c>
      <c r="G530" s="2">
        <v>63484</v>
      </c>
      <c r="H530" s="2">
        <v>15195</v>
      </c>
      <c r="I530" s="2">
        <v>0</v>
      </c>
      <c r="K530" s="2">
        <v>36868</v>
      </c>
      <c r="L530" s="2">
        <v>34680</v>
      </c>
      <c r="M530" s="2">
        <v>31084</v>
      </c>
      <c r="N530" s="2">
        <v>12446</v>
      </c>
      <c r="O530" s="2">
        <v>0</v>
      </c>
      <c r="Q530" s="2">
        <v>39140</v>
      </c>
      <c r="R530" s="2">
        <v>-33668</v>
      </c>
      <c r="S530" s="2">
        <v>4745</v>
      </c>
      <c r="T530" s="2">
        <v>6176</v>
      </c>
      <c r="U530" s="2">
        <v>0</v>
      </c>
      <c r="W530" s="2">
        <v>44092</v>
      </c>
      <c r="X530" s="2">
        <v>36122</v>
      </c>
      <c r="Y530" s="2">
        <v>29325</v>
      </c>
      <c r="Z530" s="2">
        <v>0</v>
      </c>
      <c r="AA530" s="2">
        <v>0</v>
      </c>
      <c r="AC530" s="2">
        <v>53982</v>
      </c>
      <c r="AD530" s="2">
        <v>29038</v>
      </c>
      <c r="AE530" s="2">
        <v>1759</v>
      </c>
      <c r="AF530" s="2">
        <v>0</v>
      </c>
      <c r="AG530" s="2">
        <v>0</v>
      </c>
      <c r="AI530" s="2">
        <v>-3429</v>
      </c>
      <c r="AJ530" s="2">
        <v>-3429</v>
      </c>
      <c r="AK530" s="2">
        <v>-3429</v>
      </c>
      <c r="AL530" s="2">
        <v>-3427</v>
      </c>
      <c r="AM530" s="2">
        <v>0</v>
      </c>
    </row>
    <row r="531" spans="1:39">
      <c r="A531" s="335">
        <v>95415</v>
      </c>
      <c r="B531" s="328" t="s">
        <v>3704</v>
      </c>
      <c r="C531" s="239">
        <v>5.7599999999999997E-5</v>
      </c>
      <c r="E531" s="2">
        <v>23103</v>
      </c>
      <c r="F531" s="2">
        <v>4055</v>
      </c>
      <c r="G531" s="2">
        <v>13541</v>
      </c>
      <c r="H531" s="2">
        <v>1864</v>
      </c>
      <c r="I531" s="2">
        <v>0</v>
      </c>
      <c r="K531" s="2">
        <v>8629</v>
      </c>
      <c r="L531" s="2">
        <v>8117</v>
      </c>
      <c r="M531" s="2">
        <v>7275</v>
      </c>
      <c r="N531" s="2">
        <v>2913</v>
      </c>
      <c r="O531" s="2">
        <v>0</v>
      </c>
      <c r="Q531" s="2">
        <v>9161</v>
      </c>
      <c r="R531" s="2">
        <v>-7880</v>
      </c>
      <c r="S531" s="2">
        <v>1111</v>
      </c>
      <c r="T531" s="2">
        <v>1445</v>
      </c>
      <c r="U531" s="2">
        <v>0</v>
      </c>
      <c r="W531" s="2">
        <v>10320</v>
      </c>
      <c r="X531" s="2">
        <v>8454</v>
      </c>
      <c r="Y531" s="2">
        <v>6863</v>
      </c>
      <c r="Z531" s="2">
        <v>0</v>
      </c>
      <c r="AA531" s="2">
        <v>0</v>
      </c>
      <c r="AC531" s="2">
        <v>785</v>
      </c>
      <c r="AD531" s="2">
        <v>785</v>
      </c>
      <c r="AE531" s="2">
        <v>787</v>
      </c>
      <c r="AF531" s="2">
        <v>0</v>
      </c>
      <c r="AG531" s="2">
        <v>0</v>
      </c>
      <c r="AI531" s="2">
        <v>-5792</v>
      </c>
      <c r="AJ531" s="2">
        <v>-5421</v>
      </c>
      <c r="AK531" s="2">
        <v>-2495</v>
      </c>
      <c r="AL531" s="2">
        <v>-2494</v>
      </c>
      <c r="AM531" s="2">
        <v>0</v>
      </c>
    </row>
    <row r="532" spans="1:39">
      <c r="A532" s="335">
        <v>95421</v>
      </c>
      <c r="B532" s="328" t="s">
        <v>1223</v>
      </c>
      <c r="C532" s="239">
        <v>3.6699999999999998E-5</v>
      </c>
      <c r="E532" s="2">
        <v>16649</v>
      </c>
      <c r="F532" s="2">
        <v>5787</v>
      </c>
      <c r="G532" s="2">
        <v>9909</v>
      </c>
      <c r="H532" s="2">
        <v>2872</v>
      </c>
      <c r="I532" s="2">
        <v>0</v>
      </c>
      <c r="K532" s="2">
        <v>5498</v>
      </c>
      <c r="L532" s="2">
        <v>5172</v>
      </c>
      <c r="M532" s="2">
        <v>4635</v>
      </c>
      <c r="N532" s="2">
        <v>1856</v>
      </c>
      <c r="O532" s="2">
        <v>0</v>
      </c>
      <c r="Q532" s="2">
        <v>5837</v>
      </c>
      <c r="R532" s="2">
        <v>-5021</v>
      </c>
      <c r="S532" s="2">
        <v>708</v>
      </c>
      <c r="T532" s="2">
        <v>921</v>
      </c>
      <c r="U532" s="2">
        <v>0</v>
      </c>
      <c r="W532" s="2">
        <v>6575</v>
      </c>
      <c r="X532" s="2">
        <v>5387</v>
      </c>
      <c r="Y532" s="2">
        <v>4373</v>
      </c>
      <c r="Z532" s="2">
        <v>0</v>
      </c>
      <c r="AA532" s="2">
        <v>0</v>
      </c>
      <c r="AC532" s="2">
        <v>251</v>
      </c>
      <c r="AD532" s="2">
        <v>249</v>
      </c>
      <c r="AE532" s="2">
        <v>193</v>
      </c>
      <c r="AF532" s="2">
        <v>95</v>
      </c>
      <c r="AG532" s="2">
        <v>0</v>
      </c>
      <c r="AI532" s="2">
        <v>-1512</v>
      </c>
      <c r="AJ532" s="2">
        <v>0</v>
      </c>
      <c r="AK532" s="2">
        <v>0</v>
      </c>
      <c r="AL532" s="2">
        <v>0</v>
      </c>
      <c r="AM532" s="2">
        <v>0</v>
      </c>
    </row>
    <row r="533" spans="1:39">
      <c r="A533" s="335">
        <v>95431</v>
      </c>
      <c r="B533" s="328" t="s">
        <v>1224</v>
      </c>
      <c r="C533" s="239">
        <v>1.3689999999999999E-4</v>
      </c>
      <c r="E533" s="2">
        <v>53999</v>
      </c>
      <c r="F533" s="2">
        <v>9493</v>
      </c>
      <c r="G533" s="2">
        <v>31295</v>
      </c>
      <c r="H533" s="2">
        <v>7703</v>
      </c>
      <c r="I533" s="2">
        <v>0</v>
      </c>
      <c r="K533" s="2">
        <v>20509</v>
      </c>
      <c r="L533" s="2">
        <v>19292</v>
      </c>
      <c r="M533" s="2">
        <v>17291</v>
      </c>
      <c r="N533" s="2">
        <v>6923</v>
      </c>
      <c r="O533" s="2">
        <v>0</v>
      </c>
      <c r="Q533" s="2">
        <v>21773</v>
      </c>
      <c r="R533" s="2">
        <v>-18729</v>
      </c>
      <c r="S533" s="2">
        <v>2640</v>
      </c>
      <c r="T533" s="2">
        <v>3435</v>
      </c>
      <c r="U533" s="2">
        <v>0</v>
      </c>
      <c r="W533" s="2">
        <v>24527</v>
      </c>
      <c r="X533" s="2">
        <v>20094</v>
      </c>
      <c r="Y533" s="2">
        <v>16313</v>
      </c>
      <c r="Z533" s="2">
        <v>0</v>
      </c>
      <c r="AA533" s="2">
        <v>0</v>
      </c>
      <c r="AC533" s="2">
        <v>0</v>
      </c>
      <c r="AD533" s="2">
        <v>0</v>
      </c>
      <c r="AE533" s="2">
        <v>0</v>
      </c>
      <c r="AF533" s="2">
        <v>0</v>
      </c>
      <c r="AG533" s="2">
        <v>0</v>
      </c>
      <c r="AI533" s="2">
        <v>-12810</v>
      </c>
      <c r="AJ533" s="2">
        <v>-11164</v>
      </c>
      <c r="AK533" s="2">
        <v>-4949</v>
      </c>
      <c r="AL533" s="2">
        <v>-2655</v>
      </c>
      <c r="AM533" s="2">
        <v>0</v>
      </c>
    </row>
    <row r="534" spans="1:39">
      <c r="A534" s="335">
        <v>95501</v>
      </c>
      <c r="B534" s="328" t="s">
        <v>1225</v>
      </c>
      <c r="C534" s="239">
        <v>5.0283999999999997E-3</v>
      </c>
      <c r="E534" s="2">
        <v>2436870</v>
      </c>
      <c r="F534" s="2">
        <v>760863</v>
      </c>
      <c r="G534" s="2">
        <v>1345942</v>
      </c>
      <c r="H534" s="2">
        <v>409515</v>
      </c>
      <c r="I534" s="2">
        <v>0</v>
      </c>
      <c r="K534" s="2">
        <v>753290</v>
      </c>
      <c r="L534" s="2">
        <v>708602</v>
      </c>
      <c r="M534" s="2">
        <v>635112</v>
      </c>
      <c r="N534" s="2">
        <v>254291</v>
      </c>
      <c r="O534" s="2">
        <v>0</v>
      </c>
      <c r="Q534" s="2">
        <v>799722</v>
      </c>
      <c r="R534" s="2">
        <v>-687910</v>
      </c>
      <c r="S534" s="2">
        <v>96953</v>
      </c>
      <c r="T534" s="2">
        <v>126183</v>
      </c>
      <c r="U534" s="2">
        <v>0</v>
      </c>
      <c r="W534" s="2">
        <v>900898</v>
      </c>
      <c r="X534" s="2">
        <v>738048</v>
      </c>
      <c r="Y534" s="2">
        <v>599169</v>
      </c>
      <c r="Z534" s="2">
        <v>0</v>
      </c>
      <c r="AA534" s="2">
        <v>0</v>
      </c>
      <c r="AC534" s="2">
        <v>29039</v>
      </c>
      <c r="AD534" s="2">
        <v>29039</v>
      </c>
      <c r="AE534" s="2">
        <v>29039</v>
      </c>
      <c r="AF534" s="2">
        <v>29041</v>
      </c>
      <c r="AG534" s="2">
        <v>0</v>
      </c>
      <c r="AI534" s="2">
        <v>-46079</v>
      </c>
      <c r="AJ534" s="2">
        <v>-26916</v>
      </c>
      <c r="AK534" s="2">
        <v>-14331</v>
      </c>
      <c r="AL534" s="2">
        <v>0</v>
      </c>
      <c r="AM534" s="2">
        <v>0</v>
      </c>
    </row>
    <row r="535" spans="1:39">
      <c r="A535" s="335">
        <v>95504</v>
      </c>
      <c r="B535" s="328" t="s">
        <v>1226</v>
      </c>
      <c r="C535" s="239">
        <v>1.49E-5</v>
      </c>
      <c r="E535" s="2">
        <v>12454</v>
      </c>
      <c r="F535" s="2">
        <v>7196</v>
      </c>
      <c r="G535" s="2">
        <v>7810</v>
      </c>
      <c r="H535" s="2">
        <v>3904</v>
      </c>
      <c r="I535" s="2">
        <v>0</v>
      </c>
      <c r="K535" s="2">
        <v>2232</v>
      </c>
      <c r="L535" s="2">
        <v>2100</v>
      </c>
      <c r="M535" s="2">
        <v>1882</v>
      </c>
      <c r="N535" s="2">
        <v>754</v>
      </c>
      <c r="O535" s="2">
        <v>0</v>
      </c>
      <c r="Q535" s="2">
        <v>2370</v>
      </c>
      <c r="R535" s="2">
        <v>-2038</v>
      </c>
      <c r="S535" s="2">
        <v>287</v>
      </c>
      <c r="T535" s="2">
        <v>374</v>
      </c>
      <c r="U535" s="2">
        <v>0</v>
      </c>
      <c r="W535" s="2">
        <v>2670</v>
      </c>
      <c r="X535" s="2">
        <v>2187</v>
      </c>
      <c r="Y535" s="2">
        <v>1775</v>
      </c>
      <c r="Z535" s="2">
        <v>0</v>
      </c>
      <c r="AA535" s="2">
        <v>0</v>
      </c>
      <c r="AC535" s="2">
        <v>5182</v>
      </c>
      <c r="AD535" s="2">
        <v>4947</v>
      </c>
      <c r="AE535" s="2">
        <v>3866</v>
      </c>
      <c r="AF535" s="2">
        <v>2776</v>
      </c>
      <c r="AG535" s="2">
        <v>0</v>
      </c>
      <c r="AI535" s="2">
        <v>0</v>
      </c>
      <c r="AJ535" s="2">
        <v>0</v>
      </c>
      <c r="AK535" s="2">
        <v>0</v>
      </c>
      <c r="AL535" s="2">
        <v>0</v>
      </c>
      <c r="AM535" s="2">
        <v>0</v>
      </c>
    </row>
    <row r="536" spans="1:39">
      <c r="A536" s="335">
        <v>95511</v>
      </c>
      <c r="B536" s="328" t="s">
        <v>1227</v>
      </c>
      <c r="C536" s="239">
        <v>9.4910000000000003E-4</v>
      </c>
      <c r="E536" s="2">
        <v>473130</v>
      </c>
      <c r="F536" s="2">
        <v>166568</v>
      </c>
      <c r="G536" s="2">
        <v>264909</v>
      </c>
      <c r="H536" s="2">
        <v>80689</v>
      </c>
      <c r="I536" s="2">
        <v>0</v>
      </c>
      <c r="K536" s="2">
        <v>142182</v>
      </c>
      <c r="L536" s="2">
        <v>133747</v>
      </c>
      <c r="M536" s="2">
        <v>119876</v>
      </c>
      <c r="N536" s="2">
        <v>47997</v>
      </c>
      <c r="O536" s="2">
        <v>0</v>
      </c>
      <c r="Q536" s="2">
        <v>150946</v>
      </c>
      <c r="R536" s="2">
        <v>-129842</v>
      </c>
      <c r="S536" s="2">
        <v>18300</v>
      </c>
      <c r="T536" s="2">
        <v>23817</v>
      </c>
      <c r="U536" s="2">
        <v>0</v>
      </c>
      <c r="W536" s="2">
        <v>170043</v>
      </c>
      <c r="X536" s="2">
        <v>139305</v>
      </c>
      <c r="Y536" s="2">
        <v>113092</v>
      </c>
      <c r="Z536" s="2">
        <v>0</v>
      </c>
      <c r="AA536" s="2">
        <v>0</v>
      </c>
      <c r="AC536" s="2">
        <v>23356</v>
      </c>
      <c r="AD536" s="2">
        <v>23358</v>
      </c>
      <c r="AE536" s="2">
        <v>13641</v>
      </c>
      <c r="AF536" s="2">
        <v>8875</v>
      </c>
      <c r="AG536" s="2">
        <v>0</v>
      </c>
      <c r="AI536" s="2">
        <v>-13397</v>
      </c>
      <c r="AJ536" s="2">
        <v>0</v>
      </c>
      <c r="AK536" s="2">
        <v>0</v>
      </c>
      <c r="AL536" s="2">
        <v>0</v>
      </c>
      <c r="AM536" s="2">
        <v>0</v>
      </c>
    </row>
    <row r="537" spans="1:39">
      <c r="A537" s="335">
        <v>95513</v>
      </c>
      <c r="B537" s="328" t="s">
        <v>1228</v>
      </c>
      <c r="C537" s="239">
        <v>3.9700000000000003E-5</v>
      </c>
      <c r="E537" s="2">
        <v>27252</v>
      </c>
      <c r="F537" s="2">
        <v>12057</v>
      </c>
      <c r="G537" s="2">
        <v>14305</v>
      </c>
      <c r="H537" s="2">
        <v>4600</v>
      </c>
      <c r="I537" s="2">
        <v>0</v>
      </c>
      <c r="K537" s="2">
        <v>5947</v>
      </c>
      <c r="L537" s="2">
        <v>5595</v>
      </c>
      <c r="M537" s="2">
        <v>5014</v>
      </c>
      <c r="N537" s="2">
        <v>2008</v>
      </c>
      <c r="O537" s="2">
        <v>0</v>
      </c>
      <c r="Q537" s="2">
        <v>6314</v>
      </c>
      <c r="R537" s="2">
        <v>-5431</v>
      </c>
      <c r="S537" s="2">
        <v>765</v>
      </c>
      <c r="T537" s="2">
        <v>996</v>
      </c>
      <c r="U537" s="2">
        <v>0</v>
      </c>
      <c r="W537" s="2">
        <v>7113</v>
      </c>
      <c r="X537" s="2">
        <v>5827</v>
      </c>
      <c r="Y537" s="2">
        <v>4731</v>
      </c>
      <c r="Z537" s="2">
        <v>0</v>
      </c>
      <c r="AA537" s="2">
        <v>0</v>
      </c>
      <c r="AC537" s="2">
        <v>7878</v>
      </c>
      <c r="AD537" s="2">
        <v>6066</v>
      </c>
      <c r="AE537" s="2">
        <v>3795</v>
      </c>
      <c r="AF537" s="2">
        <v>1596</v>
      </c>
      <c r="AG537" s="2">
        <v>0</v>
      </c>
      <c r="AI537" s="2">
        <v>0</v>
      </c>
      <c r="AJ537" s="2">
        <v>0</v>
      </c>
      <c r="AK537" s="2">
        <v>0</v>
      </c>
      <c r="AL537" s="2">
        <v>0</v>
      </c>
      <c r="AM537" s="2">
        <v>0</v>
      </c>
    </row>
    <row r="538" spans="1:39">
      <c r="A538" s="335">
        <v>95517</v>
      </c>
      <c r="B538" s="328" t="s">
        <v>1229</v>
      </c>
      <c r="C538" s="239">
        <v>1.84E-5</v>
      </c>
      <c r="E538" s="2">
        <v>12302</v>
      </c>
      <c r="F538" s="2">
        <v>4347</v>
      </c>
      <c r="G538" s="2">
        <v>4229</v>
      </c>
      <c r="H538" s="2">
        <v>1388</v>
      </c>
      <c r="I538" s="2">
        <v>0</v>
      </c>
      <c r="K538" s="2">
        <v>2756</v>
      </c>
      <c r="L538" s="2">
        <v>2593</v>
      </c>
      <c r="M538" s="2">
        <v>2324</v>
      </c>
      <c r="N538" s="2">
        <v>931</v>
      </c>
      <c r="O538" s="2">
        <v>0</v>
      </c>
      <c r="Q538" s="2">
        <v>2926</v>
      </c>
      <c r="R538" s="2">
        <v>-2517</v>
      </c>
      <c r="S538" s="2">
        <v>355</v>
      </c>
      <c r="T538" s="2">
        <v>462</v>
      </c>
      <c r="U538" s="2">
        <v>0</v>
      </c>
      <c r="W538" s="2">
        <v>3297</v>
      </c>
      <c r="X538" s="2">
        <v>2701</v>
      </c>
      <c r="Y538" s="2">
        <v>2192</v>
      </c>
      <c r="Z538" s="2">
        <v>0</v>
      </c>
      <c r="AA538" s="2">
        <v>0</v>
      </c>
      <c r="AC538" s="2">
        <v>3965</v>
      </c>
      <c r="AD538" s="2">
        <v>2212</v>
      </c>
      <c r="AE538" s="2">
        <v>0</v>
      </c>
      <c r="AF538" s="2">
        <v>0</v>
      </c>
      <c r="AG538" s="2">
        <v>0</v>
      </c>
      <c r="AI538" s="2">
        <v>-642</v>
      </c>
      <c r="AJ538" s="2">
        <v>-642</v>
      </c>
      <c r="AK538" s="2">
        <v>-642</v>
      </c>
      <c r="AL538" s="2">
        <v>-5</v>
      </c>
      <c r="AM538" s="2">
        <v>0</v>
      </c>
    </row>
    <row r="539" spans="1:39">
      <c r="A539" s="335">
        <v>95601</v>
      </c>
      <c r="B539" s="328" t="s">
        <v>1230</v>
      </c>
      <c r="C539" s="239">
        <v>2.4459999999999998E-3</v>
      </c>
      <c r="E539" s="2">
        <v>1157017</v>
      </c>
      <c r="F539" s="2">
        <v>322260</v>
      </c>
      <c r="G539" s="2">
        <v>605514</v>
      </c>
      <c r="H539" s="2">
        <v>147864</v>
      </c>
      <c r="I539" s="2">
        <v>0</v>
      </c>
      <c r="K539" s="2">
        <v>366428</v>
      </c>
      <c r="L539" s="2">
        <v>344690</v>
      </c>
      <c r="M539" s="2">
        <v>308942</v>
      </c>
      <c r="N539" s="2">
        <v>123697</v>
      </c>
      <c r="O539" s="2">
        <v>0</v>
      </c>
      <c r="Q539" s="2">
        <v>389014</v>
      </c>
      <c r="R539" s="2">
        <v>-334625</v>
      </c>
      <c r="S539" s="2">
        <v>47161</v>
      </c>
      <c r="T539" s="2">
        <v>61380</v>
      </c>
      <c r="U539" s="2">
        <v>0</v>
      </c>
      <c r="W539" s="2">
        <v>438230</v>
      </c>
      <c r="X539" s="2">
        <v>359014</v>
      </c>
      <c r="Y539" s="2">
        <v>291458</v>
      </c>
      <c r="Z539" s="2">
        <v>0</v>
      </c>
      <c r="AA539" s="2">
        <v>0</v>
      </c>
      <c r="AC539" s="2">
        <v>10163</v>
      </c>
      <c r="AD539" s="2">
        <v>0</v>
      </c>
      <c r="AE539" s="2">
        <v>0</v>
      </c>
      <c r="AF539" s="2">
        <v>0</v>
      </c>
      <c r="AG539" s="2">
        <v>0</v>
      </c>
      <c r="AI539" s="2">
        <v>-46818</v>
      </c>
      <c r="AJ539" s="2">
        <v>-46819</v>
      </c>
      <c r="AK539" s="2">
        <v>-42047</v>
      </c>
      <c r="AL539" s="2">
        <v>-37213</v>
      </c>
      <c r="AM539" s="2">
        <v>0</v>
      </c>
    </row>
    <row r="540" spans="1:39">
      <c r="A540" s="335">
        <v>95611</v>
      </c>
      <c r="B540" s="328" t="s">
        <v>1231</v>
      </c>
      <c r="C540" s="239">
        <v>3.7889999999999999E-4</v>
      </c>
      <c r="E540" s="2">
        <v>186875</v>
      </c>
      <c r="F540" s="2">
        <v>59163</v>
      </c>
      <c r="G540" s="2">
        <v>100481</v>
      </c>
      <c r="H540" s="2">
        <v>29502</v>
      </c>
      <c r="I540" s="2">
        <v>0</v>
      </c>
      <c r="K540" s="2">
        <v>56762</v>
      </c>
      <c r="L540" s="2">
        <v>53395</v>
      </c>
      <c r="M540" s="2">
        <v>47857</v>
      </c>
      <c r="N540" s="2">
        <v>19161</v>
      </c>
      <c r="O540" s="2">
        <v>0</v>
      </c>
      <c r="Q540" s="2">
        <v>60261</v>
      </c>
      <c r="R540" s="2">
        <v>-51835</v>
      </c>
      <c r="S540" s="2">
        <v>7306</v>
      </c>
      <c r="T540" s="2">
        <v>9508</v>
      </c>
      <c r="U540" s="2">
        <v>0</v>
      </c>
      <c r="W540" s="2">
        <v>67884</v>
      </c>
      <c r="X540" s="2">
        <v>55613</v>
      </c>
      <c r="Y540" s="2">
        <v>45149</v>
      </c>
      <c r="Z540" s="2">
        <v>0</v>
      </c>
      <c r="AA540" s="2">
        <v>0</v>
      </c>
      <c r="AC540" s="2">
        <v>2656</v>
      </c>
      <c r="AD540" s="2">
        <v>2658</v>
      </c>
      <c r="AE540" s="2">
        <v>835</v>
      </c>
      <c r="AF540" s="2">
        <v>833</v>
      </c>
      <c r="AG540" s="2">
        <v>0</v>
      </c>
      <c r="AI540" s="2">
        <v>-688</v>
      </c>
      <c r="AJ540" s="2">
        <v>-668</v>
      </c>
      <c r="AK540" s="2">
        <v>-666</v>
      </c>
      <c r="AL540" s="2">
        <v>0</v>
      </c>
      <c r="AM540" s="2">
        <v>0</v>
      </c>
    </row>
    <row r="541" spans="1:39">
      <c r="A541" s="335">
        <v>95617</v>
      </c>
      <c r="B541" s="328" t="s">
        <v>1232</v>
      </c>
      <c r="C541" s="239">
        <v>1.49E-5</v>
      </c>
      <c r="E541" s="2">
        <v>7658</v>
      </c>
      <c r="F541" s="2">
        <v>2559</v>
      </c>
      <c r="G541" s="2">
        <v>4140</v>
      </c>
      <c r="H541" s="2">
        <v>1222</v>
      </c>
      <c r="I541" s="2">
        <v>0</v>
      </c>
      <c r="K541" s="2">
        <v>2232</v>
      </c>
      <c r="L541" s="2">
        <v>2100</v>
      </c>
      <c r="M541" s="2">
        <v>1882</v>
      </c>
      <c r="N541" s="2">
        <v>754</v>
      </c>
      <c r="O541" s="2">
        <v>0</v>
      </c>
      <c r="Q541" s="2">
        <v>2370</v>
      </c>
      <c r="R541" s="2">
        <v>-2038</v>
      </c>
      <c r="S541" s="2">
        <v>287</v>
      </c>
      <c r="T541" s="2">
        <v>374</v>
      </c>
      <c r="U541" s="2">
        <v>0</v>
      </c>
      <c r="W541" s="2">
        <v>2670</v>
      </c>
      <c r="X541" s="2">
        <v>2187</v>
      </c>
      <c r="Y541" s="2">
        <v>1775</v>
      </c>
      <c r="Z541" s="2">
        <v>0</v>
      </c>
      <c r="AA541" s="2">
        <v>0</v>
      </c>
      <c r="AC541" s="2">
        <v>386</v>
      </c>
      <c r="AD541" s="2">
        <v>310</v>
      </c>
      <c r="AE541" s="2">
        <v>196</v>
      </c>
      <c r="AF541" s="2">
        <v>94</v>
      </c>
      <c r="AG541" s="2">
        <v>0</v>
      </c>
      <c r="AI541" s="2">
        <v>0</v>
      </c>
      <c r="AJ541" s="2">
        <v>0</v>
      </c>
      <c r="AK541" s="2">
        <v>0</v>
      </c>
      <c r="AL541" s="2">
        <v>0</v>
      </c>
      <c r="AM541" s="2">
        <v>0</v>
      </c>
    </row>
    <row r="542" spans="1:39">
      <c r="A542" s="335">
        <v>95621</v>
      </c>
      <c r="B542" s="328" t="s">
        <v>1233</v>
      </c>
      <c r="C542" s="239">
        <v>4.5750000000000001E-4</v>
      </c>
      <c r="E542" s="2">
        <v>227756</v>
      </c>
      <c r="F542" s="2">
        <v>73623</v>
      </c>
      <c r="G542" s="2">
        <v>126250</v>
      </c>
      <c r="H542" s="2">
        <v>29154</v>
      </c>
      <c r="I542" s="2">
        <v>0</v>
      </c>
      <c r="K542" s="2">
        <v>68537</v>
      </c>
      <c r="L542" s="2">
        <v>64471</v>
      </c>
      <c r="M542" s="2">
        <v>57785</v>
      </c>
      <c r="N542" s="2">
        <v>23136</v>
      </c>
      <c r="O542" s="2">
        <v>0</v>
      </c>
      <c r="Q542" s="2">
        <v>72761</v>
      </c>
      <c r="R542" s="2">
        <v>-62588</v>
      </c>
      <c r="S542" s="2">
        <v>8821</v>
      </c>
      <c r="T542" s="2">
        <v>11481</v>
      </c>
      <c r="U542" s="2">
        <v>0</v>
      </c>
      <c r="W542" s="2">
        <v>81967</v>
      </c>
      <c r="X542" s="2">
        <v>67150</v>
      </c>
      <c r="Y542" s="2">
        <v>54514</v>
      </c>
      <c r="Z542" s="2">
        <v>0</v>
      </c>
      <c r="AA542" s="2">
        <v>0</v>
      </c>
      <c r="AC542" s="2">
        <v>10593</v>
      </c>
      <c r="AD542" s="2">
        <v>10593</v>
      </c>
      <c r="AE542" s="2">
        <v>10592</v>
      </c>
      <c r="AF542" s="2">
        <v>0</v>
      </c>
      <c r="AG542" s="2">
        <v>0</v>
      </c>
      <c r="AI542" s="2">
        <v>-6102</v>
      </c>
      <c r="AJ542" s="2">
        <v>-6003</v>
      </c>
      <c r="AK542" s="2">
        <v>-5462</v>
      </c>
      <c r="AL542" s="2">
        <v>-5463</v>
      </c>
      <c r="AM542" s="2">
        <v>0</v>
      </c>
    </row>
    <row r="543" spans="1:39">
      <c r="A543" s="335">
        <v>95701</v>
      </c>
      <c r="B543" s="328" t="s">
        <v>1234</v>
      </c>
      <c r="C543" s="239">
        <v>1.2156000000000001E-3</v>
      </c>
      <c r="E543" s="2">
        <v>562220</v>
      </c>
      <c r="F543" s="2">
        <v>149084</v>
      </c>
      <c r="G543" s="2">
        <v>279552</v>
      </c>
      <c r="H543" s="2">
        <v>69021</v>
      </c>
      <c r="I543" s="2">
        <v>0</v>
      </c>
      <c r="K543" s="2">
        <v>182105</v>
      </c>
      <c r="L543" s="2">
        <v>171302</v>
      </c>
      <c r="M543" s="2">
        <v>153536</v>
      </c>
      <c r="N543" s="2">
        <v>61474</v>
      </c>
      <c r="O543" s="2">
        <v>0</v>
      </c>
      <c r="Q543" s="2">
        <v>193330</v>
      </c>
      <c r="R543" s="2">
        <v>-166300</v>
      </c>
      <c r="S543" s="2">
        <v>23438</v>
      </c>
      <c r="T543" s="2">
        <v>30504</v>
      </c>
      <c r="U543" s="2">
        <v>0</v>
      </c>
      <c r="W543" s="2">
        <v>217789</v>
      </c>
      <c r="X543" s="2">
        <v>178421</v>
      </c>
      <c r="Y543" s="2">
        <v>144847</v>
      </c>
      <c r="Z543" s="2">
        <v>0</v>
      </c>
      <c r="AA543" s="2">
        <v>0</v>
      </c>
      <c r="AC543" s="2">
        <v>11267</v>
      </c>
      <c r="AD543" s="2">
        <v>7932</v>
      </c>
      <c r="AE543" s="2">
        <v>0</v>
      </c>
      <c r="AF543" s="2">
        <v>0</v>
      </c>
      <c r="AG543" s="2">
        <v>0</v>
      </c>
      <c r="AI543" s="2">
        <v>-42271</v>
      </c>
      <c r="AJ543" s="2">
        <v>-42271</v>
      </c>
      <c r="AK543" s="2">
        <v>-42269</v>
      </c>
      <c r="AL543" s="2">
        <v>-22957</v>
      </c>
      <c r="AM543" s="2">
        <v>0</v>
      </c>
    </row>
    <row r="544" spans="1:39">
      <c r="A544" s="335">
        <v>95711</v>
      </c>
      <c r="B544" s="328" t="s">
        <v>1235</v>
      </c>
      <c r="C544" s="239">
        <v>1.4320000000000001E-4</v>
      </c>
      <c r="E544" s="2">
        <v>65721</v>
      </c>
      <c r="F544" s="2">
        <v>17219</v>
      </c>
      <c r="G544" s="2">
        <v>34964</v>
      </c>
      <c r="H544" s="2">
        <v>9083</v>
      </c>
      <c r="I544" s="2">
        <v>0</v>
      </c>
      <c r="K544" s="2">
        <v>21452</v>
      </c>
      <c r="L544" s="2">
        <v>20180</v>
      </c>
      <c r="M544" s="2">
        <v>18087</v>
      </c>
      <c r="N544" s="2">
        <v>7242</v>
      </c>
      <c r="O544" s="2">
        <v>0</v>
      </c>
      <c r="Q544" s="2">
        <v>22775</v>
      </c>
      <c r="R544" s="2">
        <v>-19590</v>
      </c>
      <c r="S544" s="2">
        <v>2761</v>
      </c>
      <c r="T544" s="2">
        <v>3593</v>
      </c>
      <c r="U544" s="2">
        <v>0</v>
      </c>
      <c r="W544" s="2">
        <v>25656</v>
      </c>
      <c r="X544" s="2">
        <v>21018</v>
      </c>
      <c r="Y544" s="2">
        <v>17063</v>
      </c>
      <c r="Z544" s="2">
        <v>0</v>
      </c>
      <c r="AA544" s="2">
        <v>0</v>
      </c>
      <c r="AC544" s="2">
        <v>227</v>
      </c>
      <c r="AD544" s="2">
        <v>0</v>
      </c>
      <c r="AE544" s="2">
        <v>0</v>
      </c>
      <c r="AF544" s="2">
        <v>0</v>
      </c>
      <c r="AG544" s="2">
        <v>0</v>
      </c>
      <c r="AI544" s="2">
        <v>-4389</v>
      </c>
      <c r="AJ544" s="2">
        <v>-4389</v>
      </c>
      <c r="AK544" s="2">
        <v>-2947</v>
      </c>
      <c r="AL544" s="2">
        <v>-1752</v>
      </c>
      <c r="AM544" s="2">
        <v>0</v>
      </c>
    </row>
    <row r="545" spans="1:39">
      <c r="A545" s="335">
        <v>95721</v>
      </c>
      <c r="B545" s="328" t="s">
        <v>1236</v>
      </c>
      <c r="C545" s="239">
        <v>6.58E-5</v>
      </c>
      <c r="E545" s="2">
        <v>29023</v>
      </c>
      <c r="F545" s="2">
        <v>7800</v>
      </c>
      <c r="G545" s="2">
        <v>16242</v>
      </c>
      <c r="H545" s="2">
        <v>4193</v>
      </c>
      <c r="I545" s="2">
        <v>0</v>
      </c>
      <c r="K545" s="2">
        <v>9857</v>
      </c>
      <c r="L545" s="2">
        <v>9273</v>
      </c>
      <c r="M545" s="2">
        <v>8311</v>
      </c>
      <c r="N545" s="2">
        <v>3328</v>
      </c>
      <c r="O545" s="2">
        <v>0</v>
      </c>
      <c r="Q545" s="2">
        <v>10465</v>
      </c>
      <c r="R545" s="2">
        <v>-9002</v>
      </c>
      <c r="S545" s="2">
        <v>1269</v>
      </c>
      <c r="T545" s="2">
        <v>1651</v>
      </c>
      <c r="U545" s="2">
        <v>0</v>
      </c>
      <c r="W545" s="2">
        <v>11789</v>
      </c>
      <c r="X545" s="2">
        <v>9658</v>
      </c>
      <c r="Y545" s="2">
        <v>7841</v>
      </c>
      <c r="Z545" s="2">
        <v>0</v>
      </c>
      <c r="AA545" s="2">
        <v>0</v>
      </c>
      <c r="AC545" s="2">
        <v>0</v>
      </c>
      <c r="AD545" s="2">
        <v>0</v>
      </c>
      <c r="AE545" s="2">
        <v>0</v>
      </c>
      <c r="AF545" s="2">
        <v>0</v>
      </c>
      <c r="AG545" s="2">
        <v>0</v>
      </c>
      <c r="AI545" s="2">
        <v>-3088</v>
      </c>
      <c r="AJ545" s="2">
        <v>-2129</v>
      </c>
      <c r="AK545" s="2">
        <v>-1179</v>
      </c>
      <c r="AL545" s="2">
        <v>-786</v>
      </c>
      <c r="AM545" s="2">
        <v>0</v>
      </c>
    </row>
    <row r="546" spans="1:39">
      <c r="A546" s="335">
        <v>95733</v>
      </c>
      <c r="B546" s="328" t="s">
        <v>1237</v>
      </c>
      <c r="C546" s="239">
        <v>1.43E-5</v>
      </c>
      <c r="E546" s="2">
        <v>6655</v>
      </c>
      <c r="F546" s="2">
        <v>1893</v>
      </c>
      <c r="G546" s="2">
        <v>3588</v>
      </c>
      <c r="H546" s="2">
        <v>872</v>
      </c>
      <c r="I546" s="2">
        <v>0</v>
      </c>
      <c r="K546" s="2">
        <v>2142</v>
      </c>
      <c r="L546" s="2">
        <v>2015</v>
      </c>
      <c r="M546" s="2">
        <v>1806</v>
      </c>
      <c r="N546" s="2">
        <v>723</v>
      </c>
      <c r="O546" s="2">
        <v>0</v>
      </c>
      <c r="Q546" s="2">
        <v>2274</v>
      </c>
      <c r="R546" s="2">
        <v>-1956</v>
      </c>
      <c r="S546" s="2">
        <v>276</v>
      </c>
      <c r="T546" s="2">
        <v>359</v>
      </c>
      <c r="U546" s="2">
        <v>0</v>
      </c>
      <c r="W546" s="2">
        <v>2562</v>
      </c>
      <c r="X546" s="2">
        <v>2099</v>
      </c>
      <c r="Y546" s="2">
        <v>1704</v>
      </c>
      <c r="Z546" s="2">
        <v>0</v>
      </c>
      <c r="AA546" s="2">
        <v>0</v>
      </c>
      <c r="AC546" s="2">
        <v>14</v>
      </c>
      <c r="AD546" s="2">
        <v>14</v>
      </c>
      <c r="AE546" s="2">
        <v>13</v>
      </c>
      <c r="AF546" s="2">
        <v>0</v>
      </c>
      <c r="AG546" s="2">
        <v>0</v>
      </c>
      <c r="AI546" s="2">
        <v>-337</v>
      </c>
      <c r="AJ546" s="2">
        <v>-279</v>
      </c>
      <c r="AK546" s="2">
        <v>-211</v>
      </c>
      <c r="AL546" s="2">
        <v>-210</v>
      </c>
      <c r="AM546" s="2">
        <v>0</v>
      </c>
    </row>
    <row r="547" spans="1:39">
      <c r="A547" s="335">
        <v>95801</v>
      </c>
      <c r="B547" s="328" t="s">
        <v>1238</v>
      </c>
      <c r="C547" s="239">
        <v>9.5739999999999996E-4</v>
      </c>
      <c r="E547" s="2">
        <v>485009</v>
      </c>
      <c r="F547" s="2">
        <v>162329</v>
      </c>
      <c r="G547" s="2">
        <v>258138</v>
      </c>
      <c r="H547" s="2">
        <v>71482</v>
      </c>
      <c r="I547" s="2">
        <v>0</v>
      </c>
      <c r="K547" s="2">
        <v>143425</v>
      </c>
      <c r="L547" s="2">
        <v>134917</v>
      </c>
      <c r="M547" s="2">
        <v>120924</v>
      </c>
      <c r="N547" s="2">
        <v>48417</v>
      </c>
      <c r="O547" s="2">
        <v>0</v>
      </c>
      <c r="Q547" s="2">
        <v>152266</v>
      </c>
      <c r="R547" s="2">
        <v>-130977</v>
      </c>
      <c r="S547" s="2">
        <v>18460</v>
      </c>
      <c r="T547" s="2">
        <v>24025</v>
      </c>
      <c r="U547" s="2">
        <v>0</v>
      </c>
      <c r="W547" s="2">
        <v>171530</v>
      </c>
      <c r="X547" s="2">
        <v>140523</v>
      </c>
      <c r="Y547" s="2">
        <v>114081</v>
      </c>
      <c r="Z547" s="2">
        <v>0</v>
      </c>
      <c r="AA547" s="2">
        <v>0</v>
      </c>
      <c r="AC547" s="2">
        <v>18825</v>
      </c>
      <c r="AD547" s="2">
        <v>18827</v>
      </c>
      <c r="AE547" s="2">
        <v>5634</v>
      </c>
      <c r="AF547" s="2">
        <v>0</v>
      </c>
      <c r="AG547" s="2">
        <v>0</v>
      </c>
      <c r="AI547" s="2">
        <v>-1037</v>
      </c>
      <c r="AJ547" s="2">
        <v>-961</v>
      </c>
      <c r="AK547" s="2">
        <v>-961</v>
      </c>
      <c r="AL547" s="2">
        <v>-960</v>
      </c>
      <c r="AM547" s="2">
        <v>0</v>
      </c>
    </row>
    <row r="548" spans="1:39">
      <c r="A548" s="335">
        <v>95802</v>
      </c>
      <c r="B548" s="328" t="s">
        <v>3705</v>
      </c>
      <c r="C548" s="239">
        <v>4.5000000000000001E-6</v>
      </c>
      <c r="E548" s="2">
        <v>3905</v>
      </c>
      <c r="F548" s="2">
        <v>2066</v>
      </c>
      <c r="G548" s="2">
        <v>2228</v>
      </c>
      <c r="H548" s="2">
        <v>876</v>
      </c>
      <c r="I548" s="2">
        <v>0</v>
      </c>
      <c r="K548" s="2">
        <v>674</v>
      </c>
      <c r="L548" s="2">
        <v>634</v>
      </c>
      <c r="M548" s="2">
        <v>568</v>
      </c>
      <c r="N548" s="2">
        <v>228</v>
      </c>
      <c r="O548" s="2">
        <v>0</v>
      </c>
      <c r="Q548" s="2">
        <v>716</v>
      </c>
      <c r="R548" s="2">
        <v>-616</v>
      </c>
      <c r="S548" s="2">
        <v>87</v>
      </c>
      <c r="T548" s="2">
        <v>113</v>
      </c>
      <c r="U548" s="2">
        <v>0</v>
      </c>
      <c r="W548" s="2">
        <v>806</v>
      </c>
      <c r="X548" s="2">
        <v>660</v>
      </c>
      <c r="Y548" s="2">
        <v>536</v>
      </c>
      <c r="Z548" s="2">
        <v>0</v>
      </c>
      <c r="AA548" s="2">
        <v>0</v>
      </c>
      <c r="AC548" s="2">
        <v>1709</v>
      </c>
      <c r="AD548" s="2">
        <v>1388</v>
      </c>
      <c r="AE548" s="2">
        <v>1037</v>
      </c>
      <c r="AF548" s="2">
        <v>535</v>
      </c>
      <c r="AG548" s="2">
        <v>0</v>
      </c>
      <c r="AI548" s="2">
        <v>0</v>
      </c>
      <c r="AJ548" s="2">
        <v>0</v>
      </c>
      <c r="AK548" s="2">
        <v>0</v>
      </c>
      <c r="AL548" s="2">
        <v>0</v>
      </c>
      <c r="AM548" s="2">
        <v>0</v>
      </c>
    </row>
    <row r="549" spans="1:39">
      <c r="A549" s="335">
        <v>95804</v>
      </c>
      <c r="B549" s="328" t="s">
        <v>1240</v>
      </c>
      <c r="C549" s="239">
        <v>2.5999999999999998E-5</v>
      </c>
      <c r="E549" s="2">
        <v>12862</v>
      </c>
      <c r="F549" s="2">
        <v>3988</v>
      </c>
      <c r="G549" s="2">
        <v>6506</v>
      </c>
      <c r="H549" s="2">
        <v>2181</v>
      </c>
      <c r="I549" s="2">
        <v>0</v>
      </c>
      <c r="K549" s="2">
        <v>3895</v>
      </c>
      <c r="L549" s="2">
        <v>3664</v>
      </c>
      <c r="M549" s="2">
        <v>3284</v>
      </c>
      <c r="N549" s="2">
        <v>1315</v>
      </c>
      <c r="O549" s="2">
        <v>0</v>
      </c>
      <c r="Q549" s="2">
        <v>4135</v>
      </c>
      <c r="R549" s="2">
        <v>-3557</v>
      </c>
      <c r="S549" s="2">
        <v>501</v>
      </c>
      <c r="T549" s="2">
        <v>652</v>
      </c>
      <c r="U549" s="2">
        <v>0</v>
      </c>
      <c r="W549" s="2">
        <v>4658</v>
      </c>
      <c r="X549" s="2">
        <v>3816</v>
      </c>
      <c r="Y549" s="2">
        <v>3098</v>
      </c>
      <c r="Z549" s="2">
        <v>0</v>
      </c>
      <c r="AA549" s="2">
        <v>0</v>
      </c>
      <c r="AC549" s="2">
        <v>762</v>
      </c>
      <c r="AD549" s="2">
        <v>653</v>
      </c>
      <c r="AE549" s="2">
        <v>212</v>
      </c>
      <c r="AF549" s="2">
        <v>214</v>
      </c>
      <c r="AG549" s="2">
        <v>0</v>
      </c>
      <c r="AI549" s="2">
        <v>-588</v>
      </c>
      <c r="AJ549" s="2">
        <v>-588</v>
      </c>
      <c r="AK549" s="2">
        <v>-589</v>
      </c>
      <c r="AL549" s="2">
        <v>0</v>
      </c>
      <c r="AM549" s="2">
        <v>0</v>
      </c>
    </row>
    <row r="550" spans="1:39">
      <c r="A550" s="335">
        <v>95811</v>
      </c>
      <c r="B550" s="328" t="s">
        <v>1241</v>
      </c>
      <c r="C550" s="239">
        <v>5.287E-4</v>
      </c>
      <c r="E550" s="2">
        <v>258580</v>
      </c>
      <c r="F550" s="2">
        <v>79967</v>
      </c>
      <c r="G550" s="2">
        <v>140632</v>
      </c>
      <c r="H550" s="2">
        <v>40467</v>
      </c>
      <c r="I550" s="2">
        <v>0</v>
      </c>
      <c r="K550" s="2">
        <v>79203</v>
      </c>
      <c r="L550" s="2">
        <v>74504</v>
      </c>
      <c r="M550" s="2">
        <v>66777</v>
      </c>
      <c r="N550" s="2">
        <v>26737</v>
      </c>
      <c r="O550" s="2">
        <v>0</v>
      </c>
      <c r="Q550" s="2">
        <v>84085</v>
      </c>
      <c r="R550" s="2">
        <v>-72329</v>
      </c>
      <c r="S550" s="2">
        <v>10194</v>
      </c>
      <c r="T550" s="2">
        <v>13267</v>
      </c>
      <c r="U550" s="2">
        <v>0</v>
      </c>
      <c r="W550" s="2">
        <v>94723</v>
      </c>
      <c r="X550" s="2">
        <v>77600</v>
      </c>
      <c r="Y550" s="2">
        <v>62998</v>
      </c>
      <c r="Z550" s="2">
        <v>0</v>
      </c>
      <c r="AA550" s="2">
        <v>0</v>
      </c>
      <c r="AC550" s="2">
        <v>1039</v>
      </c>
      <c r="AD550" s="2">
        <v>661</v>
      </c>
      <c r="AE550" s="2">
        <v>663</v>
      </c>
      <c r="AF550" s="2">
        <v>463</v>
      </c>
      <c r="AG550" s="2">
        <v>0</v>
      </c>
      <c r="AI550" s="2">
        <v>-470</v>
      </c>
      <c r="AJ550" s="2">
        <v>-469</v>
      </c>
      <c r="AK550" s="2">
        <v>0</v>
      </c>
      <c r="AL550" s="2">
        <v>0</v>
      </c>
      <c r="AM550" s="2">
        <v>0</v>
      </c>
    </row>
    <row r="551" spans="1:39">
      <c r="A551" s="335">
        <v>95813</v>
      </c>
      <c r="B551" s="328" t="s">
        <v>1242</v>
      </c>
      <c r="C551" s="239">
        <v>4.4100000000000001E-5</v>
      </c>
      <c r="E551" s="2">
        <v>53483</v>
      </c>
      <c r="F551" s="2">
        <v>31717</v>
      </c>
      <c r="G551" s="2">
        <v>27822</v>
      </c>
      <c r="H551" s="2">
        <v>9822</v>
      </c>
      <c r="I551" s="2">
        <v>0</v>
      </c>
      <c r="K551" s="2">
        <v>6606</v>
      </c>
      <c r="L551" s="2">
        <v>6215</v>
      </c>
      <c r="M551" s="2">
        <v>5570</v>
      </c>
      <c r="N551" s="2">
        <v>2230</v>
      </c>
      <c r="O551" s="2">
        <v>0</v>
      </c>
      <c r="Q551" s="2">
        <v>7014</v>
      </c>
      <c r="R551" s="2">
        <v>-6033</v>
      </c>
      <c r="S551" s="2">
        <v>850</v>
      </c>
      <c r="T551" s="2">
        <v>1107</v>
      </c>
      <c r="U551" s="2">
        <v>0</v>
      </c>
      <c r="W551" s="2">
        <v>7901</v>
      </c>
      <c r="X551" s="2">
        <v>6473</v>
      </c>
      <c r="Y551" s="2">
        <v>5255</v>
      </c>
      <c r="Z551" s="2">
        <v>0</v>
      </c>
      <c r="AA551" s="2">
        <v>0</v>
      </c>
      <c r="AC551" s="2">
        <v>31962</v>
      </c>
      <c r="AD551" s="2">
        <v>25062</v>
      </c>
      <c r="AE551" s="2">
        <v>16147</v>
      </c>
      <c r="AF551" s="2">
        <v>6485</v>
      </c>
      <c r="AG551" s="2">
        <v>0</v>
      </c>
      <c r="AI551" s="2">
        <v>0</v>
      </c>
      <c r="AJ551" s="2">
        <v>0</v>
      </c>
      <c r="AK551" s="2">
        <v>0</v>
      </c>
      <c r="AL551" s="2">
        <v>0</v>
      </c>
      <c r="AM551" s="2">
        <v>0</v>
      </c>
    </row>
    <row r="552" spans="1:39">
      <c r="A552" s="335">
        <v>95821</v>
      </c>
      <c r="B552" s="328" t="s">
        <v>1243</v>
      </c>
      <c r="C552" s="239">
        <v>6.3999999999999997E-6</v>
      </c>
      <c r="E552" s="2">
        <v>4808</v>
      </c>
      <c r="F552" s="2">
        <v>2422</v>
      </c>
      <c r="G552" s="2">
        <v>3316</v>
      </c>
      <c r="H552" s="2">
        <v>1702</v>
      </c>
      <c r="I552" s="2">
        <v>0</v>
      </c>
      <c r="K552" s="2">
        <v>959</v>
      </c>
      <c r="L552" s="2">
        <v>902</v>
      </c>
      <c r="M552" s="2">
        <v>808</v>
      </c>
      <c r="N552" s="2">
        <v>324</v>
      </c>
      <c r="O552" s="2">
        <v>0</v>
      </c>
      <c r="Q552" s="2">
        <v>1018</v>
      </c>
      <c r="R552" s="2">
        <v>-876</v>
      </c>
      <c r="S552" s="2">
        <v>123</v>
      </c>
      <c r="T552" s="2">
        <v>161</v>
      </c>
      <c r="U552" s="2">
        <v>0</v>
      </c>
      <c r="W552" s="2">
        <v>1147</v>
      </c>
      <c r="X552" s="2">
        <v>939</v>
      </c>
      <c r="Y552" s="2">
        <v>763</v>
      </c>
      <c r="Z552" s="2">
        <v>0</v>
      </c>
      <c r="AA552" s="2">
        <v>0</v>
      </c>
      <c r="AC552" s="2">
        <v>1847</v>
      </c>
      <c r="AD552" s="2">
        <v>1620</v>
      </c>
      <c r="AE552" s="2">
        <v>1622</v>
      </c>
      <c r="AF552" s="2">
        <v>1217</v>
      </c>
      <c r="AG552" s="2">
        <v>0</v>
      </c>
      <c r="AI552" s="2">
        <v>-163</v>
      </c>
      <c r="AJ552" s="2">
        <v>-163</v>
      </c>
      <c r="AK552" s="2">
        <v>0</v>
      </c>
      <c r="AL552" s="2">
        <v>0</v>
      </c>
      <c r="AM552" s="2">
        <v>0</v>
      </c>
    </row>
    <row r="553" spans="1:39">
      <c r="A553" s="335">
        <v>95831</v>
      </c>
      <c r="B553" s="328" t="s">
        <v>1244</v>
      </c>
      <c r="C553" s="239">
        <v>1.9899999999999999E-5</v>
      </c>
      <c r="E553" s="2">
        <v>18765</v>
      </c>
      <c r="F553" s="2">
        <v>10371</v>
      </c>
      <c r="G553" s="2">
        <v>9236</v>
      </c>
      <c r="H553" s="2">
        <v>2890</v>
      </c>
      <c r="I553" s="2">
        <v>0</v>
      </c>
      <c r="K553" s="2">
        <v>2981</v>
      </c>
      <c r="L553" s="2">
        <v>2804</v>
      </c>
      <c r="M553" s="2">
        <v>2513</v>
      </c>
      <c r="N553" s="2">
        <v>1006</v>
      </c>
      <c r="O553" s="2">
        <v>0</v>
      </c>
      <c r="Q553" s="2">
        <v>3165</v>
      </c>
      <c r="R553" s="2">
        <v>-2722</v>
      </c>
      <c r="S553" s="2">
        <v>384</v>
      </c>
      <c r="T553" s="2">
        <v>499</v>
      </c>
      <c r="U553" s="2">
        <v>0</v>
      </c>
      <c r="W553" s="2">
        <v>3565</v>
      </c>
      <c r="X553" s="2">
        <v>2921</v>
      </c>
      <c r="Y553" s="2">
        <v>2371</v>
      </c>
      <c r="Z553" s="2">
        <v>0</v>
      </c>
      <c r="AA553" s="2">
        <v>0</v>
      </c>
      <c r="AC553" s="2">
        <v>9054</v>
      </c>
      <c r="AD553" s="2">
        <v>7368</v>
      </c>
      <c r="AE553" s="2">
        <v>3968</v>
      </c>
      <c r="AF553" s="2">
        <v>1385</v>
      </c>
      <c r="AG553" s="2">
        <v>0</v>
      </c>
      <c r="AI553" s="2">
        <v>0</v>
      </c>
      <c r="AJ553" s="2">
        <v>0</v>
      </c>
      <c r="AK553" s="2">
        <v>0</v>
      </c>
      <c r="AL553" s="2">
        <v>0</v>
      </c>
      <c r="AM553" s="2">
        <v>0</v>
      </c>
    </row>
    <row r="554" spans="1:39">
      <c r="A554" s="335">
        <v>95841</v>
      </c>
      <c r="B554" s="328" t="s">
        <v>1245</v>
      </c>
      <c r="C554" s="239">
        <v>2.58E-5</v>
      </c>
      <c r="E554" s="2">
        <v>14454</v>
      </c>
      <c r="F554" s="2">
        <v>5541</v>
      </c>
      <c r="G554" s="2">
        <v>8260</v>
      </c>
      <c r="H554" s="2">
        <v>2952</v>
      </c>
      <c r="I554" s="2">
        <v>0</v>
      </c>
      <c r="K554" s="2">
        <v>3865</v>
      </c>
      <c r="L554" s="2">
        <v>3636</v>
      </c>
      <c r="M554" s="2">
        <v>3259</v>
      </c>
      <c r="N554" s="2">
        <v>1305</v>
      </c>
      <c r="O554" s="2">
        <v>0</v>
      </c>
      <c r="Q554" s="2">
        <v>4103</v>
      </c>
      <c r="R554" s="2">
        <v>-3530</v>
      </c>
      <c r="S554" s="2">
        <v>497</v>
      </c>
      <c r="T554" s="2">
        <v>647</v>
      </c>
      <c r="U554" s="2">
        <v>0</v>
      </c>
      <c r="W554" s="2">
        <v>4622</v>
      </c>
      <c r="X554" s="2">
        <v>3787</v>
      </c>
      <c r="Y554" s="2">
        <v>3074</v>
      </c>
      <c r="Z554" s="2">
        <v>0</v>
      </c>
      <c r="AA554" s="2">
        <v>0</v>
      </c>
      <c r="AC554" s="2">
        <v>1864</v>
      </c>
      <c r="AD554" s="2">
        <v>1648</v>
      </c>
      <c r="AE554" s="2">
        <v>1430</v>
      </c>
      <c r="AF554" s="2">
        <v>1000</v>
      </c>
      <c r="AG554" s="2">
        <v>0</v>
      </c>
      <c r="AI554" s="2">
        <v>0</v>
      </c>
      <c r="AJ554" s="2">
        <v>0</v>
      </c>
      <c r="AK554" s="2">
        <v>0</v>
      </c>
      <c r="AL554" s="2">
        <v>0</v>
      </c>
      <c r="AM554" s="2">
        <v>0</v>
      </c>
    </row>
    <row r="555" spans="1:39">
      <c r="A555" s="335">
        <v>95851</v>
      </c>
      <c r="B555" s="328" t="s">
        <v>1246</v>
      </c>
      <c r="C555" s="239">
        <v>1.26E-4</v>
      </c>
      <c r="E555" s="2">
        <v>117842</v>
      </c>
      <c r="F555" s="2">
        <v>63821</v>
      </c>
      <c r="G555" s="2">
        <v>61424</v>
      </c>
      <c r="H555" s="2">
        <v>21376</v>
      </c>
      <c r="I555" s="2">
        <v>0</v>
      </c>
      <c r="K555" s="2">
        <v>18876</v>
      </c>
      <c r="L555" s="2">
        <v>17756</v>
      </c>
      <c r="M555" s="2">
        <v>15914</v>
      </c>
      <c r="N555" s="2">
        <v>6372</v>
      </c>
      <c r="O555" s="2">
        <v>0</v>
      </c>
      <c r="Q555" s="2">
        <v>20039</v>
      </c>
      <c r="R555" s="2">
        <v>-17237</v>
      </c>
      <c r="S555" s="2">
        <v>2429</v>
      </c>
      <c r="T555" s="2">
        <v>3162</v>
      </c>
      <c r="U555" s="2">
        <v>0</v>
      </c>
      <c r="W555" s="2">
        <v>22574</v>
      </c>
      <c r="X555" s="2">
        <v>18494</v>
      </c>
      <c r="Y555" s="2">
        <v>15014</v>
      </c>
      <c r="Z555" s="2">
        <v>0</v>
      </c>
      <c r="AA555" s="2">
        <v>0</v>
      </c>
      <c r="AC555" s="2">
        <v>56353</v>
      </c>
      <c r="AD555" s="2">
        <v>44808</v>
      </c>
      <c r="AE555" s="2">
        <v>28067</v>
      </c>
      <c r="AF555" s="2">
        <v>11842</v>
      </c>
      <c r="AG555" s="2">
        <v>0</v>
      </c>
      <c r="AI555" s="2">
        <v>0</v>
      </c>
      <c r="AJ555" s="2">
        <v>0</v>
      </c>
      <c r="AK555" s="2">
        <v>0</v>
      </c>
      <c r="AL555" s="2">
        <v>0</v>
      </c>
      <c r="AM555" s="2">
        <v>0</v>
      </c>
    </row>
    <row r="556" spans="1:39">
      <c r="A556" s="335">
        <v>95853</v>
      </c>
      <c r="B556" s="328" t="s">
        <v>1247</v>
      </c>
      <c r="C556" s="239">
        <v>3.0300000000000001E-5</v>
      </c>
      <c r="E556" s="2">
        <v>17287</v>
      </c>
      <c r="F556" s="2">
        <v>6225</v>
      </c>
      <c r="G556" s="2">
        <v>8787</v>
      </c>
      <c r="H556" s="2">
        <v>2146</v>
      </c>
      <c r="I556" s="2">
        <v>0</v>
      </c>
      <c r="K556" s="2">
        <v>4539</v>
      </c>
      <c r="L556" s="2">
        <v>4270</v>
      </c>
      <c r="M556" s="2">
        <v>3827</v>
      </c>
      <c r="N556" s="2">
        <v>1532</v>
      </c>
      <c r="O556" s="2">
        <v>0</v>
      </c>
      <c r="Q556" s="2">
        <v>4819</v>
      </c>
      <c r="R556" s="2">
        <v>-4145</v>
      </c>
      <c r="S556" s="2">
        <v>584</v>
      </c>
      <c r="T556" s="2">
        <v>760</v>
      </c>
      <c r="U556" s="2">
        <v>0</v>
      </c>
      <c r="W556" s="2">
        <v>5429</v>
      </c>
      <c r="X556" s="2">
        <v>4447</v>
      </c>
      <c r="Y556" s="2">
        <v>3610</v>
      </c>
      <c r="Z556" s="2">
        <v>0</v>
      </c>
      <c r="AA556" s="2">
        <v>0</v>
      </c>
      <c r="AC556" s="2">
        <v>2647</v>
      </c>
      <c r="AD556" s="2">
        <v>1800</v>
      </c>
      <c r="AE556" s="2">
        <v>913</v>
      </c>
      <c r="AF556" s="2">
        <v>0</v>
      </c>
      <c r="AG556" s="2">
        <v>0</v>
      </c>
      <c r="AI556" s="2">
        <v>-147</v>
      </c>
      <c r="AJ556" s="2">
        <v>-147</v>
      </c>
      <c r="AK556" s="2">
        <v>-147</v>
      </c>
      <c r="AL556" s="2">
        <v>-146</v>
      </c>
      <c r="AM556" s="2">
        <v>0</v>
      </c>
    </row>
    <row r="557" spans="1:39">
      <c r="A557" s="335">
        <v>95901</v>
      </c>
      <c r="B557" s="328" t="s">
        <v>1248</v>
      </c>
      <c r="C557" s="239">
        <v>1.9935E-3</v>
      </c>
      <c r="E557" s="2">
        <v>967879</v>
      </c>
      <c r="F557" s="2">
        <v>298372</v>
      </c>
      <c r="G557" s="2">
        <v>526525</v>
      </c>
      <c r="H557" s="2">
        <v>150227</v>
      </c>
      <c r="I557" s="2">
        <v>0</v>
      </c>
      <c r="K557" s="2">
        <v>298640</v>
      </c>
      <c r="L557" s="2">
        <v>280924</v>
      </c>
      <c r="M557" s="2">
        <v>251789</v>
      </c>
      <c r="N557" s="2">
        <v>100813</v>
      </c>
      <c r="O557" s="2">
        <v>0</v>
      </c>
      <c r="Q557" s="2">
        <v>317048</v>
      </c>
      <c r="R557" s="2">
        <v>-272721</v>
      </c>
      <c r="S557" s="2">
        <v>38437</v>
      </c>
      <c r="T557" s="2">
        <v>50025</v>
      </c>
      <c r="U557" s="2">
        <v>0</v>
      </c>
      <c r="W557" s="2">
        <v>357159</v>
      </c>
      <c r="X557" s="2">
        <v>292598</v>
      </c>
      <c r="Y557" s="2">
        <v>237539</v>
      </c>
      <c r="Z557" s="2">
        <v>0</v>
      </c>
      <c r="AA557" s="2">
        <v>0</v>
      </c>
      <c r="AC557" s="2">
        <v>0</v>
      </c>
      <c r="AD557" s="2">
        <v>0</v>
      </c>
      <c r="AE557" s="2">
        <v>0</v>
      </c>
      <c r="AF557" s="2">
        <v>0</v>
      </c>
      <c r="AG557" s="2">
        <v>0</v>
      </c>
      <c r="AI557" s="2">
        <v>-4968</v>
      </c>
      <c r="AJ557" s="2">
        <v>-2429</v>
      </c>
      <c r="AK557" s="2">
        <v>-1240</v>
      </c>
      <c r="AL557" s="2">
        <v>-611</v>
      </c>
      <c r="AM557" s="2">
        <v>0</v>
      </c>
    </row>
    <row r="558" spans="1:39">
      <c r="A558" s="335">
        <v>95908</v>
      </c>
      <c r="B558" s="328" t="s">
        <v>3706</v>
      </c>
      <c r="C558" s="239">
        <v>7.1500000000000003E-5</v>
      </c>
      <c r="E558" s="2">
        <v>30269</v>
      </c>
      <c r="F558" s="2">
        <v>7019</v>
      </c>
      <c r="G558" s="2">
        <v>16839</v>
      </c>
      <c r="H558" s="2">
        <v>5944</v>
      </c>
      <c r="I558" s="2">
        <v>0</v>
      </c>
      <c r="K558" s="2">
        <v>10711</v>
      </c>
      <c r="L558" s="2">
        <v>10076</v>
      </c>
      <c r="M558" s="2">
        <v>9031</v>
      </c>
      <c r="N558" s="2">
        <v>3616</v>
      </c>
      <c r="O558" s="2">
        <v>0</v>
      </c>
      <c r="Q558" s="2">
        <v>11371</v>
      </c>
      <c r="R558" s="2">
        <v>-9782</v>
      </c>
      <c r="S558" s="2">
        <v>1379</v>
      </c>
      <c r="T558" s="2">
        <v>1794</v>
      </c>
      <c r="U558" s="2">
        <v>0</v>
      </c>
      <c r="W558" s="2">
        <v>12810</v>
      </c>
      <c r="X558" s="2">
        <v>10494</v>
      </c>
      <c r="Y558" s="2">
        <v>8520</v>
      </c>
      <c r="Z558" s="2">
        <v>0</v>
      </c>
      <c r="AA558" s="2">
        <v>0</v>
      </c>
      <c r="AC558" s="2">
        <v>532</v>
      </c>
      <c r="AD558" s="2">
        <v>532</v>
      </c>
      <c r="AE558" s="2">
        <v>532</v>
      </c>
      <c r="AF558" s="2">
        <v>534</v>
      </c>
      <c r="AG558" s="2">
        <v>0</v>
      </c>
      <c r="AI558" s="2">
        <v>-5155</v>
      </c>
      <c r="AJ558" s="2">
        <v>-4301</v>
      </c>
      <c r="AK558" s="2">
        <v>-2623</v>
      </c>
      <c r="AL558" s="2">
        <v>0</v>
      </c>
      <c r="AM558" s="2">
        <v>0</v>
      </c>
    </row>
    <row r="559" spans="1:39">
      <c r="A559" s="335">
        <v>95911</v>
      </c>
      <c r="B559" s="328" t="s">
        <v>1250</v>
      </c>
      <c r="C559" s="239">
        <v>5.6829999999999999E-4</v>
      </c>
      <c r="E559" s="2">
        <v>259159</v>
      </c>
      <c r="F559" s="2">
        <v>75134</v>
      </c>
      <c r="G559" s="2">
        <v>142826</v>
      </c>
      <c r="H559" s="2">
        <v>41629</v>
      </c>
      <c r="I559" s="2">
        <v>0</v>
      </c>
      <c r="K559" s="2">
        <v>85135</v>
      </c>
      <c r="L559" s="2">
        <v>80085</v>
      </c>
      <c r="M559" s="2">
        <v>71779</v>
      </c>
      <c r="N559" s="2">
        <v>28739</v>
      </c>
      <c r="O559" s="2">
        <v>0</v>
      </c>
      <c r="Q559" s="2">
        <v>90383</v>
      </c>
      <c r="R559" s="2">
        <v>-77746</v>
      </c>
      <c r="S559" s="2">
        <v>10957</v>
      </c>
      <c r="T559" s="2">
        <v>14261</v>
      </c>
      <c r="U559" s="2">
        <v>0</v>
      </c>
      <c r="W559" s="2">
        <v>101818</v>
      </c>
      <c r="X559" s="2">
        <v>83413</v>
      </c>
      <c r="Y559" s="2">
        <v>67717</v>
      </c>
      <c r="Z559" s="2">
        <v>0</v>
      </c>
      <c r="AA559" s="2">
        <v>0</v>
      </c>
      <c r="AC559" s="2">
        <v>0</v>
      </c>
      <c r="AD559" s="2">
        <v>0</v>
      </c>
      <c r="AE559" s="2">
        <v>0</v>
      </c>
      <c r="AF559" s="2">
        <v>0</v>
      </c>
      <c r="AG559" s="2">
        <v>0</v>
      </c>
      <c r="AI559" s="2">
        <v>-18177</v>
      </c>
      <c r="AJ559" s="2">
        <v>-10618</v>
      </c>
      <c r="AK559" s="2">
        <v>-7627</v>
      </c>
      <c r="AL559" s="2">
        <v>-1371</v>
      </c>
      <c r="AM559" s="2">
        <v>0</v>
      </c>
    </row>
    <row r="560" spans="1:39">
      <c r="A560" s="335">
        <v>95917</v>
      </c>
      <c r="B560" s="328" t="s">
        <v>1251</v>
      </c>
      <c r="C560" s="239">
        <v>1.8600000000000001E-5</v>
      </c>
      <c r="E560" s="2">
        <v>8724</v>
      </c>
      <c r="F560" s="2">
        <v>2607</v>
      </c>
      <c r="G560" s="2">
        <v>4256</v>
      </c>
      <c r="H560" s="2">
        <v>1536</v>
      </c>
      <c r="I560" s="2">
        <v>0</v>
      </c>
      <c r="K560" s="2">
        <v>2786</v>
      </c>
      <c r="L560" s="2">
        <v>2621</v>
      </c>
      <c r="M560" s="2">
        <v>2349</v>
      </c>
      <c r="N560" s="2">
        <v>941</v>
      </c>
      <c r="O560" s="2">
        <v>0</v>
      </c>
      <c r="Q560" s="2">
        <v>2958</v>
      </c>
      <c r="R560" s="2">
        <v>-2545</v>
      </c>
      <c r="S560" s="2">
        <v>359</v>
      </c>
      <c r="T560" s="2">
        <v>467</v>
      </c>
      <c r="U560" s="2">
        <v>0</v>
      </c>
      <c r="W560" s="2">
        <v>3332</v>
      </c>
      <c r="X560" s="2">
        <v>2730</v>
      </c>
      <c r="Y560" s="2">
        <v>2216</v>
      </c>
      <c r="Z560" s="2">
        <v>0</v>
      </c>
      <c r="AA560" s="2">
        <v>0</v>
      </c>
      <c r="AC560" s="2">
        <v>596</v>
      </c>
      <c r="AD560" s="2">
        <v>598</v>
      </c>
      <c r="AE560" s="2">
        <v>127</v>
      </c>
      <c r="AF560" s="2">
        <v>128</v>
      </c>
      <c r="AG560" s="2">
        <v>0</v>
      </c>
      <c r="AI560" s="2">
        <v>-948</v>
      </c>
      <c r="AJ560" s="2">
        <v>-797</v>
      </c>
      <c r="AK560" s="2">
        <v>-795</v>
      </c>
      <c r="AL560" s="2">
        <v>0</v>
      </c>
      <c r="AM560" s="2">
        <v>0</v>
      </c>
    </row>
    <row r="561" spans="1:39">
      <c r="A561" s="335">
        <v>95921</v>
      </c>
      <c r="B561" s="328" t="s">
        <v>1252</v>
      </c>
      <c r="C561" s="239">
        <v>5.4200000000000003E-5</v>
      </c>
      <c r="E561" s="2">
        <v>29133</v>
      </c>
      <c r="F561" s="2">
        <v>9959</v>
      </c>
      <c r="G561" s="2">
        <v>16067</v>
      </c>
      <c r="H561" s="2">
        <v>5283</v>
      </c>
      <c r="I561" s="2">
        <v>0</v>
      </c>
      <c r="K561" s="2">
        <v>8120</v>
      </c>
      <c r="L561" s="2">
        <v>7638</v>
      </c>
      <c r="M561" s="2">
        <v>6846</v>
      </c>
      <c r="N561" s="2">
        <v>2741</v>
      </c>
      <c r="O561" s="2">
        <v>0</v>
      </c>
      <c r="Q561" s="2">
        <v>8620</v>
      </c>
      <c r="R561" s="2">
        <v>-7415</v>
      </c>
      <c r="S561" s="2">
        <v>1045</v>
      </c>
      <c r="T561" s="2">
        <v>1360</v>
      </c>
      <c r="U561" s="2">
        <v>0</v>
      </c>
      <c r="W561" s="2">
        <v>9711</v>
      </c>
      <c r="X561" s="2">
        <v>7955</v>
      </c>
      <c r="Y561" s="2">
        <v>6458</v>
      </c>
      <c r="Z561" s="2">
        <v>0</v>
      </c>
      <c r="AA561" s="2">
        <v>0</v>
      </c>
      <c r="AC561" s="2">
        <v>2682</v>
      </c>
      <c r="AD561" s="2">
        <v>1781</v>
      </c>
      <c r="AE561" s="2">
        <v>1718</v>
      </c>
      <c r="AF561" s="2">
        <v>1182</v>
      </c>
      <c r="AG561" s="2">
        <v>0</v>
      </c>
      <c r="AI561" s="2">
        <v>0</v>
      </c>
      <c r="AJ561" s="2">
        <v>0</v>
      </c>
      <c r="AK561" s="2">
        <v>0</v>
      </c>
      <c r="AL561" s="2">
        <v>0</v>
      </c>
      <c r="AM561" s="2">
        <v>0</v>
      </c>
    </row>
    <row r="562" spans="1:39">
      <c r="A562" s="335">
        <v>96001</v>
      </c>
      <c r="B562" s="328" t="s">
        <v>1253</v>
      </c>
      <c r="C562" s="239">
        <v>4.3367500000000003E-2</v>
      </c>
      <c r="E562" s="2">
        <v>20892387</v>
      </c>
      <c r="F562" s="2">
        <v>6335363</v>
      </c>
      <c r="G562" s="2">
        <v>11339949</v>
      </c>
      <c r="H562" s="2">
        <v>3229760</v>
      </c>
      <c r="I562" s="2">
        <v>0</v>
      </c>
      <c r="K562" s="2">
        <v>6496755</v>
      </c>
      <c r="L562" s="2">
        <v>6111348</v>
      </c>
      <c r="M562" s="2">
        <v>5477532</v>
      </c>
      <c r="N562" s="2">
        <v>2193138</v>
      </c>
      <c r="O562" s="2">
        <v>0</v>
      </c>
      <c r="Q562" s="2">
        <v>6897211</v>
      </c>
      <c r="R562" s="2">
        <v>-5932891</v>
      </c>
      <c r="S562" s="2">
        <v>836169</v>
      </c>
      <c r="T562" s="2">
        <v>1088264</v>
      </c>
      <c r="U562" s="2">
        <v>0</v>
      </c>
      <c r="W562" s="2">
        <v>7769808</v>
      </c>
      <c r="X562" s="2">
        <v>6365308</v>
      </c>
      <c r="Y562" s="2">
        <v>5167541</v>
      </c>
      <c r="Z562" s="2">
        <v>0</v>
      </c>
      <c r="AA562" s="2">
        <v>0</v>
      </c>
      <c r="AC562" s="2">
        <v>0</v>
      </c>
      <c r="AD562" s="2">
        <v>0</v>
      </c>
      <c r="AE562" s="2">
        <v>0</v>
      </c>
      <c r="AF562" s="2">
        <v>0</v>
      </c>
      <c r="AG562" s="2">
        <v>0</v>
      </c>
      <c r="AI562" s="2">
        <v>-271387</v>
      </c>
      <c r="AJ562" s="2">
        <v>-208402</v>
      </c>
      <c r="AK562" s="2">
        <v>-141293</v>
      </c>
      <c r="AL562" s="2">
        <v>-51642</v>
      </c>
      <c r="AM562" s="2">
        <v>0</v>
      </c>
    </row>
    <row r="563" spans="1:39">
      <c r="A563" s="335">
        <v>96003</v>
      </c>
      <c r="B563" s="328" t="s">
        <v>1254</v>
      </c>
      <c r="C563" s="239">
        <v>1.6620000000000001E-3</v>
      </c>
      <c r="E563" s="2">
        <v>770456</v>
      </c>
      <c r="F563" s="2">
        <v>223982</v>
      </c>
      <c r="G563" s="2">
        <v>429412</v>
      </c>
      <c r="H563" s="2">
        <v>136046</v>
      </c>
      <c r="I563" s="2">
        <v>0</v>
      </c>
      <c r="K563" s="2">
        <v>248979</v>
      </c>
      <c r="L563" s="2">
        <v>234209</v>
      </c>
      <c r="M563" s="2">
        <v>209919</v>
      </c>
      <c r="N563" s="2">
        <v>84049</v>
      </c>
      <c r="O563" s="2">
        <v>0</v>
      </c>
      <c r="Q563" s="2">
        <v>264326</v>
      </c>
      <c r="R563" s="2">
        <v>-227370</v>
      </c>
      <c r="S563" s="2">
        <v>32045</v>
      </c>
      <c r="T563" s="2">
        <v>41706</v>
      </c>
      <c r="U563" s="2">
        <v>0</v>
      </c>
      <c r="W563" s="2">
        <v>297767</v>
      </c>
      <c r="X563" s="2">
        <v>243942</v>
      </c>
      <c r="Y563" s="2">
        <v>198039</v>
      </c>
      <c r="Z563" s="2">
        <v>0</v>
      </c>
      <c r="AA563" s="2">
        <v>0</v>
      </c>
      <c r="AC563" s="2">
        <v>10292</v>
      </c>
      <c r="AD563" s="2">
        <v>10292</v>
      </c>
      <c r="AE563" s="2">
        <v>10292</v>
      </c>
      <c r="AF563" s="2">
        <v>10291</v>
      </c>
      <c r="AG563" s="2">
        <v>0</v>
      </c>
      <c r="AI563" s="2">
        <v>-50908</v>
      </c>
      <c r="AJ563" s="2">
        <v>-37091</v>
      </c>
      <c r="AK563" s="2">
        <v>-20883</v>
      </c>
      <c r="AL563" s="2">
        <v>0</v>
      </c>
      <c r="AM563" s="2">
        <v>0</v>
      </c>
    </row>
    <row r="564" spans="1:39">
      <c r="A564" s="335">
        <v>96004</v>
      </c>
      <c r="B564" s="328" t="s">
        <v>1255</v>
      </c>
      <c r="C564" s="239">
        <v>9.3959999999999996E-4</v>
      </c>
      <c r="E564" s="2">
        <v>516712</v>
      </c>
      <c r="F564" s="2">
        <v>186136</v>
      </c>
      <c r="G564" s="2">
        <v>279842</v>
      </c>
      <c r="H564" s="2">
        <v>88864</v>
      </c>
      <c r="I564" s="2">
        <v>0</v>
      </c>
      <c r="K564" s="2">
        <v>140759</v>
      </c>
      <c r="L564" s="2">
        <v>132408</v>
      </c>
      <c r="M564" s="2">
        <v>118676</v>
      </c>
      <c r="N564" s="2">
        <v>47517</v>
      </c>
      <c r="O564" s="2">
        <v>0</v>
      </c>
      <c r="Q564" s="2">
        <v>149435</v>
      </c>
      <c r="R564" s="2">
        <v>-128542</v>
      </c>
      <c r="S564" s="2">
        <v>18116</v>
      </c>
      <c r="T564" s="2">
        <v>23578</v>
      </c>
      <c r="U564" s="2">
        <v>0</v>
      </c>
      <c r="W564" s="2">
        <v>168341</v>
      </c>
      <c r="X564" s="2">
        <v>137911</v>
      </c>
      <c r="Y564" s="2">
        <v>111960</v>
      </c>
      <c r="Z564" s="2">
        <v>0</v>
      </c>
      <c r="AA564" s="2">
        <v>0</v>
      </c>
      <c r="AC564" s="2">
        <v>58177</v>
      </c>
      <c r="AD564" s="2">
        <v>44359</v>
      </c>
      <c r="AE564" s="2">
        <v>31090</v>
      </c>
      <c r="AF564" s="2">
        <v>17769</v>
      </c>
      <c r="AG564" s="2">
        <v>0</v>
      </c>
      <c r="AI564" s="2">
        <v>0</v>
      </c>
      <c r="AJ564" s="2">
        <v>0</v>
      </c>
      <c r="AK564" s="2">
        <v>0</v>
      </c>
      <c r="AL564" s="2">
        <v>0</v>
      </c>
      <c r="AM564" s="2">
        <v>0</v>
      </c>
    </row>
    <row r="565" spans="1:39">
      <c r="A565" s="335">
        <v>96005</v>
      </c>
      <c r="B565" s="328" t="s">
        <v>1256</v>
      </c>
      <c r="C565" s="239">
        <v>2.4467E-3</v>
      </c>
      <c r="E565" s="2">
        <v>1177905</v>
      </c>
      <c r="F565" s="2">
        <v>350159</v>
      </c>
      <c r="G565" s="2">
        <v>621483</v>
      </c>
      <c r="H565" s="2">
        <v>161082</v>
      </c>
      <c r="I565" s="2">
        <v>0</v>
      </c>
      <c r="K565" s="2">
        <v>366533</v>
      </c>
      <c r="L565" s="2">
        <v>344789</v>
      </c>
      <c r="M565" s="2">
        <v>309030</v>
      </c>
      <c r="N565" s="2">
        <v>123732</v>
      </c>
      <c r="O565" s="2">
        <v>0</v>
      </c>
      <c r="Q565" s="2">
        <v>389126</v>
      </c>
      <c r="R565" s="2">
        <v>-334721</v>
      </c>
      <c r="S565" s="2">
        <v>47175</v>
      </c>
      <c r="T565" s="2">
        <v>61397</v>
      </c>
      <c r="U565" s="2">
        <v>0</v>
      </c>
      <c r="W565" s="2">
        <v>438356</v>
      </c>
      <c r="X565" s="2">
        <v>359117</v>
      </c>
      <c r="Y565" s="2">
        <v>291541</v>
      </c>
      <c r="Z565" s="2">
        <v>0</v>
      </c>
      <c r="AA565" s="2">
        <v>0</v>
      </c>
      <c r="AC565" s="2">
        <v>10155</v>
      </c>
      <c r="AD565" s="2">
        <v>7239</v>
      </c>
      <c r="AE565" s="2">
        <v>0</v>
      </c>
      <c r="AF565" s="2">
        <v>0</v>
      </c>
      <c r="AG565" s="2">
        <v>0</v>
      </c>
      <c r="AI565" s="2">
        <v>-26265</v>
      </c>
      <c r="AJ565" s="2">
        <v>-26265</v>
      </c>
      <c r="AK565" s="2">
        <v>-26263</v>
      </c>
      <c r="AL565" s="2">
        <v>-24047</v>
      </c>
      <c r="AM565" s="2">
        <v>0</v>
      </c>
    </row>
    <row r="566" spans="1:39">
      <c r="A566" s="335">
        <v>96008</v>
      </c>
      <c r="B566" s="328" t="s">
        <v>3707</v>
      </c>
      <c r="C566" s="239">
        <v>6.1741000000000001E-3</v>
      </c>
      <c r="E566" s="2">
        <v>2576125</v>
      </c>
      <c r="F566" s="2">
        <v>542618</v>
      </c>
      <c r="G566" s="2">
        <v>1371522</v>
      </c>
      <c r="H566" s="2">
        <v>311379</v>
      </c>
      <c r="I566" s="2">
        <v>0</v>
      </c>
      <c r="K566" s="2">
        <v>924923</v>
      </c>
      <c r="L566" s="2">
        <v>870054</v>
      </c>
      <c r="M566" s="2">
        <v>779820</v>
      </c>
      <c r="N566" s="2">
        <v>312230</v>
      </c>
      <c r="O566" s="2">
        <v>0</v>
      </c>
      <c r="Q566" s="2">
        <v>981935</v>
      </c>
      <c r="R566" s="2">
        <v>-844648</v>
      </c>
      <c r="S566" s="2">
        <v>119043</v>
      </c>
      <c r="T566" s="2">
        <v>154933</v>
      </c>
      <c r="U566" s="2">
        <v>0</v>
      </c>
      <c r="W566" s="2">
        <v>1106164</v>
      </c>
      <c r="X566" s="2">
        <v>906210</v>
      </c>
      <c r="Y566" s="2">
        <v>735687</v>
      </c>
      <c r="Z566" s="2">
        <v>0</v>
      </c>
      <c r="AA566" s="2">
        <v>0</v>
      </c>
      <c r="AC566" s="2">
        <v>0</v>
      </c>
      <c r="AD566" s="2">
        <v>0</v>
      </c>
      <c r="AE566" s="2">
        <v>0</v>
      </c>
      <c r="AF566" s="2">
        <v>0</v>
      </c>
      <c r="AG566" s="2">
        <v>0</v>
      </c>
      <c r="AI566" s="2">
        <v>-436897</v>
      </c>
      <c r="AJ566" s="2">
        <v>-388998</v>
      </c>
      <c r="AK566" s="2">
        <v>-263028</v>
      </c>
      <c r="AL566" s="2">
        <v>-155784</v>
      </c>
      <c r="AM566" s="2">
        <v>0</v>
      </c>
    </row>
    <row r="567" spans="1:39">
      <c r="A567" s="335">
        <v>96009</v>
      </c>
      <c r="B567" s="328" t="s">
        <v>1258</v>
      </c>
      <c r="C567" s="239">
        <v>3.5409999999999999E-4</v>
      </c>
      <c r="E567" s="2">
        <v>183800</v>
      </c>
      <c r="F567" s="2">
        <v>65204</v>
      </c>
      <c r="G567" s="2">
        <v>98910</v>
      </c>
      <c r="H567" s="2">
        <v>25440</v>
      </c>
      <c r="I567" s="2">
        <v>0</v>
      </c>
      <c r="K567" s="2">
        <v>53047</v>
      </c>
      <c r="L567" s="2">
        <v>49900</v>
      </c>
      <c r="M567" s="2">
        <v>44725</v>
      </c>
      <c r="N567" s="2">
        <v>17907</v>
      </c>
      <c r="O567" s="2">
        <v>0</v>
      </c>
      <c r="Q567" s="2">
        <v>56316</v>
      </c>
      <c r="R567" s="2">
        <v>-48443</v>
      </c>
      <c r="S567" s="2">
        <v>6827</v>
      </c>
      <c r="T567" s="2">
        <v>8886</v>
      </c>
      <c r="U567" s="2">
        <v>0</v>
      </c>
      <c r="W567" s="2">
        <v>63441</v>
      </c>
      <c r="X567" s="2">
        <v>51973</v>
      </c>
      <c r="Y567" s="2">
        <v>42193</v>
      </c>
      <c r="Z567" s="2">
        <v>0</v>
      </c>
      <c r="AA567" s="2">
        <v>0</v>
      </c>
      <c r="AC567" s="2">
        <v>13131</v>
      </c>
      <c r="AD567" s="2">
        <v>13129</v>
      </c>
      <c r="AE567" s="2">
        <v>6520</v>
      </c>
      <c r="AF567" s="2">
        <v>0</v>
      </c>
      <c r="AG567" s="2">
        <v>0</v>
      </c>
      <c r="AI567" s="2">
        <v>-2135</v>
      </c>
      <c r="AJ567" s="2">
        <v>-1355</v>
      </c>
      <c r="AK567" s="2">
        <v>-1355</v>
      </c>
      <c r="AL567" s="2">
        <v>-1353</v>
      </c>
      <c r="AM567" s="2">
        <v>0</v>
      </c>
    </row>
    <row r="568" spans="1:39">
      <c r="A568" s="335">
        <v>96011</v>
      </c>
      <c r="B568" s="328" t="s">
        <v>1259</v>
      </c>
      <c r="C568" s="239">
        <v>6.3204399999999994E-2</v>
      </c>
      <c r="E568" s="2">
        <v>31434252</v>
      </c>
      <c r="F568" s="2">
        <v>10141926</v>
      </c>
      <c r="G568" s="2">
        <v>17165799</v>
      </c>
      <c r="H568" s="2">
        <v>4990814</v>
      </c>
      <c r="I568" s="2">
        <v>0</v>
      </c>
      <c r="K568" s="2">
        <v>9468462</v>
      </c>
      <c r="L568" s="2">
        <v>8906764</v>
      </c>
      <c r="M568" s="2">
        <v>7983032</v>
      </c>
      <c r="N568" s="2">
        <v>3196310</v>
      </c>
      <c r="O568" s="2">
        <v>0</v>
      </c>
      <c r="Q568" s="2">
        <v>10052091</v>
      </c>
      <c r="R568" s="2">
        <v>-8646678</v>
      </c>
      <c r="S568" s="2">
        <v>1218644</v>
      </c>
      <c r="T568" s="2">
        <v>1586051</v>
      </c>
      <c r="U568" s="2">
        <v>0</v>
      </c>
      <c r="W568" s="2">
        <v>11323827</v>
      </c>
      <c r="X568" s="2">
        <v>9276889</v>
      </c>
      <c r="Y568" s="2">
        <v>7531247</v>
      </c>
      <c r="Z568" s="2">
        <v>0</v>
      </c>
      <c r="AA568" s="2">
        <v>0</v>
      </c>
      <c r="AC568" s="2">
        <v>604951</v>
      </c>
      <c r="AD568" s="2">
        <v>604951</v>
      </c>
      <c r="AE568" s="2">
        <v>432876</v>
      </c>
      <c r="AF568" s="2">
        <v>208453</v>
      </c>
      <c r="AG568" s="2">
        <v>0</v>
      </c>
      <c r="AI568" s="2">
        <v>-15079</v>
      </c>
      <c r="AJ568" s="2">
        <v>0</v>
      </c>
      <c r="AK568" s="2">
        <v>0</v>
      </c>
      <c r="AL568" s="2">
        <v>0</v>
      </c>
      <c r="AM568" s="2">
        <v>0</v>
      </c>
    </row>
    <row r="569" spans="1:39">
      <c r="A569" s="335">
        <v>96012</v>
      </c>
      <c r="B569" s="328" t="s">
        <v>1260</v>
      </c>
      <c r="C569" s="239">
        <v>2.5593E-3</v>
      </c>
      <c r="E569" s="2">
        <v>1277375</v>
      </c>
      <c r="F569" s="2">
        <v>398907</v>
      </c>
      <c r="G569" s="2">
        <v>690521</v>
      </c>
      <c r="H569" s="2">
        <v>192968</v>
      </c>
      <c r="I569" s="2">
        <v>0</v>
      </c>
      <c r="K569" s="2">
        <v>383401</v>
      </c>
      <c r="L569" s="2">
        <v>360657</v>
      </c>
      <c r="M569" s="2">
        <v>323252</v>
      </c>
      <c r="N569" s="2">
        <v>129426</v>
      </c>
      <c r="O569" s="2">
        <v>0</v>
      </c>
      <c r="Q569" s="2">
        <v>407034</v>
      </c>
      <c r="R569" s="2">
        <v>-350125</v>
      </c>
      <c r="S569" s="2">
        <v>49346</v>
      </c>
      <c r="T569" s="2">
        <v>64223</v>
      </c>
      <c r="U569" s="2">
        <v>0</v>
      </c>
      <c r="W569" s="2">
        <v>458529</v>
      </c>
      <c r="X569" s="2">
        <v>375644</v>
      </c>
      <c r="Y569" s="2">
        <v>304959</v>
      </c>
      <c r="Z569" s="2">
        <v>0</v>
      </c>
      <c r="AA569" s="2">
        <v>0</v>
      </c>
      <c r="AC569" s="2">
        <v>29325</v>
      </c>
      <c r="AD569" s="2">
        <v>13646</v>
      </c>
      <c r="AE569" s="2">
        <v>13644</v>
      </c>
      <c r="AF569" s="2">
        <v>0</v>
      </c>
      <c r="AG569" s="2">
        <v>0</v>
      </c>
      <c r="AI569" s="2">
        <v>-914</v>
      </c>
      <c r="AJ569" s="2">
        <v>-915</v>
      </c>
      <c r="AK569" s="2">
        <v>-680</v>
      </c>
      <c r="AL569" s="2">
        <v>-681</v>
      </c>
      <c r="AM569" s="2">
        <v>0</v>
      </c>
    </row>
    <row r="570" spans="1:39">
      <c r="A570" s="335">
        <v>96018</v>
      </c>
      <c r="B570" s="328" t="s">
        <v>3708</v>
      </c>
      <c r="C570" s="239">
        <v>3.4199999999999998E-5</v>
      </c>
      <c r="E570" s="2">
        <v>15406</v>
      </c>
      <c r="F570" s="2">
        <v>3808</v>
      </c>
      <c r="G570" s="2">
        <v>6858</v>
      </c>
      <c r="H570" s="2">
        <v>382</v>
      </c>
      <c r="I570" s="2">
        <v>0</v>
      </c>
      <c r="K570" s="2">
        <v>5123</v>
      </c>
      <c r="L570" s="2">
        <v>4819</v>
      </c>
      <c r="M570" s="2">
        <v>4320</v>
      </c>
      <c r="N570" s="2">
        <v>1730</v>
      </c>
      <c r="O570" s="2">
        <v>0</v>
      </c>
      <c r="Q570" s="2">
        <v>5439</v>
      </c>
      <c r="R570" s="2">
        <v>-4679</v>
      </c>
      <c r="S570" s="2">
        <v>659</v>
      </c>
      <c r="T570" s="2">
        <v>858</v>
      </c>
      <c r="U570" s="2">
        <v>0</v>
      </c>
      <c r="W570" s="2">
        <v>6127</v>
      </c>
      <c r="X570" s="2">
        <v>5020</v>
      </c>
      <c r="Y570" s="2">
        <v>4075</v>
      </c>
      <c r="Z570" s="2">
        <v>0</v>
      </c>
      <c r="AA570" s="2">
        <v>0</v>
      </c>
      <c r="AC570" s="2">
        <v>922</v>
      </c>
      <c r="AD570" s="2">
        <v>853</v>
      </c>
      <c r="AE570" s="2">
        <v>9</v>
      </c>
      <c r="AF570" s="2">
        <v>0</v>
      </c>
      <c r="AG570" s="2">
        <v>0</v>
      </c>
      <c r="AI570" s="2">
        <v>-2205</v>
      </c>
      <c r="AJ570" s="2">
        <v>-2205</v>
      </c>
      <c r="AK570" s="2">
        <v>-2205</v>
      </c>
      <c r="AL570" s="2">
        <v>-2206</v>
      </c>
      <c r="AM570" s="2">
        <v>0</v>
      </c>
    </row>
    <row r="571" spans="1:39">
      <c r="A571" s="335">
        <v>96021</v>
      </c>
      <c r="B571" s="328" t="s">
        <v>1262</v>
      </c>
      <c r="C571" s="239">
        <v>7.7490000000000002E-4</v>
      </c>
      <c r="E571" s="2">
        <v>349511</v>
      </c>
      <c r="F571" s="2">
        <v>95668</v>
      </c>
      <c r="G571" s="2">
        <v>207576</v>
      </c>
      <c r="H571" s="2">
        <v>60652</v>
      </c>
      <c r="I571" s="2">
        <v>0</v>
      </c>
      <c r="K571" s="2">
        <v>116085</v>
      </c>
      <c r="L571" s="2">
        <v>109199</v>
      </c>
      <c r="M571" s="2">
        <v>97874</v>
      </c>
      <c r="N571" s="2">
        <v>39187</v>
      </c>
      <c r="O571" s="2">
        <v>0</v>
      </c>
      <c r="Q571" s="2">
        <v>123241</v>
      </c>
      <c r="R571" s="2">
        <v>-106010</v>
      </c>
      <c r="S571" s="2">
        <v>14941</v>
      </c>
      <c r="T571" s="2">
        <v>19445</v>
      </c>
      <c r="U571" s="2">
        <v>0</v>
      </c>
      <c r="W571" s="2">
        <v>138833</v>
      </c>
      <c r="X571" s="2">
        <v>113737</v>
      </c>
      <c r="Y571" s="2">
        <v>92335</v>
      </c>
      <c r="Z571" s="2">
        <v>0</v>
      </c>
      <c r="AA571" s="2">
        <v>0</v>
      </c>
      <c r="AC571" s="2">
        <v>2426</v>
      </c>
      <c r="AD571" s="2">
        <v>2426</v>
      </c>
      <c r="AE571" s="2">
        <v>2426</v>
      </c>
      <c r="AF571" s="2">
        <v>2020</v>
      </c>
      <c r="AG571" s="2">
        <v>0</v>
      </c>
      <c r="AI571" s="2">
        <v>-31074</v>
      </c>
      <c r="AJ571" s="2">
        <v>-23684</v>
      </c>
      <c r="AK571" s="2">
        <v>0</v>
      </c>
      <c r="AL571" s="2">
        <v>0</v>
      </c>
      <c r="AM571" s="2">
        <v>0</v>
      </c>
    </row>
    <row r="572" spans="1:39">
      <c r="A572" s="335">
        <v>96031</v>
      </c>
      <c r="B572" s="328" t="s">
        <v>1263</v>
      </c>
      <c r="C572" s="239">
        <v>8.3790000000000004E-4</v>
      </c>
      <c r="E572" s="2">
        <v>355523</v>
      </c>
      <c r="F572" s="2">
        <v>80196</v>
      </c>
      <c r="G572" s="2">
        <v>199073</v>
      </c>
      <c r="H572" s="2">
        <v>50760</v>
      </c>
      <c r="I572" s="2">
        <v>0</v>
      </c>
      <c r="K572" s="2">
        <v>125523</v>
      </c>
      <c r="L572" s="2">
        <v>118077</v>
      </c>
      <c r="M572" s="2">
        <v>105831</v>
      </c>
      <c r="N572" s="2">
        <v>42373</v>
      </c>
      <c r="O572" s="2">
        <v>0</v>
      </c>
      <c r="Q572" s="2">
        <v>133260</v>
      </c>
      <c r="R572" s="2">
        <v>-114629</v>
      </c>
      <c r="S572" s="2">
        <v>16156</v>
      </c>
      <c r="T572" s="2">
        <v>21026</v>
      </c>
      <c r="U572" s="2">
        <v>0</v>
      </c>
      <c r="W572" s="2">
        <v>150120</v>
      </c>
      <c r="X572" s="2">
        <v>122984</v>
      </c>
      <c r="Y572" s="2">
        <v>99842</v>
      </c>
      <c r="Z572" s="2">
        <v>0</v>
      </c>
      <c r="AA572" s="2">
        <v>0</v>
      </c>
      <c r="AC572" s="2">
        <v>0</v>
      </c>
      <c r="AD572" s="2">
        <v>0</v>
      </c>
      <c r="AE572" s="2">
        <v>0</v>
      </c>
      <c r="AF572" s="2">
        <v>0</v>
      </c>
      <c r="AG572" s="2">
        <v>0</v>
      </c>
      <c r="AI572" s="2">
        <v>-53380</v>
      </c>
      <c r="AJ572" s="2">
        <v>-46236</v>
      </c>
      <c r="AK572" s="2">
        <v>-22756</v>
      </c>
      <c r="AL572" s="2">
        <v>-12639</v>
      </c>
      <c r="AM572" s="2">
        <v>0</v>
      </c>
    </row>
    <row r="573" spans="1:39">
      <c r="A573" s="335">
        <v>96041</v>
      </c>
      <c r="B573" s="328" t="s">
        <v>1264</v>
      </c>
      <c r="C573" s="239">
        <v>1.7466000000000001E-3</v>
      </c>
      <c r="E573" s="2">
        <v>809555</v>
      </c>
      <c r="F573" s="2">
        <v>231251</v>
      </c>
      <c r="G573" s="2">
        <v>444564</v>
      </c>
      <c r="H573" s="2">
        <v>135061</v>
      </c>
      <c r="I573" s="2">
        <v>0</v>
      </c>
      <c r="K573" s="2">
        <v>261653</v>
      </c>
      <c r="L573" s="2">
        <v>246131</v>
      </c>
      <c r="M573" s="2">
        <v>220604</v>
      </c>
      <c r="N573" s="2">
        <v>88327</v>
      </c>
      <c r="O573" s="2">
        <v>0</v>
      </c>
      <c r="Q573" s="2">
        <v>277781</v>
      </c>
      <c r="R573" s="2">
        <v>-238944</v>
      </c>
      <c r="S573" s="2">
        <v>33676</v>
      </c>
      <c r="T573" s="2">
        <v>43829</v>
      </c>
      <c r="U573" s="2">
        <v>0</v>
      </c>
      <c r="W573" s="2">
        <v>312924</v>
      </c>
      <c r="X573" s="2">
        <v>256359</v>
      </c>
      <c r="Y573" s="2">
        <v>208120</v>
      </c>
      <c r="Z573" s="2">
        <v>0</v>
      </c>
      <c r="AA573" s="2">
        <v>0</v>
      </c>
      <c r="AC573" s="2">
        <v>2904</v>
      </c>
      <c r="AD573" s="2">
        <v>2904</v>
      </c>
      <c r="AE573" s="2">
        <v>2904</v>
      </c>
      <c r="AF573" s="2">
        <v>2905</v>
      </c>
      <c r="AG573" s="2">
        <v>0</v>
      </c>
      <c r="AI573" s="2">
        <v>-45707</v>
      </c>
      <c r="AJ573" s="2">
        <v>-35199</v>
      </c>
      <c r="AK573" s="2">
        <v>-20740</v>
      </c>
      <c r="AL573" s="2">
        <v>0</v>
      </c>
      <c r="AM573" s="2">
        <v>0</v>
      </c>
    </row>
    <row r="574" spans="1:39">
      <c r="A574" s="335">
        <v>96051</v>
      </c>
      <c r="B574" s="328" t="s">
        <v>1265</v>
      </c>
      <c r="C574" s="239">
        <v>9.6909999999999997E-4</v>
      </c>
      <c r="E574" s="2">
        <v>422130</v>
      </c>
      <c r="F574" s="2">
        <v>104742</v>
      </c>
      <c r="G574" s="2">
        <v>227075</v>
      </c>
      <c r="H574" s="2">
        <v>49927</v>
      </c>
      <c r="I574" s="2">
        <v>0</v>
      </c>
      <c r="K574" s="2">
        <v>145178</v>
      </c>
      <c r="L574" s="2">
        <v>136566</v>
      </c>
      <c r="M574" s="2">
        <v>122402</v>
      </c>
      <c r="N574" s="2">
        <v>49008</v>
      </c>
      <c r="O574" s="2">
        <v>0</v>
      </c>
      <c r="Q574" s="2">
        <v>154127</v>
      </c>
      <c r="R574" s="2">
        <v>-132578</v>
      </c>
      <c r="S574" s="2">
        <v>18685</v>
      </c>
      <c r="T574" s="2">
        <v>24319</v>
      </c>
      <c r="U574" s="2">
        <v>0</v>
      </c>
      <c r="W574" s="2">
        <v>173626</v>
      </c>
      <c r="X574" s="2">
        <v>142241</v>
      </c>
      <c r="Y574" s="2">
        <v>115475</v>
      </c>
      <c r="Z574" s="2">
        <v>0</v>
      </c>
      <c r="AA574" s="2">
        <v>0</v>
      </c>
      <c r="AC574" s="2">
        <v>0</v>
      </c>
      <c r="AD574" s="2">
        <v>0</v>
      </c>
      <c r="AE574" s="2">
        <v>0</v>
      </c>
      <c r="AF574" s="2">
        <v>0</v>
      </c>
      <c r="AG574" s="2">
        <v>0</v>
      </c>
      <c r="AI574" s="2">
        <v>-50801</v>
      </c>
      <c r="AJ574" s="2">
        <v>-41487</v>
      </c>
      <c r="AK574" s="2">
        <v>-29487</v>
      </c>
      <c r="AL574" s="2">
        <v>-23400</v>
      </c>
      <c r="AM574" s="2">
        <v>0</v>
      </c>
    </row>
    <row r="575" spans="1:39">
      <c r="A575" s="335">
        <v>96061</v>
      </c>
      <c r="B575" s="328" t="s">
        <v>1266</v>
      </c>
      <c r="C575" s="239">
        <v>3.4220000000000002E-4</v>
      </c>
      <c r="E575" s="2">
        <v>172811</v>
      </c>
      <c r="F575" s="2">
        <v>59207</v>
      </c>
      <c r="G575" s="2">
        <v>93065</v>
      </c>
      <c r="H575" s="2">
        <v>30863</v>
      </c>
      <c r="I575" s="2">
        <v>0</v>
      </c>
      <c r="K575" s="2">
        <v>51264</v>
      </c>
      <c r="L575" s="2">
        <v>48223</v>
      </c>
      <c r="M575" s="2">
        <v>43222</v>
      </c>
      <c r="N575" s="2">
        <v>17305</v>
      </c>
      <c r="O575" s="2">
        <v>0</v>
      </c>
      <c r="Q575" s="2">
        <v>54424</v>
      </c>
      <c r="R575" s="2">
        <v>-46815</v>
      </c>
      <c r="S575" s="2">
        <v>6598</v>
      </c>
      <c r="T575" s="2">
        <v>8587</v>
      </c>
      <c r="U575" s="2">
        <v>0</v>
      </c>
      <c r="W575" s="2">
        <v>61309</v>
      </c>
      <c r="X575" s="2">
        <v>50227</v>
      </c>
      <c r="Y575" s="2">
        <v>40776</v>
      </c>
      <c r="Z575" s="2">
        <v>0</v>
      </c>
      <c r="AA575" s="2">
        <v>0</v>
      </c>
      <c r="AC575" s="2">
        <v>10076</v>
      </c>
      <c r="AD575" s="2">
        <v>10075</v>
      </c>
      <c r="AE575" s="2">
        <v>4970</v>
      </c>
      <c r="AF575" s="2">
        <v>4971</v>
      </c>
      <c r="AG575" s="2">
        <v>0</v>
      </c>
      <c r="AI575" s="2">
        <v>-4262</v>
      </c>
      <c r="AJ575" s="2">
        <v>-2503</v>
      </c>
      <c r="AK575" s="2">
        <v>-2501</v>
      </c>
      <c r="AL575" s="2">
        <v>0</v>
      </c>
      <c r="AM575" s="2">
        <v>0</v>
      </c>
    </row>
    <row r="576" spans="1:39">
      <c r="A576" s="335">
        <v>96071</v>
      </c>
      <c r="B576" s="328" t="s">
        <v>1267</v>
      </c>
      <c r="C576" s="239">
        <v>1.3016E-3</v>
      </c>
      <c r="E576" s="2">
        <v>668968</v>
      </c>
      <c r="F576" s="2">
        <v>248608</v>
      </c>
      <c r="G576" s="2">
        <v>388919</v>
      </c>
      <c r="H576" s="2">
        <v>130724</v>
      </c>
      <c r="I576" s="2">
        <v>0</v>
      </c>
      <c r="K576" s="2">
        <v>194989</v>
      </c>
      <c r="L576" s="2">
        <v>183421</v>
      </c>
      <c r="M576" s="2">
        <v>164399</v>
      </c>
      <c r="N576" s="2">
        <v>65823</v>
      </c>
      <c r="O576" s="2">
        <v>0</v>
      </c>
      <c r="Q576" s="2">
        <v>207008</v>
      </c>
      <c r="R576" s="2">
        <v>-178065</v>
      </c>
      <c r="S576" s="2">
        <v>25096</v>
      </c>
      <c r="T576" s="2">
        <v>32662</v>
      </c>
      <c r="U576" s="2">
        <v>0</v>
      </c>
      <c r="W576" s="2">
        <v>233197</v>
      </c>
      <c r="X576" s="2">
        <v>191044</v>
      </c>
      <c r="Y576" s="2">
        <v>155095</v>
      </c>
      <c r="Z576" s="2">
        <v>0</v>
      </c>
      <c r="AA576" s="2">
        <v>0</v>
      </c>
      <c r="AC576" s="2">
        <v>52206</v>
      </c>
      <c r="AD576" s="2">
        <v>52208</v>
      </c>
      <c r="AE576" s="2">
        <v>44329</v>
      </c>
      <c r="AF576" s="2">
        <v>32239</v>
      </c>
      <c r="AG576" s="2">
        <v>0</v>
      </c>
      <c r="AI576" s="2">
        <v>-18432</v>
      </c>
      <c r="AJ576" s="2">
        <v>0</v>
      </c>
      <c r="AK576" s="2">
        <v>0</v>
      </c>
      <c r="AL576" s="2">
        <v>0</v>
      </c>
      <c r="AM576" s="2">
        <v>0</v>
      </c>
    </row>
    <row r="577" spans="1:39">
      <c r="A577" s="335">
        <v>96081</v>
      </c>
      <c r="B577" s="328" t="s">
        <v>1268</v>
      </c>
      <c r="C577" s="239">
        <v>5.419E-4</v>
      </c>
      <c r="E577" s="2">
        <v>262601</v>
      </c>
      <c r="F577" s="2">
        <v>79404</v>
      </c>
      <c r="G577" s="2">
        <v>140367</v>
      </c>
      <c r="H577" s="2">
        <v>36214</v>
      </c>
      <c r="I577" s="2">
        <v>0</v>
      </c>
      <c r="K577" s="2">
        <v>81180</v>
      </c>
      <c r="L577" s="2">
        <v>76365</v>
      </c>
      <c r="M577" s="2">
        <v>68445</v>
      </c>
      <c r="N577" s="2">
        <v>27404</v>
      </c>
      <c r="O577" s="2">
        <v>0</v>
      </c>
      <c r="Q577" s="2">
        <v>86184</v>
      </c>
      <c r="R577" s="2">
        <v>-74135</v>
      </c>
      <c r="S577" s="2">
        <v>10448</v>
      </c>
      <c r="T577" s="2">
        <v>13598</v>
      </c>
      <c r="U577" s="2">
        <v>0</v>
      </c>
      <c r="W577" s="2">
        <v>97088</v>
      </c>
      <c r="X577" s="2">
        <v>79538</v>
      </c>
      <c r="Y577" s="2">
        <v>64571</v>
      </c>
      <c r="Z577" s="2">
        <v>0</v>
      </c>
      <c r="AA577" s="2">
        <v>0</v>
      </c>
      <c r="AC577" s="2">
        <v>2936</v>
      </c>
      <c r="AD577" s="2">
        <v>2423</v>
      </c>
      <c r="AE577" s="2">
        <v>1690</v>
      </c>
      <c r="AF577" s="2">
        <v>0</v>
      </c>
      <c r="AG577" s="2">
        <v>0</v>
      </c>
      <c r="AI577" s="2">
        <v>-4787</v>
      </c>
      <c r="AJ577" s="2">
        <v>-4787</v>
      </c>
      <c r="AK577" s="2">
        <v>-4787</v>
      </c>
      <c r="AL577" s="2">
        <v>-4788</v>
      </c>
      <c r="AM577" s="2">
        <v>0</v>
      </c>
    </row>
    <row r="578" spans="1:39">
      <c r="A578" s="335">
        <v>96101</v>
      </c>
      <c r="B578" s="328" t="s">
        <v>1269</v>
      </c>
      <c r="C578" s="239">
        <v>6.4729999999999996E-4</v>
      </c>
      <c r="E578" s="2">
        <v>304775</v>
      </c>
      <c r="F578" s="2">
        <v>87608</v>
      </c>
      <c r="G578" s="2">
        <v>155974</v>
      </c>
      <c r="H578" s="2">
        <v>25073</v>
      </c>
      <c r="I578" s="2">
        <v>0</v>
      </c>
      <c r="K578" s="2">
        <v>96970</v>
      </c>
      <c r="L578" s="2">
        <v>91218</v>
      </c>
      <c r="M578" s="2">
        <v>81757</v>
      </c>
      <c r="N578" s="2">
        <v>32735</v>
      </c>
      <c r="O578" s="2">
        <v>0</v>
      </c>
      <c r="Q578" s="2">
        <v>102947</v>
      </c>
      <c r="R578" s="2">
        <v>-88554</v>
      </c>
      <c r="S578" s="2">
        <v>12481</v>
      </c>
      <c r="T578" s="2">
        <v>16243</v>
      </c>
      <c r="U578" s="2">
        <v>0</v>
      </c>
      <c r="W578" s="2">
        <v>115972</v>
      </c>
      <c r="X578" s="2">
        <v>95008</v>
      </c>
      <c r="Y578" s="2">
        <v>77130</v>
      </c>
      <c r="Z578" s="2">
        <v>0</v>
      </c>
      <c r="AA578" s="2">
        <v>0</v>
      </c>
      <c r="AC578" s="2">
        <v>13844</v>
      </c>
      <c r="AD578" s="2">
        <v>13842</v>
      </c>
      <c r="AE578" s="2">
        <v>8512</v>
      </c>
      <c r="AF578" s="2">
        <v>0</v>
      </c>
      <c r="AG578" s="2">
        <v>0</v>
      </c>
      <c r="AI578" s="2">
        <v>-24958</v>
      </c>
      <c r="AJ578" s="2">
        <v>-23906</v>
      </c>
      <c r="AK578" s="2">
        <v>-23906</v>
      </c>
      <c r="AL578" s="2">
        <v>-23905</v>
      </c>
      <c r="AM578" s="2">
        <v>0</v>
      </c>
    </row>
    <row r="579" spans="1:39">
      <c r="A579" s="335">
        <v>96102</v>
      </c>
      <c r="B579" s="328" t="s">
        <v>2800</v>
      </c>
      <c r="C579" s="239">
        <v>1.1600000000000001E-5</v>
      </c>
      <c r="E579" s="2">
        <v>4217</v>
      </c>
      <c r="F579" s="2">
        <v>437</v>
      </c>
      <c r="G579" s="2">
        <v>2090</v>
      </c>
      <c r="H579" s="2">
        <v>436</v>
      </c>
      <c r="I579" s="2">
        <v>0</v>
      </c>
      <c r="K579" s="2">
        <v>1738</v>
      </c>
      <c r="L579" s="2">
        <v>1635</v>
      </c>
      <c r="M579" s="2">
        <v>1465</v>
      </c>
      <c r="N579" s="2">
        <v>587</v>
      </c>
      <c r="O579" s="2">
        <v>0</v>
      </c>
      <c r="Q579" s="2">
        <v>1845</v>
      </c>
      <c r="R579" s="2">
        <v>-1587</v>
      </c>
      <c r="S579" s="2">
        <v>224</v>
      </c>
      <c r="T579" s="2">
        <v>291</v>
      </c>
      <c r="U579" s="2">
        <v>0</v>
      </c>
      <c r="W579" s="2">
        <v>2078</v>
      </c>
      <c r="X579" s="2">
        <v>1703</v>
      </c>
      <c r="Y579" s="2">
        <v>1382</v>
      </c>
      <c r="Z579" s="2">
        <v>0</v>
      </c>
      <c r="AA579" s="2">
        <v>0</v>
      </c>
      <c r="AC579" s="2">
        <v>0</v>
      </c>
      <c r="AD579" s="2">
        <v>0</v>
      </c>
      <c r="AE579" s="2">
        <v>0</v>
      </c>
      <c r="AF579" s="2">
        <v>0</v>
      </c>
      <c r="AG579" s="2">
        <v>0</v>
      </c>
      <c r="AI579" s="2">
        <v>-1444</v>
      </c>
      <c r="AJ579" s="2">
        <v>-1314</v>
      </c>
      <c r="AK579" s="2">
        <v>-981</v>
      </c>
      <c r="AL579" s="2">
        <v>-442</v>
      </c>
      <c r="AM579" s="2">
        <v>0</v>
      </c>
    </row>
    <row r="580" spans="1:39">
      <c r="A580" s="335">
        <v>96111</v>
      </c>
      <c r="B580" s="328" t="s">
        <v>1271</v>
      </c>
      <c r="C580" s="239">
        <v>1.5809999999999999E-4</v>
      </c>
      <c r="E580" s="2">
        <v>84263</v>
      </c>
      <c r="F580" s="2">
        <v>30184</v>
      </c>
      <c r="G580" s="2">
        <v>48602</v>
      </c>
      <c r="H580" s="2">
        <v>16519</v>
      </c>
      <c r="I580" s="2">
        <v>0</v>
      </c>
      <c r="K580" s="2">
        <v>23684</v>
      </c>
      <c r="L580" s="2">
        <v>22279</v>
      </c>
      <c r="M580" s="2">
        <v>19969</v>
      </c>
      <c r="N580" s="2">
        <v>7995</v>
      </c>
      <c r="O580" s="2">
        <v>0</v>
      </c>
      <c r="Q580" s="2">
        <v>25144</v>
      </c>
      <c r="R580" s="2">
        <v>-21629</v>
      </c>
      <c r="S580" s="2">
        <v>3048</v>
      </c>
      <c r="T580" s="2">
        <v>3967</v>
      </c>
      <c r="U580" s="2">
        <v>0</v>
      </c>
      <c r="W580" s="2">
        <v>28326</v>
      </c>
      <c r="X580" s="2">
        <v>23205</v>
      </c>
      <c r="Y580" s="2">
        <v>18839</v>
      </c>
      <c r="Z580" s="2">
        <v>0</v>
      </c>
      <c r="AA580" s="2">
        <v>0</v>
      </c>
      <c r="AC580" s="2">
        <v>7530</v>
      </c>
      <c r="AD580" s="2">
        <v>6748</v>
      </c>
      <c r="AE580" s="2">
        <v>6746</v>
      </c>
      <c r="AF580" s="2">
        <v>4557</v>
      </c>
      <c r="AG580" s="2">
        <v>0</v>
      </c>
      <c r="AI580" s="2">
        <v>-421</v>
      </c>
      <c r="AJ580" s="2">
        <v>-419</v>
      </c>
      <c r="AK580" s="2">
        <v>0</v>
      </c>
      <c r="AL580" s="2">
        <v>0</v>
      </c>
      <c r="AM580" s="2">
        <v>0</v>
      </c>
    </row>
    <row r="581" spans="1:39">
      <c r="A581" s="335">
        <v>96121</v>
      </c>
      <c r="B581" s="328" t="s">
        <v>1272</v>
      </c>
      <c r="C581" s="239">
        <v>2.4300000000000001E-5</v>
      </c>
      <c r="E581" s="2">
        <v>11525</v>
      </c>
      <c r="F581" s="2">
        <v>3212</v>
      </c>
      <c r="G581" s="2">
        <v>6171</v>
      </c>
      <c r="H581" s="2">
        <v>1932</v>
      </c>
      <c r="I581" s="2">
        <v>0</v>
      </c>
      <c r="K581" s="2">
        <v>3640</v>
      </c>
      <c r="L581" s="2">
        <v>3424</v>
      </c>
      <c r="M581" s="2">
        <v>3069</v>
      </c>
      <c r="N581" s="2">
        <v>1229</v>
      </c>
      <c r="O581" s="2">
        <v>0</v>
      </c>
      <c r="Q581" s="2">
        <v>3865</v>
      </c>
      <c r="R581" s="2">
        <v>-3324</v>
      </c>
      <c r="S581" s="2">
        <v>469</v>
      </c>
      <c r="T581" s="2">
        <v>610</v>
      </c>
      <c r="U581" s="2">
        <v>0</v>
      </c>
      <c r="W581" s="2">
        <v>4354</v>
      </c>
      <c r="X581" s="2">
        <v>3567</v>
      </c>
      <c r="Y581" s="2">
        <v>2896</v>
      </c>
      <c r="Z581" s="2">
        <v>0</v>
      </c>
      <c r="AA581" s="2">
        <v>0</v>
      </c>
      <c r="AC581" s="2">
        <v>211</v>
      </c>
      <c r="AD581" s="2">
        <v>92</v>
      </c>
      <c r="AE581" s="2">
        <v>92</v>
      </c>
      <c r="AF581" s="2">
        <v>93</v>
      </c>
      <c r="AG581" s="2">
        <v>0</v>
      </c>
      <c r="AI581" s="2">
        <v>-545</v>
      </c>
      <c r="AJ581" s="2">
        <v>-547</v>
      </c>
      <c r="AK581" s="2">
        <v>-355</v>
      </c>
      <c r="AL581" s="2">
        <v>0</v>
      </c>
      <c r="AM581" s="2">
        <v>0</v>
      </c>
    </row>
    <row r="582" spans="1:39">
      <c r="A582" s="335">
        <v>96201</v>
      </c>
      <c r="B582" s="328" t="s">
        <v>1273</v>
      </c>
      <c r="C582" s="239">
        <v>1.0575000000000001E-3</v>
      </c>
      <c r="E582" s="2">
        <v>478164</v>
      </c>
      <c r="F582" s="2">
        <v>128099</v>
      </c>
      <c r="G582" s="2">
        <v>259834</v>
      </c>
      <c r="H582" s="2">
        <v>72543</v>
      </c>
      <c r="I582" s="2">
        <v>0</v>
      </c>
      <c r="K582" s="2">
        <v>158421</v>
      </c>
      <c r="L582" s="2">
        <v>149023</v>
      </c>
      <c r="M582" s="2">
        <v>133568</v>
      </c>
      <c r="N582" s="2">
        <v>53479</v>
      </c>
      <c r="O582" s="2">
        <v>0</v>
      </c>
      <c r="Q582" s="2">
        <v>168186</v>
      </c>
      <c r="R582" s="2">
        <v>-144671</v>
      </c>
      <c r="S582" s="2">
        <v>20390</v>
      </c>
      <c r="T582" s="2">
        <v>26537</v>
      </c>
      <c r="U582" s="2">
        <v>0</v>
      </c>
      <c r="W582" s="2">
        <v>189464</v>
      </c>
      <c r="X582" s="2">
        <v>155216</v>
      </c>
      <c r="Y582" s="2">
        <v>126009</v>
      </c>
      <c r="Z582" s="2">
        <v>0</v>
      </c>
      <c r="AA582" s="2">
        <v>0</v>
      </c>
      <c r="AC582" s="2">
        <v>0</v>
      </c>
      <c r="AD582" s="2">
        <v>0</v>
      </c>
      <c r="AE582" s="2">
        <v>0</v>
      </c>
      <c r="AF582" s="2">
        <v>0</v>
      </c>
      <c r="AG582" s="2">
        <v>0</v>
      </c>
      <c r="AI582" s="2">
        <v>-37907</v>
      </c>
      <c r="AJ582" s="2">
        <v>-31469</v>
      </c>
      <c r="AK582" s="2">
        <v>-20133</v>
      </c>
      <c r="AL582" s="2">
        <v>-7473</v>
      </c>
      <c r="AM582" s="2">
        <v>0</v>
      </c>
    </row>
    <row r="583" spans="1:39">
      <c r="A583" s="335">
        <v>96204</v>
      </c>
      <c r="B583" s="328" t="s">
        <v>1274</v>
      </c>
      <c r="C583" s="239">
        <v>1.42E-5</v>
      </c>
      <c r="E583" s="2">
        <v>8426</v>
      </c>
      <c r="F583" s="2">
        <v>3343</v>
      </c>
      <c r="G583" s="2">
        <v>4699</v>
      </c>
      <c r="H583" s="2">
        <v>1708</v>
      </c>
      <c r="I583" s="2">
        <v>0</v>
      </c>
      <c r="K583" s="2">
        <v>2127</v>
      </c>
      <c r="L583" s="2">
        <v>2001</v>
      </c>
      <c r="M583" s="2">
        <v>1794</v>
      </c>
      <c r="N583" s="2">
        <v>718</v>
      </c>
      <c r="O583" s="2">
        <v>0</v>
      </c>
      <c r="Q583" s="2">
        <v>2258</v>
      </c>
      <c r="R583" s="2">
        <v>-1943</v>
      </c>
      <c r="S583" s="2">
        <v>274</v>
      </c>
      <c r="T583" s="2">
        <v>356</v>
      </c>
      <c r="U583" s="2">
        <v>0</v>
      </c>
      <c r="W583" s="2">
        <v>2544</v>
      </c>
      <c r="X583" s="2">
        <v>2084</v>
      </c>
      <c r="Y583" s="2">
        <v>1692</v>
      </c>
      <c r="Z583" s="2">
        <v>0</v>
      </c>
      <c r="AA583" s="2">
        <v>0</v>
      </c>
      <c r="AC583" s="2">
        <v>1497</v>
      </c>
      <c r="AD583" s="2">
        <v>1201</v>
      </c>
      <c r="AE583" s="2">
        <v>939</v>
      </c>
      <c r="AF583" s="2">
        <v>634</v>
      </c>
      <c r="AG583" s="2">
        <v>0</v>
      </c>
      <c r="AI583" s="2">
        <v>0</v>
      </c>
      <c r="AJ583" s="2">
        <v>0</v>
      </c>
      <c r="AK583" s="2">
        <v>0</v>
      </c>
      <c r="AL583" s="2">
        <v>0</v>
      </c>
      <c r="AM583" s="2">
        <v>0</v>
      </c>
    </row>
    <row r="584" spans="1:39">
      <c r="A584" s="335">
        <v>96211</v>
      </c>
      <c r="B584" s="328" t="s">
        <v>1275</v>
      </c>
      <c r="C584" s="239">
        <v>2.4000000000000001E-5</v>
      </c>
      <c r="E584" s="2">
        <v>13858</v>
      </c>
      <c r="F584" s="2">
        <v>5117</v>
      </c>
      <c r="G584" s="2">
        <v>7672</v>
      </c>
      <c r="H584" s="2">
        <v>2034</v>
      </c>
      <c r="I584" s="2">
        <v>0</v>
      </c>
      <c r="K584" s="2">
        <v>3595</v>
      </c>
      <c r="L584" s="2">
        <v>3382</v>
      </c>
      <c r="M584" s="2">
        <v>3031</v>
      </c>
      <c r="N584" s="2">
        <v>1214</v>
      </c>
      <c r="O584" s="2">
        <v>0</v>
      </c>
      <c r="Q584" s="2">
        <v>3817</v>
      </c>
      <c r="R584" s="2">
        <v>-3283</v>
      </c>
      <c r="S584" s="2">
        <v>463</v>
      </c>
      <c r="T584" s="2">
        <v>602</v>
      </c>
      <c r="U584" s="2">
        <v>0</v>
      </c>
      <c r="W584" s="2">
        <v>4300</v>
      </c>
      <c r="X584" s="2">
        <v>3523</v>
      </c>
      <c r="Y584" s="2">
        <v>2860</v>
      </c>
      <c r="Z584" s="2">
        <v>0</v>
      </c>
      <c r="AA584" s="2">
        <v>0</v>
      </c>
      <c r="AC584" s="2">
        <v>2146</v>
      </c>
      <c r="AD584" s="2">
        <v>1495</v>
      </c>
      <c r="AE584" s="2">
        <v>1318</v>
      </c>
      <c r="AF584" s="2">
        <v>218</v>
      </c>
      <c r="AG584" s="2">
        <v>0</v>
      </c>
      <c r="AI584" s="2">
        <v>0</v>
      </c>
      <c r="AJ584" s="2">
        <v>0</v>
      </c>
      <c r="AK584" s="2">
        <v>0</v>
      </c>
      <c r="AL584" s="2">
        <v>0</v>
      </c>
      <c r="AM584" s="2">
        <v>0</v>
      </c>
    </row>
    <row r="585" spans="1:39">
      <c r="A585" s="335">
        <v>96221</v>
      </c>
      <c r="B585" s="328" t="s">
        <v>1276</v>
      </c>
      <c r="C585" s="239">
        <v>2.141E-4</v>
      </c>
      <c r="E585" s="2">
        <v>95214</v>
      </c>
      <c r="F585" s="2">
        <v>25000</v>
      </c>
      <c r="G585" s="2">
        <v>50327</v>
      </c>
      <c r="H585" s="2">
        <v>11934</v>
      </c>
      <c r="I585" s="2">
        <v>0</v>
      </c>
      <c r="K585" s="2">
        <v>32074</v>
      </c>
      <c r="L585" s="2">
        <v>30171</v>
      </c>
      <c r="M585" s="2">
        <v>27042</v>
      </c>
      <c r="N585" s="2">
        <v>10827</v>
      </c>
      <c r="O585" s="2">
        <v>0</v>
      </c>
      <c r="Q585" s="2">
        <v>34051</v>
      </c>
      <c r="R585" s="2">
        <v>-29290</v>
      </c>
      <c r="S585" s="2">
        <v>4128</v>
      </c>
      <c r="T585" s="2">
        <v>5373</v>
      </c>
      <c r="U585" s="2">
        <v>0</v>
      </c>
      <c r="W585" s="2">
        <v>38359</v>
      </c>
      <c r="X585" s="2">
        <v>31425</v>
      </c>
      <c r="Y585" s="2">
        <v>25512</v>
      </c>
      <c r="Z585" s="2">
        <v>0</v>
      </c>
      <c r="AA585" s="2">
        <v>0</v>
      </c>
      <c r="AC585" s="2">
        <v>0</v>
      </c>
      <c r="AD585" s="2">
        <v>0</v>
      </c>
      <c r="AE585" s="2">
        <v>0</v>
      </c>
      <c r="AF585" s="2">
        <v>0</v>
      </c>
      <c r="AG585" s="2">
        <v>0</v>
      </c>
      <c r="AI585" s="2">
        <v>-9270</v>
      </c>
      <c r="AJ585" s="2">
        <v>-7306</v>
      </c>
      <c r="AK585" s="2">
        <v>-6355</v>
      </c>
      <c r="AL585" s="2">
        <v>-4266</v>
      </c>
      <c r="AM585" s="2">
        <v>0</v>
      </c>
    </row>
    <row r="586" spans="1:39">
      <c r="A586" s="335">
        <v>96231</v>
      </c>
      <c r="B586" s="328" t="s">
        <v>1277</v>
      </c>
      <c r="C586" s="239">
        <v>1.2349999999999999E-4</v>
      </c>
      <c r="E586" s="2">
        <v>51774</v>
      </c>
      <c r="F586" s="2">
        <v>12473</v>
      </c>
      <c r="G586" s="2">
        <v>25895</v>
      </c>
      <c r="H586" s="2">
        <v>6312</v>
      </c>
      <c r="I586" s="2">
        <v>0</v>
      </c>
      <c r="K586" s="2">
        <v>18501</v>
      </c>
      <c r="L586" s="2">
        <v>17404</v>
      </c>
      <c r="M586" s="2">
        <v>15599</v>
      </c>
      <c r="N586" s="2">
        <v>6246</v>
      </c>
      <c r="O586" s="2">
        <v>0</v>
      </c>
      <c r="Q586" s="2">
        <v>19642</v>
      </c>
      <c r="R586" s="2">
        <v>-16895</v>
      </c>
      <c r="S586" s="2">
        <v>2381</v>
      </c>
      <c r="T586" s="2">
        <v>3099</v>
      </c>
      <c r="U586" s="2">
        <v>0</v>
      </c>
      <c r="W586" s="2">
        <v>22127</v>
      </c>
      <c r="X586" s="2">
        <v>18127</v>
      </c>
      <c r="Y586" s="2">
        <v>14716</v>
      </c>
      <c r="Z586" s="2">
        <v>0</v>
      </c>
      <c r="AA586" s="2">
        <v>0</v>
      </c>
      <c r="AC586" s="2">
        <v>639</v>
      </c>
      <c r="AD586" s="2">
        <v>637</v>
      </c>
      <c r="AE586" s="2">
        <v>0</v>
      </c>
      <c r="AF586" s="2">
        <v>0</v>
      </c>
      <c r="AG586" s="2">
        <v>0</v>
      </c>
      <c r="AI586" s="2">
        <v>-9135</v>
      </c>
      <c r="AJ586" s="2">
        <v>-6800</v>
      </c>
      <c r="AK586" s="2">
        <v>-6801</v>
      </c>
      <c r="AL586" s="2">
        <v>-3033</v>
      </c>
      <c r="AM586" s="2">
        <v>0</v>
      </c>
    </row>
    <row r="587" spans="1:39">
      <c r="A587" s="335">
        <v>96241</v>
      </c>
      <c r="B587" s="328" t="s">
        <v>1278</v>
      </c>
      <c r="C587" s="239">
        <v>6.4499999999999996E-5</v>
      </c>
      <c r="E587" s="2">
        <v>32266</v>
      </c>
      <c r="F587" s="2">
        <v>11838</v>
      </c>
      <c r="G587" s="2">
        <v>18963</v>
      </c>
      <c r="H587" s="2">
        <v>5700</v>
      </c>
      <c r="I587" s="2">
        <v>0</v>
      </c>
      <c r="K587" s="2">
        <v>9663</v>
      </c>
      <c r="L587" s="2">
        <v>9089</v>
      </c>
      <c r="M587" s="2">
        <v>8147</v>
      </c>
      <c r="N587" s="2">
        <v>3262</v>
      </c>
      <c r="O587" s="2">
        <v>0</v>
      </c>
      <c r="Q587" s="2">
        <v>10258</v>
      </c>
      <c r="R587" s="2">
        <v>-8824</v>
      </c>
      <c r="S587" s="2">
        <v>1244</v>
      </c>
      <c r="T587" s="2">
        <v>1619</v>
      </c>
      <c r="U587" s="2">
        <v>0</v>
      </c>
      <c r="W587" s="2">
        <v>11556</v>
      </c>
      <c r="X587" s="2">
        <v>9467</v>
      </c>
      <c r="Y587" s="2">
        <v>7686</v>
      </c>
      <c r="Z587" s="2">
        <v>0</v>
      </c>
      <c r="AA587" s="2">
        <v>0</v>
      </c>
      <c r="AC587" s="2">
        <v>2104</v>
      </c>
      <c r="AD587" s="2">
        <v>2106</v>
      </c>
      <c r="AE587" s="2">
        <v>1886</v>
      </c>
      <c r="AF587" s="2">
        <v>819</v>
      </c>
      <c r="AG587" s="2">
        <v>0</v>
      </c>
      <c r="AI587" s="2">
        <v>-1315</v>
      </c>
      <c r="AJ587" s="2">
        <v>0</v>
      </c>
      <c r="AK587" s="2">
        <v>0</v>
      </c>
      <c r="AL587" s="2">
        <v>0</v>
      </c>
      <c r="AM587" s="2">
        <v>0</v>
      </c>
    </row>
    <row r="588" spans="1:39">
      <c r="A588" s="335">
        <v>96251</v>
      </c>
      <c r="B588" s="328" t="s">
        <v>1279</v>
      </c>
      <c r="C588" s="239">
        <v>1.004E-4</v>
      </c>
      <c r="E588" s="2">
        <v>45942</v>
      </c>
      <c r="F588" s="2">
        <v>14145</v>
      </c>
      <c r="G588" s="2">
        <v>24027</v>
      </c>
      <c r="H588" s="2">
        <v>5584</v>
      </c>
      <c r="I588" s="2">
        <v>0</v>
      </c>
      <c r="K588" s="2">
        <v>15041</v>
      </c>
      <c r="L588" s="2">
        <v>14148</v>
      </c>
      <c r="M588" s="2">
        <v>12681</v>
      </c>
      <c r="N588" s="2">
        <v>5077</v>
      </c>
      <c r="O588" s="2">
        <v>0</v>
      </c>
      <c r="Q588" s="2">
        <v>15968</v>
      </c>
      <c r="R588" s="2">
        <v>-13735</v>
      </c>
      <c r="S588" s="2">
        <v>1936</v>
      </c>
      <c r="T588" s="2">
        <v>2519</v>
      </c>
      <c r="U588" s="2">
        <v>0</v>
      </c>
      <c r="W588" s="2">
        <v>17988</v>
      </c>
      <c r="X588" s="2">
        <v>14736</v>
      </c>
      <c r="Y588" s="2">
        <v>11963</v>
      </c>
      <c r="Z588" s="2">
        <v>0</v>
      </c>
      <c r="AA588" s="2">
        <v>0</v>
      </c>
      <c r="AC588" s="2">
        <v>1549</v>
      </c>
      <c r="AD588" s="2">
        <v>1551</v>
      </c>
      <c r="AE588" s="2">
        <v>0</v>
      </c>
      <c r="AF588" s="2">
        <v>0</v>
      </c>
      <c r="AG588" s="2">
        <v>0</v>
      </c>
      <c r="AI588" s="2">
        <v>-4604</v>
      </c>
      <c r="AJ588" s="2">
        <v>-2555</v>
      </c>
      <c r="AK588" s="2">
        <v>-2553</v>
      </c>
      <c r="AL588" s="2">
        <v>-2012</v>
      </c>
      <c r="AM588" s="2">
        <v>0</v>
      </c>
    </row>
    <row r="589" spans="1:39">
      <c r="A589" s="335">
        <v>96301</v>
      </c>
      <c r="B589" s="328" t="s">
        <v>1280</v>
      </c>
      <c r="C589" s="239">
        <v>4.6904E-3</v>
      </c>
      <c r="E589" s="2">
        <v>2284733</v>
      </c>
      <c r="F589" s="2">
        <v>728821</v>
      </c>
      <c r="G589" s="2">
        <v>1277746</v>
      </c>
      <c r="H589" s="2">
        <v>397855</v>
      </c>
      <c r="I589" s="2">
        <v>0</v>
      </c>
      <c r="K589" s="2">
        <v>702655</v>
      </c>
      <c r="L589" s="2">
        <v>660971</v>
      </c>
      <c r="M589" s="2">
        <v>592421</v>
      </c>
      <c r="N589" s="2">
        <v>237198</v>
      </c>
      <c r="O589" s="2">
        <v>0</v>
      </c>
      <c r="Q589" s="2">
        <v>745966</v>
      </c>
      <c r="R589" s="2">
        <v>-641670</v>
      </c>
      <c r="S589" s="2">
        <v>90436</v>
      </c>
      <c r="T589" s="2">
        <v>117701</v>
      </c>
      <c r="U589" s="2">
        <v>0</v>
      </c>
      <c r="W589" s="2">
        <v>840341</v>
      </c>
      <c r="X589" s="2">
        <v>688438</v>
      </c>
      <c r="Y589" s="2">
        <v>558894</v>
      </c>
      <c r="Z589" s="2">
        <v>0</v>
      </c>
      <c r="AA589" s="2">
        <v>0</v>
      </c>
      <c r="AC589" s="2">
        <v>42957</v>
      </c>
      <c r="AD589" s="2">
        <v>42957</v>
      </c>
      <c r="AE589" s="2">
        <v>42957</v>
      </c>
      <c r="AF589" s="2">
        <v>42956</v>
      </c>
      <c r="AG589" s="2">
        <v>0</v>
      </c>
      <c r="AI589" s="2">
        <v>-47186</v>
      </c>
      <c r="AJ589" s="2">
        <v>-21875</v>
      </c>
      <c r="AK589" s="2">
        <v>-6962</v>
      </c>
      <c r="AL589" s="2">
        <v>0</v>
      </c>
      <c r="AM589" s="2">
        <v>0</v>
      </c>
    </row>
    <row r="590" spans="1:39">
      <c r="A590" s="335">
        <v>96302</v>
      </c>
      <c r="B590" s="328" t="s">
        <v>1281</v>
      </c>
      <c r="C590" s="239">
        <v>2.3600000000000001E-5</v>
      </c>
      <c r="E590" s="2">
        <v>13302</v>
      </c>
      <c r="F590" s="2">
        <v>4967</v>
      </c>
      <c r="G590" s="2">
        <v>6535</v>
      </c>
      <c r="H590" s="2">
        <v>2262</v>
      </c>
      <c r="I590" s="2">
        <v>0</v>
      </c>
      <c r="K590" s="2">
        <v>3535</v>
      </c>
      <c r="L590" s="2">
        <v>3326</v>
      </c>
      <c r="M590" s="2">
        <v>2981</v>
      </c>
      <c r="N590" s="2">
        <v>1193</v>
      </c>
      <c r="O590" s="2">
        <v>0</v>
      </c>
      <c r="Q590" s="2">
        <v>3753</v>
      </c>
      <c r="R590" s="2">
        <v>-3229</v>
      </c>
      <c r="S590" s="2">
        <v>455</v>
      </c>
      <c r="T590" s="2">
        <v>592</v>
      </c>
      <c r="U590" s="2">
        <v>0</v>
      </c>
      <c r="W590" s="2">
        <v>4228</v>
      </c>
      <c r="X590" s="2">
        <v>3464</v>
      </c>
      <c r="Y590" s="2">
        <v>2812</v>
      </c>
      <c r="Z590" s="2">
        <v>0</v>
      </c>
      <c r="AA590" s="2">
        <v>0</v>
      </c>
      <c r="AC590" s="2">
        <v>1972</v>
      </c>
      <c r="AD590" s="2">
        <v>1592</v>
      </c>
      <c r="AE590" s="2">
        <v>475</v>
      </c>
      <c r="AF590" s="2">
        <v>477</v>
      </c>
      <c r="AG590" s="2">
        <v>0</v>
      </c>
      <c r="AI590" s="2">
        <v>-186</v>
      </c>
      <c r="AJ590" s="2">
        <v>-186</v>
      </c>
      <c r="AK590" s="2">
        <v>-188</v>
      </c>
      <c r="AL590" s="2">
        <v>0</v>
      </c>
      <c r="AM590" s="2">
        <v>0</v>
      </c>
    </row>
    <row r="591" spans="1:39">
      <c r="A591" s="335">
        <v>96304</v>
      </c>
      <c r="B591" s="328" t="s">
        <v>1282</v>
      </c>
      <c r="C591" s="239">
        <v>4.3900000000000003E-5</v>
      </c>
      <c r="E591" s="2">
        <v>24392</v>
      </c>
      <c r="F591" s="2">
        <v>8748</v>
      </c>
      <c r="G591" s="2">
        <v>13991</v>
      </c>
      <c r="H591" s="2">
        <v>4189</v>
      </c>
      <c r="I591" s="2">
        <v>0</v>
      </c>
      <c r="K591" s="2">
        <v>6577</v>
      </c>
      <c r="L591" s="2">
        <v>6186</v>
      </c>
      <c r="M591" s="2">
        <v>5545</v>
      </c>
      <c r="N591" s="2">
        <v>2220</v>
      </c>
      <c r="O591" s="2">
        <v>0</v>
      </c>
      <c r="Q591" s="2">
        <v>6982</v>
      </c>
      <c r="R591" s="2">
        <v>-6006</v>
      </c>
      <c r="S591" s="2">
        <v>846</v>
      </c>
      <c r="T591" s="2">
        <v>1102</v>
      </c>
      <c r="U591" s="2">
        <v>0</v>
      </c>
      <c r="W591" s="2">
        <v>7865</v>
      </c>
      <c r="X591" s="2">
        <v>6443</v>
      </c>
      <c r="Y591" s="2">
        <v>5231</v>
      </c>
      <c r="Z591" s="2">
        <v>0</v>
      </c>
      <c r="AA591" s="2">
        <v>0</v>
      </c>
      <c r="AC591" s="2">
        <v>3212</v>
      </c>
      <c r="AD591" s="2">
        <v>2370</v>
      </c>
      <c r="AE591" s="2">
        <v>2369</v>
      </c>
      <c r="AF591" s="2">
        <v>867</v>
      </c>
      <c r="AG591" s="2">
        <v>0</v>
      </c>
      <c r="AI591" s="2">
        <v>-244</v>
      </c>
      <c r="AJ591" s="2">
        <v>-245</v>
      </c>
      <c r="AK591" s="2">
        <v>0</v>
      </c>
      <c r="AL591" s="2">
        <v>0</v>
      </c>
      <c r="AM591" s="2">
        <v>0</v>
      </c>
    </row>
    <row r="592" spans="1:39">
      <c r="A592" s="335">
        <v>96305</v>
      </c>
      <c r="B592" s="328" t="s">
        <v>1283</v>
      </c>
      <c r="C592" s="239">
        <v>4.1199999999999999E-5</v>
      </c>
      <c r="E592" s="2">
        <v>26553</v>
      </c>
      <c r="F592" s="2">
        <v>11418</v>
      </c>
      <c r="G592" s="2">
        <v>14633</v>
      </c>
      <c r="H592" s="2">
        <v>4917</v>
      </c>
      <c r="I592" s="2">
        <v>0</v>
      </c>
      <c r="K592" s="2">
        <v>6172</v>
      </c>
      <c r="L592" s="2">
        <v>5806</v>
      </c>
      <c r="M592" s="2">
        <v>5204</v>
      </c>
      <c r="N592" s="2">
        <v>2084</v>
      </c>
      <c r="O592" s="2">
        <v>0</v>
      </c>
      <c r="Q592" s="2">
        <v>6552</v>
      </c>
      <c r="R592" s="2">
        <v>-5636</v>
      </c>
      <c r="S592" s="2">
        <v>794</v>
      </c>
      <c r="T592" s="2">
        <v>1034</v>
      </c>
      <c r="U592" s="2">
        <v>0</v>
      </c>
      <c r="W592" s="2">
        <v>7381</v>
      </c>
      <c r="X592" s="2">
        <v>6047</v>
      </c>
      <c r="Y592" s="2">
        <v>4909</v>
      </c>
      <c r="Z592" s="2">
        <v>0</v>
      </c>
      <c r="AA592" s="2">
        <v>0</v>
      </c>
      <c r="AC592" s="2">
        <v>6448</v>
      </c>
      <c r="AD592" s="2">
        <v>5201</v>
      </c>
      <c r="AE592" s="2">
        <v>3726</v>
      </c>
      <c r="AF592" s="2">
        <v>1799</v>
      </c>
      <c r="AG592" s="2">
        <v>0</v>
      </c>
      <c r="AI592" s="2">
        <v>0</v>
      </c>
      <c r="AJ592" s="2">
        <v>0</v>
      </c>
      <c r="AK592" s="2">
        <v>0</v>
      </c>
      <c r="AL592" s="2">
        <v>0</v>
      </c>
      <c r="AM592" s="2">
        <v>0</v>
      </c>
    </row>
    <row r="593" spans="1:39">
      <c r="A593" s="335">
        <v>96310</v>
      </c>
      <c r="B593" s="328" t="s">
        <v>1284</v>
      </c>
      <c r="C593" s="239">
        <v>4.49E-5</v>
      </c>
      <c r="E593" s="2">
        <v>21648</v>
      </c>
      <c r="F593" s="2">
        <v>7431</v>
      </c>
      <c r="G593" s="2">
        <v>10737</v>
      </c>
      <c r="H593" s="2">
        <v>3239</v>
      </c>
      <c r="I593" s="2">
        <v>0</v>
      </c>
      <c r="K593" s="2">
        <v>6726</v>
      </c>
      <c r="L593" s="2">
        <v>6327</v>
      </c>
      <c r="M593" s="2">
        <v>5671</v>
      </c>
      <c r="N593" s="2">
        <v>2271</v>
      </c>
      <c r="O593" s="2">
        <v>0</v>
      </c>
      <c r="Q593" s="2">
        <v>7141</v>
      </c>
      <c r="R593" s="2">
        <v>-6143</v>
      </c>
      <c r="S593" s="2">
        <v>866</v>
      </c>
      <c r="T593" s="2">
        <v>1127</v>
      </c>
      <c r="U593" s="2">
        <v>0</v>
      </c>
      <c r="W593" s="2">
        <v>8044</v>
      </c>
      <c r="X593" s="2">
        <v>6590</v>
      </c>
      <c r="Y593" s="2">
        <v>5350</v>
      </c>
      <c r="Z593" s="2">
        <v>0</v>
      </c>
      <c r="AA593" s="2">
        <v>0</v>
      </c>
      <c r="AC593" s="2">
        <v>1805</v>
      </c>
      <c r="AD593" s="2">
        <v>1805</v>
      </c>
      <c r="AE593" s="2">
        <v>0</v>
      </c>
      <c r="AF593" s="2">
        <v>0</v>
      </c>
      <c r="AG593" s="2">
        <v>0</v>
      </c>
      <c r="AI593" s="2">
        <v>-2068</v>
      </c>
      <c r="AJ593" s="2">
        <v>-1148</v>
      </c>
      <c r="AK593" s="2">
        <v>-1150</v>
      </c>
      <c r="AL593" s="2">
        <v>-159</v>
      </c>
      <c r="AM593" s="2">
        <v>0</v>
      </c>
    </row>
    <row r="594" spans="1:39">
      <c r="A594" s="335">
        <v>96311</v>
      </c>
      <c r="B594" s="328" t="s">
        <v>1285</v>
      </c>
      <c r="C594" s="239">
        <v>1.3112E-3</v>
      </c>
      <c r="E594" s="2">
        <v>591765</v>
      </c>
      <c r="F594" s="2">
        <v>165180</v>
      </c>
      <c r="G594" s="2">
        <v>332095</v>
      </c>
      <c r="H594" s="2">
        <v>88834</v>
      </c>
      <c r="I594" s="2">
        <v>0</v>
      </c>
      <c r="K594" s="2">
        <v>196427</v>
      </c>
      <c r="L594" s="2">
        <v>184774</v>
      </c>
      <c r="M594" s="2">
        <v>165611</v>
      </c>
      <c r="N594" s="2">
        <v>66309</v>
      </c>
      <c r="O594" s="2">
        <v>0</v>
      </c>
      <c r="Q594" s="2">
        <v>208535</v>
      </c>
      <c r="R594" s="2">
        <v>-179379</v>
      </c>
      <c r="S594" s="2">
        <v>25281</v>
      </c>
      <c r="T594" s="2">
        <v>32903</v>
      </c>
      <c r="U594" s="2">
        <v>0</v>
      </c>
      <c r="W594" s="2">
        <v>234917</v>
      </c>
      <c r="X594" s="2">
        <v>192453</v>
      </c>
      <c r="Y594" s="2">
        <v>156239</v>
      </c>
      <c r="Z594" s="2">
        <v>0</v>
      </c>
      <c r="AA594" s="2">
        <v>0</v>
      </c>
      <c r="AC594" s="2">
        <v>0</v>
      </c>
      <c r="AD594" s="2">
        <v>0</v>
      </c>
      <c r="AE594" s="2">
        <v>0</v>
      </c>
      <c r="AF594" s="2">
        <v>0</v>
      </c>
      <c r="AG594" s="2">
        <v>0</v>
      </c>
      <c r="AI594" s="2">
        <v>-48114</v>
      </c>
      <c r="AJ594" s="2">
        <v>-32668</v>
      </c>
      <c r="AK594" s="2">
        <v>-15036</v>
      </c>
      <c r="AL594" s="2">
        <v>-10378</v>
      </c>
      <c r="AM594" s="2">
        <v>0</v>
      </c>
    </row>
    <row r="595" spans="1:39">
      <c r="A595" s="335">
        <v>96312</v>
      </c>
      <c r="B595" s="328" t="s">
        <v>1286</v>
      </c>
      <c r="C595" s="239">
        <v>5.8000000000000004E-6</v>
      </c>
      <c r="E595" s="2">
        <v>2916</v>
      </c>
      <c r="F595" s="2">
        <v>1108</v>
      </c>
      <c r="G595" s="2">
        <v>-138</v>
      </c>
      <c r="H595" s="2">
        <v>437</v>
      </c>
      <c r="I595" s="2">
        <v>0</v>
      </c>
      <c r="K595" s="2">
        <v>869</v>
      </c>
      <c r="L595" s="2">
        <v>817</v>
      </c>
      <c r="M595" s="2">
        <v>733</v>
      </c>
      <c r="N595" s="2">
        <v>293</v>
      </c>
      <c r="O595" s="2">
        <v>0</v>
      </c>
      <c r="Q595" s="2">
        <v>922</v>
      </c>
      <c r="R595" s="2">
        <v>-793</v>
      </c>
      <c r="S595" s="2">
        <v>112</v>
      </c>
      <c r="T595" s="2">
        <v>146</v>
      </c>
      <c r="U595" s="2">
        <v>0</v>
      </c>
      <c r="W595" s="2">
        <v>1039</v>
      </c>
      <c r="X595" s="2">
        <v>851</v>
      </c>
      <c r="Y595" s="2">
        <v>691</v>
      </c>
      <c r="Z595" s="2">
        <v>0</v>
      </c>
      <c r="AA595" s="2">
        <v>0</v>
      </c>
      <c r="AC595" s="2">
        <v>1909</v>
      </c>
      <c r="AD595" s="2">
        <v>1907</v>
      </c>
      <c r="AE595" s="2">
        <v>0</v>
      </c>
      <c r="AF595" s="2">
        <v>0</v>
      </c>
      <c r="AG595" s="2">
        <v>0</v>
      </c>
      <c r="AI595" s="2">
        <v>-1823</v>
      </c>
      <c r="AJ595" s="2">
        <v>-1674</v>
      </c>
      <c r="AK595" s="2">
        <v>-1674</v>
      </c>
      <c r="AL595" s="2">
        <v>-2</v>
      </c>
      <c r="AM595" s="2">
        <v>0</v>
      </c>
    </row>
    <row r="596" spans="1:39">
      <c r="A596" s="335">
        <v>96318</v>
      </c>
      <c r="B596" s="328" t="s">
        <v>1287</v>
      </c>
      <c r="C596" s="239">
        <v>2.2319000000000002E-3</v>
      </c>
      <c r="E596" s="2">
        <v>3451415</v>
      </c>
      <c r="F596" s="2">
        <v>474572</v>
      </c>
      <c r="G596" s="2">
        <v>650117</v>
      </c>
      <c r="H596" s="2">
        <v>202133</v>
      </c>
      <c r="I596" s="2">
        <v>0</v>
      </c>
      <c r="K596" s="2">
        <v>334354</v>
      </c>
      <c r="L596" s="2">
        <v>314519</v>
      </c>
      <c r="M596" s="2">
        <v>281900</v>
      </c>
      <c r="N596" s="2">
        <v>112869</v>
      </c>
      <c r="O596" s="2">
        <v>0</v>
      </c>
      <c r="Q596" s="2">
        <v>354964</v>
      </c>
      <c r="R596" s="2">
        <v>-305335</v>
      </c>
      <c r="S596" s="2">
        <v>43033</v>
      </c>
      <c r="T596" s="2">
        <v>56007</v>
      </c>
      <c r="U596" s="2">
        <v>0</v>
      </c>
      <c r="W596" s="2">
        <v>399872</v>
      </c>
      <c r="X596" s="2">
        <v>327589</v>
      </c>
      <c r="Y596" s="2">
        <v>265947</v>
      </c>
      <c r="Z596" s="2">
        <v>0</v>
      </c>
      <c r="AA596" s="2">
        <v>0</v>
      </c>
      <c r="AC596" s="2">
        <v>2362225</v>
      </c>
      <c r="AD596" s="2">
        <v>137799</v>
      </c>
      <c r="AE596" s="2">
        <v>59237</v>
      </c>
      <c r="AF596" s="2">
        <v>33257</v>
      </c>
      <c r="AG596" s="2">
        <v>0</v>
      </c>
      <c r="AI596" s="2">
        <v>0</v>
      </c>
      <c r="AJ596" s="2">
        <v>0</v>
      </c>
      <c r="AK596" s="2">
        <v>0</v>
      </c>
      <c r="AL596" s="2">
        <v>0</v>
      </c>
      <c r="AM596" s="2">
        <v>0</v>
      </c>
    </row>
    <row r="597" spans="1:39">
      <c r="A597" s="335">
        <v>96321</v>
      </c>
      <c r="B597" s="328" t="s">
        <v>1288</v>
      </c>
      <c r="C597" s="239">
        <v>3.65E-5</v>
      </c>
      <c r="E597" s="2">
        <v>17752</v>
      </c>
      <c r="F597" s="2">
        <v>6089</v>
      </c>
      <c r="G597" s="2">
        <v>9970</v>
      </c>
      <c r="H597" s="2">
        <v>2827</v>
      </c>
      <c r="I597" s="2">
        <v>0</v>
      </c>
      <c r="K597" s="2">
        <v>5468</v>
      </c>
      <c r="L597" s="2">
        <v>5144</v>
      </c>
      <c r="M597" s="2">
        <v>4610</v>
      </c>
      <c r="N597" s="2">
        <v>1846</v>
      </c>
      <c r="O597" s="2">
        <v>0</v>
      </c>
      <c r="Q597" s="2">
        <v>5805</v>
      </c>
      <c r="R597" s="2">
        <v>-4993</v>
      </c>
      <c r="S597" s="2">
        <v>704</v>
      </c>
      <c r="T597" s="2">
        <v>916</v>
      </c>
      <c r="U597" s="2">
        <v>0</v>
      </c>
      <c r="W597" s="2">
        <v>6539</v>
      </c>
      <c r="X597" s="2">
        <v>5357</v>
      </c>
      <c r="Y597" s="2">
        <v>4349</v>
      </c>
      <c r="Z597" s="2">
        <v>0</v>
      </c>
      <c r="AA597" s="2">
        <v>0</v>
      </c>
      <c r="AC597" s="2">
        <v>583</v>
      </c>
      <c r="AD597" s="2">
        <v>581</v>
      </c>
      <c r="AE597" s="2">
        <v>307</v>
      </c>
      <c r="AF597" s="2">
        <v>65</v>
      </c>
      <c r="AG597" s="2">
        <v>0</v>
      </c>
      <c r="AI597" s="2">
        <v>-643</v>
      </c>
      <c r="AJ597" s="2">
        <v>0</v>
      </c>
      <c r="AK597" s="2">
        <v>0</v>
      </c>
      <c r="AL597" s="2">
        <v>0</v>
      </c>
      <c r="AM597" s="2">
        <v>0</v>
      </c>
    </row>
    <row r="598" spans="1:39">
      <c r="A598" s="335">
        <v>96331</v>
      </c>
      <c r="B598" s="328" t="s">
        <v>1289</v>
      </c>
      <c r="C598" s="239">
        <v>7.4430000000000004E-4</v>
      </c>
      <c r="E598" s="2">
        <v>340337</v>
      </c>
      <c r="F598" s="2">
        <v>99997</v>
      </c>
      <c r="G598" s="2">
        <v>186979</v>
      </c>
      <c r="H598" s="2">
        <v>55694</v>
      </c>
      <c r="I598" s="2">
        <v>0</v>
      </c>
      <c r="K598" s="2">
        <v>111501</v>
      </c>
      <c r="L598" s="2">
        <v>104887</v>
      </c>
      <c r="M598" s="2">
        <v>94009</v>
      </c>
      <c r="N598" s="2">
        <v>37640</v>
      </c>
      <c r="O598" s="2">
        <v>0</v>
      </c>
      <c r="Q598" s="2">
        <v>118374</v>
      </c>
      <c r="R598" s="2">
        <v>-101824</v>
      </c>
      <c r="S598" s="2">
        <v>14351</v>
      </c>
      <c r="T598" s="2">
        <v>18677</v>
      </c>
      <c r="U598" s="2">
        <v>0</v>
      </c>
      <c r="W598" s="2">
        <v>133350</v>
      </c>
      <c r="X598" s="2">
        <v>109245</v>
      </c>
      <c r="Y598" s="2">
        <v>88689</v>
      </c>
      <c r="Z598" s="2">
        <v>0</v>
      </c>
      <c r="AA598" s="2">
        <v>0</v>
      </c>
      <c r="AC598" s="2">
        <v>0</v>
      </c>
      <c r="AD598" s="2">
        <v>0</v>
      </c>
      <c r="AE598" s="2">
        <v>0</v>
      </c>
      <c r="AF598" s="2">
        <v>0</v>
      </c>
      <c r="AG598" s="2">
        <v>0</v>
      </c>
      <c r="AI598" s="2">
        <v>-22888</v>
      </c>
      <c r="AJ598" s="2">
        <v>-12311</v>
      </c>
      <c r="AK598" s="2">
        <v>-10070</v>
      </c>
      <c r="AL598" s="2">
        <v>-623</v>
      </c>
      <c r="AM598" s="2">
        <v>0</v>
      </c>
    </row>
    <row r="599" spans="1:39">
      <c r="A599" s="335">
        <v>96341</v>
      </c>
      <c r="B599" s="328" t="s">
        <v>1290</v>
      </c>
      <c r="C599" s="239">
        <v>7.8200000000000003E-5</v>
      </c>
      <c r="E599" s="2">
        <v>34257</v>
      </c>
      <c r="F599" s="2">
        <v>7517</v>
      </c>
      <c r="G599" s="2">
        <v>18416</v>
      </c>
      <c r="H599" s="2">
        <v>2834</v>
      </c>
      <c r="I599" s="2">
        <v>0</v>
      </c>
      <c r="K599" s="2">
        <v>11715</v>
      </c>
      <c r="L599" s="2">
        <v>11020</v>
      </c>
      <c r="M599" s="2">
        <v>9877</v>
      </c>
      <c r="N599" s="2">
        <v>3955</v>
      </c>
      <c r="O599" s="2">
        <v>0</v>
      </c>
      <c r="Q599" s="2">
        <v>12437</v>
      </c>
      <c r="R599" s="2">
        <v>-10698</v>
      </c>
      <c r="S599" s="2">
        <v>1508</v>
      </c>
      <c r="T599" s="2">
        <v>1962</v>
      </c>
      <c r="U599" s="2">
        <v>0</v>
      </c>
      <c r="W599" s="2">
        <v>14010</v>
      </c>
      <c r="X599" s="2">
        <v>11478</v>
      </c>
      <c r="Y599" s="2">
        <v>9318</v>
      </c>
      <c r="Z599" s="2">
        <v>0</v>
      </c>
      <c r="AA599" s="2">
        <v>0</v>
      </c>
      <c r="AC599" s="2">
        <v>1170</v>
      </c>
      <c r="AD599" s="2">
        <v>794</v>
      </c>
      <c r="AE599" s="2">
        <v>794</v>
      </c>
      <c r="AF599" s="2">
        <v>0</v>
      </c>
      <c r="AG599" s="2">
        <v>0</v>
      </c>
      <c r="AI599" s="2">
        <v>-5075</v>
      </c>
      <c r="AJ599" s="2">
        <v>-5077</v>
      </c>
      <c r="AK599" s="2">
        <v>-3081</v>
      </c>
      <c r="AL599" s="2">
        <v>-3083</v>
      </c>
      <c r="AM599" s="2">
        <v>0</v>
      </c>
    </row>
    <row r="600" spans="1:39">
      <c r="A600" s="335">
        <v>96351</v>
      </c>
      <c r="B600" s="328" t="s">
        <v>1291</v>
      </c>
      <c r="C600" s="239">
        <v>1.0093000000000001E-3</v>
      </c>
      <c r="E600" s="2">
        <v>474483</v>
      </c>
      <c r="F600" s="2">
        <v>140653</v>
      </c>
      <c r="G600" s="2">
        <v>257356</v>
      </c>
      <c r="H600" s="2">
        <v>70470</v>
      </c>
      <c r="I600" s="2">
        <v>0</v>
      </c>
      <c r="K600" s="2">
        <v>151200</v>
      </c>
      <c r="L600" s="2">
        <v>142231</v>
      </c>
      <c r="M600" s="2">
        <v>127480</v>
      </c>
      <c r="N600" s="2">
        <v>51041</v>
      </c>
      <c r="O600" s="2">
        <v>0</v>
      </c>
      <c r="Q600" s="2">
        <v>160520</v>
      </c>
      <c r="R600" s="2">
        <v>-138077</v>
      </c>
      <c r="S600" s="2">
        <v>19460</v>
      </c>
      <c r="T600" s="2">
        <v>25327</v>
      </c>
      <c r="U600" s="2">
        <v>0</v>
      </c>
      <c r="W600" s="2">
        <v>180828</v>
      </c>
      <c r="X600" s="2">
        <v>148141</v>
      </c>
      <c r="Y600" s="2">
        <v>120265</v>
      </c>
      <c r="Z600" s="2">
        <v>0</v>
      </c>
      <c r="AA600" s="2">
        <v>0</v>
      </c>
      <c r="AC600" s="2">
        <v>0</v>
      </c>
      <c r="AD600" s="2">
        <v>0</v>
      </c>
      <c r="AE600" s="2">
        <v>0</v>
      </c>
      <c r="AF600" s="2">
        <v>0</v>
      </c>
      <c r="AG600" s="2">
        <v>0</v>
      </c>
      <c r="AI600" s="2">
        <v>-18065</v>
      </c>
      <c r="AJ600" s="2">
        <v>-11642</v>
      </c>
      <c r="AK600" s="2">
        <v>-9849</v>
      </c>
      <c r="AL600" s="2">
        <v>-5898</v>
      </c>
      <c r="AM600" s="2">
        <v>0</v>
      </c>
    </row>
    <row r="601" spans="1:39">
      <c r="A601" s="335">
        <v>96361</v>
      </c>
      <c r="B601" s="328" t="s">
        <v>1292</v>
      </c>
      <c r="C601" s="239">
        <v>4.1100000000000003E-5</v>
      </c>
      <c r="E601" s="2">
        <v>18130</v>
      </c>
      <c r="F601" s="2">
        <v>3560</v>
      </c>
      <c r="G601" s="2">
        <v>9029</v>
      </c>
      <c r="H601" s="2">
        <v>1997</v>
      </c>
      <c r="I601" s="2">
        <v>0</v>
      </c>
      <c r="K601" s="2">
        <v>6157</v>
      </c>
      <c r="L601" s="2">
        <v>5792</v>
      </c>
      <c r="M601" s="2">
        <v>5191</v>
      </c>
      <c r="N601" s="2">
        <v>2078</v>
      </c>
      <c r="O601" s="2">
        <v>0</v>
      </c>
      <c r="Q601" s="2">
        <v>6537</v>
      </c>
      <c r="R601" s="2">
        <v>-5623</v>
      </c>
      <c r="S601" s="2">
        <v>792</v>
      </c>
      <c r="T601" s="2">
        <v>1031</v>
      </c>
      <c r="U601" s="2">
        <v>0</v>
      </c>
      <c r="W601" s="2">
        <v>7364</v>
      </c>
      <c r="X601" s="2">
        <v>6032</v>
      </c>
      <c r="Y601" s="2">
        <v>4897</v>
      </c>
      <c r="Z601" s="2">
        <v>0</v>
      </c>
      <c r="AA601" s="2">
        <v>0</v>
      </c>
      <c r="AC601" s="2">
        <v>714</v>
      </c>
      <c r="AD601" s="2">
        <v>0</v>
      </c>
      <c r="AE601" s="2">
        <v>0</v>
      </c>
      <c r="AF601" s="2">
        <v>0</v>
      </c>
      <c r="AG601" s="2">
        <v>0</v>
      </c>
      <c r="AI601" s="2">
        <v>-2642</v>
      </c>
      <c r="AJ601" s="2">
        <v>-2641</v>
      </c>
      <c r="AK601" s="2">
        <v>-1851</v>
      </c>
      <c r="AL601" s="2">
        <v>-1112</v>
      </c>
      <c r="AM601" s="2">
        <v>0</v>
      </c>
    </row>
    <row r="602" spans="1:39">
      <c r="A602" s="335">
        <v>96371</v>
      </c>
      <c r="B602" s="328" t="s">
        <v>1293</v>
      </c>
      <c r="C602" s="239">
        <v>1.5100000000000001E-4</v>
      </c>
      <c r="E602" s="2">
        <v>70436</v>
      </c>
      <c r="F602" s="2">
        <v>20783</v>
      </c>
      <c r="G602" s="2">
        <v>40385</v>
      </c>
      <c r="H602" s="2">
        <v>13234</v>
      </c>
      <c r="I602" s="2">
        <v>0</v>
      </c>
      <c r="K602" s="2">
        <v>22621</v>
      </c>
      <c r="L602" s="2">
        <v>21279</v>
      </c>
      <c r="M602" s="2">
        <v>19072</v>
      </c>
      <c r="N602" s="2">
        <v>7636</v>
      </c>
      <c r="O602" s="2">
        <v>0</v>
      </c>
      <c r="Q602" s="2">
        <v>24015</v>
      </c>
      <c r="R602" s="2">
        <v>-20658</v>
      </c>
      <c r="S602" s="2">
        <v>2911</v>
      </c>
      <c r="T602" s="2">
        <v>3789</v>
      </c>
      <c r="U602" s="2">
        <v>0</v>
      </c>
      <c r="W602" s="2">
        <v>27053</v>
      </c>
      <c r="X602" s="2">
        <v>22163</v>
      </c>
      <c r="Y602" s="2">
        <v>17993</v>
      </c>
      <c r="Z602" s="2">
        <v>0</v>
      </c>
      <c r="AA602" s="2">
        <v>0</v>
      </c>
      <c r="AC602" s="2">
        <v>1811</v>
      </c>
      <c r="AD602" s="2">
        <v>1811</v>
      </c>
      <c r="AE602" s="2">
        <v>1811</v>
      </c>
      <c r="AF602" s="2">
        <v>1809</v>
      </c>
      <c r="AG602" s="2">
        <v>0</v>
      </c>
      <c r="AI602" s="2">
        <v>-5064</v>
      </c>
      <c r="AJ602" s="2">
        <v>-3812</v>
      </c>
      <c r="AK602" s="2">
        <v>-1402</v>
      </c>
      <c r="AL602" s="2">
        <v>0</v>
      </c>
      <c r="AM602" s="2">
        <v>0</v>
      </c>
    </row>
    <row r="603" spans="1:39">
      <c r="A603" s="335">
        <v>96381</v>
      </c>
      <c r="B603" s="328" t="s">
        <v>1294</v>
      </c>
      <c r="C603" s="239">
        <v>3.2799999999999998E-5</v>
      </c>
      <c r="E603" s="2">
        <v>15978</v>
      </c>
      <c r="F603" s="2">
        <v>4897</v>
      </c>
      <c r="G603" s="2">
        <v>8591</v>
      </c>
      <c r="H603" s="2">
        <v>2003</v>
      </c>
      <c r="I603" s="2">
        <v>0</v>
      </c>
      <c r="K603" s="2">
        <v>4914</v>
      </c>
      <c r="L603" s="2">
        <v>4622</v>
      </c>
      <c r="M603" s="2">
        <v>4143</v>
      </c>
      <c r="N603" s="2">
        <v>1659</v>
      </c>
      <c r="O603" s="2">
        <v>0</v>
      </c>
      <c r="Q603" s="2">
        <v>5217</v>
      </c>
      <c r="R603" s="2">
        <v>-4487</v>
      </c>
      <c r="S603" s="2">
        <v>632</v>
      </c>
      <c r="T603" s="2">
        <v>823</v>
      </c>
      <c r="U603" s="2">
        <v>0</v>
      </c>
      <c r="W603" s="2">
        <v>5877</v>
      </c>
      <c r="X603" s="2">
        <v>4814</v>
      </c>
      <c r="Y603" s="2">
        <v>3908</v>
      </c>
      <c r="Z603" s="2">
        <v>0</v>
      </c>
      <c r="AA603" s="2">
        <v>0</v>
      </c>
      <c r="AC603" s="2">
        <v>448</v>
      </c>
      <c r="AD603" s="2">
        <v>426</v>
      </c>
      <c r="AE603" s="2">
        <v>386</v>
      </c>
      <c r="AF603" s="2">
        <v>0</v>
      </c>
      <c r="AG603" s="2">
        <v>0</v>
      </c>
      <c r="AI603" s="2">
        <v>-478</v>
      </c>
      <c r="AJ603" s="2">
        <v>-478</v>
      </c>
      <c r="AK603" s="2">
        <v>-478</v>
      </c>
      <c r="AL603" s="2">
        <v>-479</v>
      </c>
      <c r="AM603" s="2">
        <v>0</v>
      </c>
    </row>
    <row r="604" spans="1:39">
      <c r="A604" s="335">
        <v>96391</v>
      </c>
      <c r="B604" s="328" t="s">
        <v>1295</v>
      </c>
      <c r="C604" s="239">
        <v>2.0560000000000001E-4</v>
      </c>
      <c r="E604" s="2">
        <v>88900</v>
      </c>
      <c r="F604" s="2">
        <v>22714</v>
      </c>
      <c r="G604" s="2">
        <v>46127</v>
      </c>
      <c r="H604" s="2">
        <v>9824</v>
      </c>
      <c r="I604" s="2">
        <v>0</v>
      </c>
      <c r="K604" s="2">
        <v>30800</v>
      </c>
      <c r="L604" s="2">
        <v>28973</v>
      </c>
      <c r="M604" s="2">
        <v>25968</v>
      </c>
      <c r="N604" s="2">
        <v>10397</v>
      </c>
      <c r="O604" s="2">
        <v>0</v>
      </c>
      <c r="Q604" s="2">
        <v>32699</v>
      </c>
      <c r="R604" s="2">
        <v>-28127</v>
      </c>
      <c r="S604" s="2">
        <v>3964</v>
      </c>
      <c r="T604" s="2">
        <v>5159</v>
      </c>
      <c r="U604" s="2">
        <v>0</v>
      </c>
      <c r="W604" s="2">
        <v>36836</v>
      </c>
      <c r="X604" s="2">
        <v>30177</v>
      </c>
      <c r="Y604" s="2">
        <v>24499</v>
      </c>
      <c r="Z604" s="2">
        <v>0</v>
      </c>
      <c r="AA604" s="2">
        <v>0</v>
      </c>
      <c r="AC604" s="2">
        <v>0</v>
      </c>
      <c r="AD604" s="2">
        <v>0</v>
      </c>
      <c r="AE604" s="2">
        <v>0</v>
      </c>
      <c r="AF604" s="2">
        <v>0</v>
      </c>
      <c r="AG604" s="2">
        <v>0</v>
      </c>
      <c r="AI604" s="2">
        <v>-11435</v>
      </c>
      <c r="AJ604" s="2">
        <v>-8309</v>
      </c>
      <c r="AK604" s="2">
        <v>-8304</v>
      </c>
      <c r="AL604" s="2">
        <v>-5732</v>
      </c>
      <c r="AM604" s="2">
        <v>0</v>
      </c>
    </row>
    <row r="605" spans="1:39">
      <c r="A605" s="335">
        <v>96401</v>
      </c>
      <c r="B605" s="328" t="s">
        <v>1296</v>
      </c>
      <c r="C605" s="239">
        <v>4.3956000000000004E-3</v>
      </c>
      <c r="E605" s="2">
        <v>2087137</v>
      </c>
      <c r="F605" s="2">
        <v>608895</v>
      </c>
      <c r="G605" s="2">
        <v>1124490</v>
      </c>
      <c r="H605" s="2">
        <v>319497</v>
      </c>
      <c r="I605" s="2">
        <v>0</v>
      </c>
      <c r="K605" s="2">
        <v>658492</v>
      </c>
      <c r="L605" s="2">
        <v>619428</v>
      </c>
      <c r="M605" s="2">
        <v>555186</v>
      </c>
      <c r="N605" s="2">
        <v>222290</v>
      </c>
      <c r="O605" s="2">
        <v>0</v>
      </c>
      <c r="Q605" s="2">
        <v>699081</v>
      </c>
      <c r="R605" s="2">
        <v>-601340</v>
      </c>
      <c r="S605" s="2">
        <v>84752</v>
      </c>
      <c r="T605" s="2">
        <v>110303</v>
      </c>
      <c r="U605" s="2">
        <v>0</v>
      </c>
      <c r="W605" s="2">
        <v>787524</v>
      </c>
      <c r="X605" s="2">
        <v>645169</v>
      </c>
      <c r="Y605" s="2">
        <v>523767</v>
      </c>
      <c r="Z605" s="2">
        <v>0</v>
      </c>
      <c r="AA605" s="2">
        <v>0</v>
      </c>
      <c r="AC605" s="2">
        <v>0</v>
      </c>
      <c r="AD605" s="2">
        <v>0</v>
      </c>
      <c r="AE605" s="2">
        <v>0</v>
      </c>
      <c r="AF605" s="2">
        <v>0</v>
      </c>
      <c r="AG605" s="2">
        <v>0</v>
      </c>
      <c r="AI605" s="2">
        <v>-57960</v>
      </c>
      <c r="AJ605" s="2">
        <v>-54362</v>
      </c>
      <c r="AK605" s="2">
        <v>-39215</v>
      </c>
      <c r="AL605" s="2">
        <v>-13096</v>
      </c>
      <c r="AM605" s="2">
        <v>0</v>
      </c>
    </row>
    <row r="606" spans="1:39">
      <c r="A606" s="335">
        <v>96404</v>
      </c>
      <c r="B606" s="328" t="s">
        <v>1297</v>
      </c>
      <c r="C606" s="239">
        <v>9.8300000000000004E-5</v>
      </c>
      <c r="E606" s="2">
        <v>58561</v>
      </c>
      <c r="F606" s="2">
        <v>22720</v>
      </c>
      <c r="G606" s="2">
        <v>31125</v>
      </c>
      <c r="H606" s="2">
        <v>10236</v>
      </c>
      <c r="I606" s="2">
        <v>0</v>
      </c>
      <c r="K606" s="2">
        <v>14726</v>
      </c>
      <c r="L606" s="2">
        <v>13852</v>
      </c>
      <c r="M606" s="2">
        <v>12416</v>
      </c>
      <c r="N606" s="2">
        <v>4971</v>
      </c>
      <c r="O606" s="2">
        <v>0</v>
      </c>
      <c r="Q606" s="2">
        <v>15634</v>
      </c>
      <c r="R606" s="2">
        <v>-13448</v>
      </c>
      <c r="S606" s="2">
        <v>1895</v>
      </c>
      <c r="T606" s="2">
        <v>2467</v>
      </c>
      <c r="U606" s="2">
        <v>0</v>
      </c>
      <c r="W606" s="2">
        <v>17612</v>
      </c>
      <c r="X606" s="2">
        <v>14428</v>
      </c>
      <c r="Y606" s="2">
        <v>11713</v>
      </c>
      <c r="Z606" s="2">
        <v>0</v>
      </c>
      <c r="AA606" s="2">
        <v>0</v>
      </c>
      <c r="AC606" s="2">
        <v>10589</v>
      </c>
      <c r="AD606" s="2">
        <v>7888</v>
      </c>
      <c r="AE606" s="2">
        <v>5101</v>
      </c>
      <c r="AF606" s="2">
        <v>2798</v>
      </c>
      <c r="AG606" s="2">
        <v>0</v>
      </c>
      <c r="AI606" s="2">
        <v>0</v>
      </c>
      <c r="AJ606" s="2">
        <v>0</v>
      </c>
      <c r="AK606" s="2">
        <v>0</v>
      </c>
      <c r="AL606" s="2">
        <v>0</v>
      </c>
      <c r="AM606" s="2">
        <v>0</v>
      </c>
    </row>
    <row r="607" spans="1:39">
      <c r="A607" s="335">
        <v>96405</v>
      </c>
      <c r="B607" s="328" t="s">
        <v>1298</v>
      </c>
      <c r="C607" s="239">
        <v>1.4569999999999999E-4</v>
      </c>
      <c r="E607" s="2">
        <v>76913</v>
      </c>
      <c r="F607" s="2">
        <v>27942</v>
      </c>
      <c r="G607" s="2">
        <v>44742</v>
      </c>
      <c r="H607" s="2">
        <v>17350</v>
      </c>
      <c r="I607" s="2">
        <v>0</v>
      </c>
      <c r="K607" s="2">
        <v>21827</v>
      </c>
      <c r="L607" s="2">
        <v>20532</v>
      </c>
      <c r="M607" s="2">
        <v>18403</v>
      </c>
      <c r="N607" s="2">
        <v>7368</v>
      </c>
      <c r="O607" s="2">
        <v>0</v>
      </c>
      <c r="Q607" s="2">
        <v>23172</v>
      </c>
      <c r="R607" s="2">
        <v>-19932</v>
      </c>
      <c r="S607" s="2">
        <v>2809</v>
      </c>
      <c r="T607" s="2">
        <v>3656</v>
      </c>
      <c r="U607" s="2">
        <v>0</v>
      </c>
      <c r="W607" s="2">
        <v>26104</v>
      </c>
      <c r="X607" s="2">
        <v>21385</v>
      </c>
      <c r="Y607" s="2">
        <v>17361</v>
      </c>
      <c r="Z607" s="2">
        <v>0</v>
      </c>
      <c r="AA607" s="2">
        <v>0</v>
      </c>
      <c r="AC607" s="2">
        <v>6325</v>
      </c>
      <c r="AD607" s="2">
        <v>6325</v>
      </c>
      <c r="AE607" s="2">
        <v>6325</v>
      </c>
      <c r="AF607" s="2">
        <v>6326</v>
      </c>
      <c r="AG607" s="2">
        <v>0</v>
      </c>
      <c r="AI607" s="2">
        <v>-515</v>
      </c>
      <c r="AJ607" s="2">
        <v>-368</v>
      </c>
      <c r="AK607" s="2">
        <v>-156</v>
      </c>
      <c r="AL607" s="2">
        <v>0</v>
      </c>
      <c r="AM607" s="2">
        <v>0</v>
      </c>
    </row>
    <row r="608" spans="1:39">
      <c r="A608" s="335">
        <v>96411</v>
      </c>
      <c r="B608" s="328" t="s">
        <v>1299</v>
      </c>
      <c r="C608" s="239">
        <v>7.0900000000000002E-5</v>
      </c>
      <c r="E608" s="2">
        <v>33757</v>
      </c>
      <c r="F608" s="2">
        <v>10730</v>
      </c>
      <c r="G608" s="2">
        <v>17050</v>
      </c>
      <c r="H608" s="2">
        <v>4601</v>
      </c>
      <c r="I608" s="2">
        <v>0</v>
      </c>
      <c r="K608" s="2">
        <v>10621</v>
      </c>
      <c r="L608" s="2">
        <v>9991</v>
      </c>
      <c r="M608" s="2">
        <v>8955</v>
      </c>
      <c r="N608" s="2">
        <v>3585</v>
      </c>
      <c r="O608" s="2">
        <v>0</v>
      </c>
      <c r="Q608" s="2">
        <v>11276</v>
      </c>
      <c r="R608" s="2">
        <v>-9699</v>
      </c>
      <c r="S608" s="2">
        <v>1367</v>
      </c>
      <c r="T608" s="2">
        <v>1779</v>
      </c>
      <c r="U608" s="2">
        <v>0</v>
      </c>
      <c r="W608" s="2">
        <v>12703</v>
      </c>
      <c r="X608" s="2">
        <v>10406</v>
      </c>
      <c r="Y608" s="2">
        <v>8448</v>
      </c>
      <c r="Z608" s="2">
        <v>0</v>
      </c>
      <c r="AA608" s="2">
        <v>0</v>
      </c>
      <c r="AC608" s="2">
        <v>1750</v>
      </c>
      <c r="AD608" s="2">
        <v>1750</v>
      </c>
      <c r="AE608" s="2">
        <v>0</v>
      </c>
      <c r="AF608" s="2">
        <v>0</v>
      </c>
      <c r="AG608" s="2">
        <v>0</v>
      </c>
      <c r="AI608" s="2">
        <v>-2593</v>
      </c>
      <c r="AJ608" s="2">
        <v>-1718</v>
      </c>
      <c r="AK608" s="2">
        <v>-1720</v>
      </c>
      <c r="AL608" s="2">
        <v>-763</v>
      </c>
      <c r="AM608" s="2">
        <v>0</v>
      </c>
    </row>
    <row r="609" spans="1:39">
      <c r="A609" s="335">
        <v>96421</v>
      </c>
      <c r="B609" s="328" t="s">
        <v>1300</v>
      </c>
      <c r="C609" s="239">
        <v>3.8010000000000002E-4</v>
      </c>
      <c r="E609" s="2">
        <v>152832</v>
      </c>
      <c r="F609" s="2">
        <v>33232</v>
      </c>
      <c r="G609" s="2">
        <v>82028</v>
      </c>
      <c r="H609" s="2">
        <v>14405</v>
      </c>
      <c r="I609" s="2">
        <v>0</v>
      </c>
      <c r="K609" s="2">
        <v>56942</v>
      </c>
      <c r="L609" s="2">
        <v>53564</v>
      </c>
      <c r="M609" s="2">
        <v>48009</v>
      </c>
      <c r="N609" s="2">
        <v>19222</v>
      </c>
      <c r="O609" s="2">
        <v>0</v>
      </c>
      <c r="Q609" s="2">
        <v>60451</v>
      </c>
      <c r="R609" s="2">
        <v>-52000</v>
      </c>
      <c r="S609" s="2">
        <v>7329</v>
      </c>
      <c r="T609" s="2">
        <v>9538</v>
      </c>
      <c r="U609" s="2">
        <v>0</v>
      </c>
      <c r="W609" s="2">
        <v>68099</v>
      </c>
      <c r="X609" s="2">
        <v>55790</v>
      </c>
      <c r="Y609" s="2">
        <v>45292</v>
      </c>
      <c r="Z609" s="2">
        <v>0</v>
      </c>
      <c r="AA609" s="2">
        <v>0</v>
      </c>
      <c r="AC609" s="2">
        <v>0</v>
      </c>
      <c r="AD609" s="2">
        <v>0</v>
      </c>
      <c r="AE609" s="2">
        <v>0</v>
      </c>
      <c r="AF609" s="2">
        <v>0</v>
      </c>
      <c r="AG609" s="2">
        <v>0</v>
      </c>
      <c r="AI609" s="2">
        <v>-32660</v>
      </c>
      <c r="AJ609" s="2">
        <v>-24122</v>
      </c>
      <c r="AK609" s="2">
        <v>-18602</v>
      </c>
      <c r="AL609" s="2">
        <v>-14355</v>
      </c>
      <c r="AM609" s="2">
        <v>0</v>
      </c>
    </row>
    <row r="610" spans="1:39">
      <c r="A610" s="335">
        <v>96431</v>
      </c>
      <c r="B610" s="328" t="s">
        <v>1301</v>
      </c>
      <c r="C610" s="239">
        <v>3.3599999999999997E-5</v>
      </c>
      <c r="E610" s="2">
        <v>17555</v>
      </c>
      <c r="F610" s="2">
        <v>4337</v>
      </c>
      <c r="G610" s="2">
        <v>10065</v>
      </c>
      <c r="H610" s="2">
        <v>4518</v>
      </c>
      <c r="I610" s="2">
        <v>0</v>
      </c>
      <c r="K610" s="2">
        <v>5034</v>
      </c>
      <c r="L610" s="2">
        <v>4735</v>
      </c>
      <c r="M610" s="2">
        <v>4244</v>
      </c>
      <c r="N610" s="2">
        <v>1699</v>
      </c>
      <c r="O610" s="2">
        <v>0</v>
      </c>
      <c r="Q610" s="2">
        <v>5344</v>
      </c>
      <c r="R610" s="2">
        <v>-4597</v>
      </c>
      <c r="S610" s="2">
        <v>648</v>
      </c>
      <c r="T610" s="2">
        <v>843</v>
      </c>
      <c r="U610" s="2">
        <v>0</v>
      </c>
      <c r="W610" s="2">
        <v>6020</v>
      </c>
      <c r="X610" s="2">
        <v>4932</v>
      </c>
      <c r="Y610" s="2">
        <v>4004</v>
      </c>
      <c r="Z610" s="2">
        <v>0</v>
      </c>
      <c r="AA610" s="2">
        <v>0</v>
      </c>
      <c r="AC610" s="2">
        <v>3864</v>
      </c>
      <c r="AD610" s="2">
        <v>1976</v>
      </c>
      <c r="AE610" s="2">
        <v>1976</v>
      </c>
      <c r="AF610" s="2">
        <v>1976</v>
      </c>
      <c r="AG610" s="2">
        <v>0</v>
      </c>
      <c r="AI610" s="2">
        <v>-2707</v>
      </c>
      <c r="AJ610" s="2">
        <v>-2709</v>
      </c>
      <c r="AK610" s="2">
        <v>-807</v>
      </c>
      <c r="AL610" s="2">
        <v>0</v>
      </c>
      <c r="AM610" s="2">
        <v>0</v>
      </c>
    </row>
    <row r="611" spans="1:39">
      <c r="A611" s="335">
        <v>96441</v>
      </c>
      <c r="B611" s="328" t="s">
        <v>1302</v>
      </c>
      <c r="C611" s="239">
        <v>1.8499999999999999E-5</v>
      </c>
      <c r="E611" s="2">
        <v>8790</v>
      </c>
      <c r="F611" s="2">
        <v>2580</v>
      </c>
      <c r="G611" s="2">
        <v>3924</v>
      </c>
      <c r="H611" s="2">
        <v>401</v>
      </c>
      <c r="I611" s="2">
        <v>0</v>
      </c>
      <c r="K611" s="2">
        <v>2771</v>
      </c>
      <c r="L611" s="2">
        <v>2607</v>
      </c>
      <c r="M611" s="2">
        <v>2337</v>
      </c>
      <c r="N611" s="2">
        <v>936</v>
      </c>
      <c r="O611" s="2">
        <v>0</v>
      </c>
      <c r="Q611" s="2">
        <v>2942</v>
      </c>
      <c r="R611" s="2">
        <v>-2531</v>
      </c>
      <c r="S611" s="2">
        <v>357</v>
      </c>
      <c r="T611" s="2">
        <v>464</v>
      </c>
      <c r="U611" s="2">
        <v>0</v>
      </c>
      <c r="W611" s="2">
        <v>3314</v>
      </c>
      <c r="X611" s="2">
        <v>2715</v>
      </c>
      <c r="Y611" s="2">
        <v>2204</v>
      </c>
      <c r="Z611" s="2">
        <v>0</v>
      </c>
      <c r="AA611" s="2">
        <v>0</v>
      </c>
      <c r="AC611" s="2">
        <v>789</v>
      </c>
      <c r="AD611" s="2">
        <v>789</v>
      </c>
      <c r="AE611" s="2">
        <v>26</v>
      </c>
      <c r="AF611" s="2">
        <v>0</v>
      </c>
      <c r="AG611" s="2">
        <v>0</v>
      </c>
      <c r="AI611" s="2">
        <v>-1026</v>
      </c>
      <c r="AJ611" s="2">
        <v>-1000</v>
      </c>
      <c r="AK611" s="2">
        <v>-1000</v>
      </c>
      <c r="AL611" s="2">
        <v>-999</v>
      </c>
      <c r="AM611" s="2">
        <v>0</v>
      </c>
    </row>
    <row r="612" spans="1:39">
      <c r="A612" s="335">
        <v>96451</v>
      </c>
      <c r="B612" s="328" t="s">
        <v>1303</v>
      </c>
      <c r="C612" s="239">
        <v>7.4000000000000003E-6</v>
      </c>
      <c r="E612" s="2">
        <v>3381</v>
      </c>
      <c r="F612" s="2">
        <v>80</v>
      </c>
      <c r="G612" s="2">
        <v>-16</v>
      </c>
      <c r="H612" s="2">
        <v>-1009</v>
      </c>
      <c r="I612" s="2">
        <v>0</v>
      </c>
      <c r="K612" s="2">
        <v>1109</v>
      </c>
      <c r="L612" s="2">
        <v>1043</v>
      </c>
      <c r="M612" s="2">
        <v>935</v>
      </c>
      <c r="N612" s="2">
        <v>374</v>
      </c>
      <c r="O612" s="2">
        <v>0</v>
      </c>
      <c r="Q612" s="2">
        <v>1177</v>
      </c>
      <c r="R612" s="2">
        <v>-1012</v>
      </c>
      <c r="S612" s="2">
        <v>143</v>
      </c>
      <c r="T612" s="2">
        <v>186</v>
      </c>
      <c r="U612" s="2">
        <v>0</v>
      </c>
      <c r="W612" s="2">
        <v>1326</v>
      </c>
      <c r="X612" s="2">
        <v>1086</v>
      </c>
      <c r="Y612" s="2">
        <v>882</v>
      </c>
      <c r="Z612" s="2">
        <v>0</v>
      </c>
      <c r="AA612" s="2">
        <v>0</v>
      </c>
      <c r="AC612" s="2">
        <v>1745</v>
      </c>
      <c r="AD612" s="2">
        <v>939</v>
      </c>
      <c r="AE612" s="2">
        <v>0</v>
      </c>
      <c r="AF612" s="2">
        <v>0</v>
      </c>
      <c r="AG612" s="2">
        <v>0</v>
      </c>
      <c r="AI612" s="2">
        <v>-1976</v>
      </c>
      <c r="AJ612" s="2">
        <v>-1976</v>
      </c>
      <c r="AK612" s="2">
        <v>-1976</v>
      </c>
      <c r="AL612" s="2">
        <v>-1569</v>
      </c>
      <c r="AM612" s="2">
        <v>0</v>
      </c>
    </row>
    <row r="613" spans="1:39">
      <c r="A613" s="335">
        <v>96461</v>
      </c>
      <c r="B613" s="328" t="s">
        <v>1304</v>
      </c>
      <c r="C613" s="239">
        <v>1.361E-4</v>
      </c>
      <c r="E613" s="2">
        <v>61941</v>
      </c>
      <c r="F613" s="2">
        <v>18390</v>
      </c>
      <c r="G613" s="2">
        <v>33260</v>
      </c>
      <c r="H613" s="2">
        <v>5007</v>
      </c>
      <c r="I613" s="2">
        <v>0</v>
      </c>
      <c r="K613" s="2">
        <v>20389</v>
      </c>
      <c r="L613" s="2">
        <v>19179</v>
      </c>
      <c r="M613" s="2">
        <v>17190</v>
      </c>
      <c r="N613" s="2">
        <v>6883</v>
      </c>
      <c r="O613" s="2">
        <v>0</v>
      </c>
      <c r="Q613" s="2">
        <v>21645</v>
      </c>
      <c r="R613" s="2">
        <v>-18619</v>
      </c>
      <c r="S613" s="2">
        <v>2624</v>
      </c>
      <c r="T613" s="2">
        <v>3415</v>
      </c>
      <c r="U613" s="2">
        <v>0</v>
      </c>
      <c r="W613" s="2">
        <v>24384</v>
      </c>
      <c r="X613" s="2">
        <v>19976</v>
      </c>
      <c r="Y613" s="2">
        <v>16217</v>
      </c>
      <c r="Z613" s="2">
        <v>0</v>
      </c>
      <c r="AA613" s="2">
        <v>0</v>
      </c>
      <c r="AC613" s="2">
        <v>3142</v>
      </c>
      <c r="AD613" s="2">
        <v>3144</v>
      </c>
      <c r="AE613" s="2">
        <v>2519</v>
      </c>
      <c r="AF613" s="2">
        <v>0</v>
      </c>
      <c r="AG613" s="2">
        <v>0</v>
      </c>
      <c r="AI613" s="2">
        <v>-7619</v>
      </c>
      <c r="AJ613" s="2">
        <v>-5290</v>
      </c>
      <c r="AK613" s="2">
        <v>-5290</v>
      </c>
      <c r="AL613" s="2">
        <v>-5291</v>
      </c>
      <c r="AM613" s="2">
        <v>0</v>
      </c>
    </row>
    <row r="614" spans="1:39">
      <c r="A614" s="335">
        <v>96501</v>
      </c>
      <c r="B614" s="328" t="s">
        <v>1305</v>
      </c>
      <c r="C614" s="239">
        <v>1.46477E-2</v>
      </c>
      <c r="E614" s="2">
        <v>7061393</v>
      </c>
      <c r="F614" s="2">
        <v>2211458</v>
      </c>
      <c r="G614" s="2">
        <v>3875045</v>
      </c>
      <c r="H614" s="2">
        <v>1128076</v>
      </c>
      <c r="I614" s="2">
        <v>0</v>
      </c>
      <c r="K614" s="2">
        <v>2194328</v>
      </c>
      <c r="L614" s="2">
        <v>2064154</v>
      </c>
      <c r="M614" s="2">
        <v>1850078</v>
      </c>
      <c r="N614" s="2">
        <v>740749</v>
      </c>
      <c r="O614" s="2">
        <v>0</v>
      </c>
      <c r="Q614" s="2">
        <v>2329585</v>
      </c>
      <c r="R614" s="2">
        <v>-2003879</v>
      </c>
      <c r="S614" s="2">
        <v>282422</v>
      </c>
      <c r="T614" s="2">
        <v>367569</v>
      </c>
      <c r="U614" s="2">
        <v>0</v>
      </c>
      <c r="W614" s="2">
        <v>2624311</v>
      </c>
      <c r="X614" s="2">
        <v>2149931</v>
      </c>
      <c r="Y614" s="2">
        <v>1745376</v>
      </c>
      <c r="Z614" s="2">
        <v>0</v>
      </c>
      <c r="AA614" s="2">
        <v>0</v>
      </c>
      <c r="AC614" s="2">
        <v>23841</v>
      </c>
      <c r="AD614" s="2">
        <v>23840</v>
      </c>
      <c r="AE614" s="2">
        <v>19758</v>
      </c>
      <c r="AF614" s="2">
        <v>19758</v>
      </c>
      <c r="AG614" s="2">
        <v>0</v>
      </c>
      <c r="AI614" s="2">
        <v>-110672</v>
      </c>
      <c r="AJ614" s="2">
        <v>-22588</v>
      </c>
      <c r="AK614" s="2">
        <v>-22589</v>
      </c>
      <c r="AL614" s="2">
        <v>0</v>
      </c>
      <c r="AM614" s="2">
        <v>0</v>
      </c>
    </row>
    <row r="615" spans="1:39">
      <c r="A615" s="335">
        <v>96502</v>
      </c>
      <c r="B615" s="328" t="s">
        <v>2765</v>
      </c>
      <c r="C615" s="239">
        <v>4.082E-4</v>
      </c>
      <c r="E615" s="2">
        <v>207983</v>
      </c>
      <c r="F615" s="2">
        <v>65922</v>
      </c>
      <c r="G615" s="2">
        <v>111525</v>
      </c>
      <c r="H615" s="2">
        <v>34281</v>
      </c>
      <c r="I615" s="2">
        <v>0</v>
      </c>
      <c r="K615" s="2">
        <v>61151</v>
      </c>
      <c r="L615" s="2">
        <v>57524</v>
      </c>
      <c r="M615" s="2">
        <v>51558</v>
      </c>
      <c r="N615" s="2">
        <v>20643</v>
      </c>
      <c r="O615" s="2">
        <v>0</v>
      </c>
      <c r="Q615" s="2">
        <v>64921</v>
      </c>
      <c r="R615" s="2">
        <v>-55844</v>
      </c>
      <c r="S615" s="2">
        <v>7871</v>
      </c>
      <c r="T615" s="2">
        <v>10243</v>
      </c>
      <c r="U615" s="2">
        <v>0</v>
      </c>
      <c r="W615" s="2">
        <v>73134</v>
      </c>
      <c r="X615" s="2">
        <v>59914</v>
      </c>
      <c r="Y615" s="2">
        <v>48640</v>
      </c>
      <c r="Z615" s="2">
        <v>0</v>
      </c>
      <c r="AA615" s="2">
        <v>0</v>
      </c>
      <c r="AC615" s="2">
        <v>8777</v>
      </c>
      <c r="AD615" s="2">
        <v>4328</v>
      </c>
      <c r="AE615" s="2">
        <v>3456</v>
      </c>
      <c r="AF615" s="2">
        <v>3395</v>
      </c>
      <c r="AG615" s="2">
        <v>0</v>
      </c>
      <c r="AI615" s="2">
        <v>0</v>
      </c>
      <c r="AJ615" s="2">
        <v>0</v>
      </c>
      <c r="AK615" s="2">
        <v>0</v>
      </c>
      <c r="AL615" s="2">
        <v>0</v>
      </c>
      <c r="AM615" s="2">
        <v>0</v>
      </c>
    </row>
    <row r="616" spans="1:39">
      <c r="A616" s="335">
        <v>96503</v>
      </c>
      <c r="B616" s="328" t="s">
        <v>1307</v>
      </c>
      <c r="C616" s="239">
        <v>3.1940000000000001E-4</v>
      </c>
      <c r="E616" s="2">
        <v>286524</v>
      </c>
      <c r="F616" s="2">
        <v>155261</v>
      </c>
      <c r="G616" s="2">
        <v>166570</v>
      </c>
      <c r="H616" s="2">
        <v>72698</v>
      </c>
      <c r="I616" s="2">
        <v>0</v>
      </c>
      <c r="K616" s="2">
        <v>47848</v>
      </c>
      <c r="L616" s="2">
        <v>45010</v>
      </c>
      <c r="M616" s="2">
        <v>40342</v>
      </c>
      <c r="N616" s="2">
        <v>16152</v>
      </c>
      <c r="O616" s="2">
        <v>0</v>
      </c>
      <c r="Q616" s="2">
        <v>50798</v>
      </c>
      <c r="R616" s="2">
        <v>-43696</v>
      </c>
      <c r="S616" s="2">
        <v>6158</v>
      </c>
      <c r="T616" s="2">
        <v>8015</v>
      </c>
      <c r="U616" s="2">
        <v>0</v>
      </c>
      <c r="W616" s="2">
        <v>57224</v>
      </c>
      <c r="X616" s="2">
        <v>46880</v>
      </c>
      <c r="Y616" s="2">
        <v>38059</v>
      </c>
      <c r="Z616" s="2">
        <v>0</v>
      </c>
      <c r="AA616" s="2">
        <v>0</v>
      </c>
      <c r="AC616" s="2">
        <v>130654</v>
      </c>
      <c r="AD616" s="2">
        <v>107067</v>
      </c>
      <c r="AE616" s="2">
        <v>82011</v>
      </c>
      <c r="AF616" s="2">
        <v>48531</v>
      </c>
      <c r="AG616" s="2">
        <v>0</v>
      </c>
      <c r="AI616" s="2">
        <v>0</v>
      </c>
      <c r="AJ616" s="2">
        <v>0</v>
      </c>
      <c r="AK616" s="2">
        <v>0</v>
      </c>
      <c r="AL616" s="2">
        <v>0</v>
      </c>
      <c r="AM616" s="2">
        <v>0</v>
      </c>
    </row>
    <row r="617" spans="1:39">
      <c r="A617" s="335">
        <v>96504</v>
      </c>
      <c r="B617" s="328" t="s">
        <v>1308</v>
      </c>
      <c r="C617" s="239">
        <v>4.3649999999999998E-4</v>
      </c>
      <c r="E617" s="2">
        <v>225914</v>
      </c>
      <c r="F617" s="2">
        <v>80029</v>
      </c>
      <c r="G617" s="2">
        <v>120499</v>
      </c>
      <c r="H617" s="2">
        <v>38145</v>
      </c>
      <c r="I617" s="2">
        <v>0</v>
      </c>
      <c r="K617" s="2">
        <v>65391</v>
      </c>
      <c r="L617" s="2">
        <v>61512</v>
      </c>
      <c r="M617" s="2">
        <v>55132</v>
      </c>
      <c r="N617" s="2">
        <v>22074</v>
      </c>
      <c r="O617" s="2">
        <v>0</v>
      </c>
      <c r="Q617" s="2">
        <v>69421</v>
      </c>
      <c r="R617" s="2">
        <v>-59715</v>
      </c>
      <c r="S617" s="2">
        <v>8416</v>
      </c>
      <c r="T617" s="2">
        <v>10954</v>
      </c>
      <c r="U617" s="2">
        <v>0</v>
      </c>
      <c r="W617" s="2">
        <v>78204</v>
      </c>
      <c r="X617" s="2">
        <v>64068</v>
      </c>
      <c r="Y617" s="2">
        <v>52012</v>
      </c>
      <c r="Z617" s="2">
        <v>0</v>
      </c>
      <c r="AA617" s="2">
        <v>0</v>
      </c>
      <c r="AC617" s="2">
        <v>14338</v>
      </c>
      <c r="AD617" s="2">
        <v>14340</v>
      </c>
      <c r="AE617" s="2">
        <v>5115</v>
      </c>
      <c r="AF617" s="2">
        <v>5117</v>
      </c>
      <c r="AG617" s="2">
        <v>0</v>
      </c>
      <c r="AI617" s="2">
        <v>-1440</v>
      </c>
      <c r="AJ617" s="2">
        <v>-176</v>
      </c>
      <c r="AK617" s="2">
        <v>-176</v>
      </c>
      <c r="AL617" s="2">
        <v>0</v>
      </c>
      <c r="AM617" s="2">
        <v>0</v>
      </c>
    </row>
    <row r="618" spans="1:39">
      <c r="A618" s="335">
        <v>96507</v>
      </c>
      <c r="B618" s="328" t="s">
        <v>1309</v>
      </c>
      <c r="C618" s="239">
        <v>2.3281999999999999E-3</v>
      </c>
      <c r="E618" s="2">
        <v>1184343</v>
      </c>
      <c r="F618" s="2">
        <v>383553</v>
      </c>
      <c r="G618" s="2">
        <v>654319</v>
      </c>
      <c r="H618" s="2">
        <v>205602</v>
      </c>
      <c r="I618" s="2">
        <v>0</v>
      </c>
      <c r="K618" s="2">
        <v>348781</v>
      </c>
      <c r="L618" s="2">
        <v>328090</v>
      </c>
      <c r="M618" s="2">
        <v>294063</v>
      </c>
      <c r="N618" s="2">
        <v>117739</v>
      </c>
      <c r="O618" s="2">
        <v>0</v>
      </c>
      <c r="Q618" s="2">
        <v>370279</v>
      </c>
      <c r="R618" s="2">
        <v>-318509</v>
      </c>
      <c r="S618" s="2">
        <v>44890</v>
      </c>
      <c r="T618" s="2">
        <v>58424</v>
      </c>
      <c r="U618" s="2">
        <v>0</v>
      </c>
      <c r="W618" s="2">
        <v>417125</v>
      </c>
      <c r="X618" s="2">
        <v>341724</v>
      </c>
      <c r="Y618" s="2">
        <v>277421</v>
      </c>
      <c r="Z618" s="2">
        <v>0</v>
      </c>
      <c r="AA618" s="2">
        <v>0</v>
      </c>
      <c r="AC618" s="2">
        <v>53857</v>
      </c>
      <c r="AD618" s="2">
        <v>37945</v>
      </c>
      <c r="AE618" s="2">
        <v>37945</v>
      </c>
      <c r="AF618" s="2">
        <v>29439</v>
      </c>
      <c r="AG618" s="2">
        <v>0</v>
      </c>
      <c r="AI618" s="2">
        <v>-5699</v>
      </c>
      <c r="AJ618" s="2">
        <v>-5697</v>
      </c>
      <c r="AK618" s="2">
        <v>0</v>
      </c>
      <c r="AL618" s="2">
        <v>0</v>
      </c>
      <c r="AM618" s="2">
        <v>0</v>
      </c>
    </row>
    <row r="619" spans="1:39">
      <c r="A619" s="335">
        <v>96508</v>
      </c>
      <c r="B619" s="328" t="s">
        <v>3709</v>
      </c>
      <c r="C619" s="239">
        <v>5.9000000000000003E-6</v>
      </c>
      <c r="E619" s="2">
        <v>8040</v>
      </c>
      <c r="F619" s="2">
        <v>5067</v>
      </c>
      <c r="G619" s="2">
        <v>4511</v>
      </c>
      <c r="H619" s="2">
        <v>1991</v>
      </c>
      <c r="I619" s="2">
        <v>0</v>
      </c>
      <c r="K619" s="2">
        <v>884</v>
      </c>
      <c r="L619" s="2">
        <v>831</v>
      </c>
      <c r="M619" s="2">
        <v>745</v>
      </c>
      <c r="N619" s="2">
        <v>298</v>
      </c>
      <c r="O619" s="2">
        <v>0</v>
      </c>
      <c r="Q619" s="2">
        <v>938</v>
      </c>
      <c r="R619" s="2">
        <v>-807</v>
      </c>
      <c r="S619" s="2">
        <v>114</v>
      </c>
      <c r="T619" s="2">
        <v>148</v>
      </c>
      <c r="U619" s="2">
        <v>0</v>
      </c>
      <c r="W619" s="2">
        <v>1057</v>
      </c>
      <c r="X619" s="2">
        <v>866</v>
      </c>
      <c r="Y619" s="2">
        <v>703</v>
      </c>
      <c r="Z619" s="2">
        <v>0</v>
      </c>
      <c r="AA619" s="2">
        <v>0</v>
      </c>
      <c r="AC619" s="2">
        <v>5161</v>
      </c>
      <c r="AD619" s="2">
        <v>4177</v>
      </c>
      <c r="AE619" s="2">
        <v>2949</v>
      </c>
      <c r="AF619" s="2">
        <v>1545</v>
      </c>
      <c r="AG619" s="2">
        <v>0</v>
      </c>
      <c r="AI619" s="2">
        <v>0</v>
      </c>
      <c r="AJ619" s="2">
        <v>0</v>
      </c>
      <c r="AK619" s="2">
        <v>0</v>
      </c>
      <c r="AL619" s="2">
        <v>0</v>
      </c>
      <c r="AM619" s="2">
        <v>0</v>
      </c>
    </row>
    <row r="620" spans="1:39">
      <c r="A620" s="335">
        <v>96511</v>
      </c>
      <c r="B620" s="328" t="s">
        <v>1311</v>
      </c>
      <c r="C620" s="239">
        <v>6.0519999999999997E-4</v>
      </c>
      <c r="E620" s="2">
        <v>269176</v>
      </c>
      <c r="F620" s="2">
        <v>82665</v>
      </c>
      <c r="G620" s="2">
        <v>153581</v>
      </c>
      <c r="H620" s="2">
        <v>41438</v>
      </c>
      <c r="I620" s="2">
        <v>0</v>
      </c>
      <c r="K620" s="2">
        <v>90663</v>
      </c>
      <c r="L620" s="2">
        <v>85285</v>
      </c>
      <c r="M620" s="2">
        <v>76440</v>
      </c>
      <c r="N620" s="2">
        <v>30606</v>
      </c>
      <c r="O620" s="2">
        <v>0</v>
      </c>
      <c r="Q620" s="2">
        <v>96252</v>
      </c>
      <c r="R620" s="2">
        <v>-82794</v>
      </c>
      <c r="S620" s="2">
        <v>11669</v>
      </c>
      <c r="T620" s="2">
        <v>15187</v>
      </c>
      <c r="U620" s="2">
        <v>0</v>
      </c>
      <c r="W620" s="2">
        <v>108429</v>
      </c>
      <c r="X620" s="2">
        <v>88829</v>
      </c>
      <c r="Y620" s="2">
        <v>72114</v>
      </c>
      <c r="Z620" s="2">
        <v>0</v>
      </c>
      <c r="AA620" s="2">
        <v>0</v>
      </c>
      <c r="AC620" s="2">
        <v>0</v>
      </c>
      <c r="AD620" s="2">
        <v>0</v>
      </c>
      <c r="AE620" s="2">
        <v>0</v>
      </c>
      <c r="AF620" s="2">
        <v>0</v>
      </c>
      <c r="AG620" s="2">
        <v>0</v>
      </c>
      <c r="AI620" s="2">
        <v>-26168</v>
      </c>
      <c r="AJ620" s="2">
        <v>-8655</v>
      </c>
      <c r="AK620" s="2">
        <v>-6642</v>
      </c>
      <c r="AL620" s="2">
        <v>-4355</v>
      </c>
      <c r="AM620" s="2">
        <v>0</v>
      </c>
    </row>
    <row r="621" spans="1:39">
      <c r="A621" s="335">
        <v>96512</v>
      </c>
      <c r="B621" s="328" t="s">
        <v>1312</v>
      </c>
      <c r="C621" s="239">
        <v>1.528E-4</v>
      </c>
      <c r="E621" s="2">
        <v>74219</v>
      </c>
      <c r="F621" s="2">
        <v>22020</v>
      </c>
      <c r="G621" s="2">
        <v>41908</v>
      </c>
      <c r="H621" s="2">
        <v>11236</v>
      </c>
      <c r="I621" s="2">
        <v>0</v>
      </c>
      <c r="K621" s="2">
        <v>22891</v>
      </c>
      <c r="L621" s="2">
        <v>21533</v>
      </c>
      <c r="M621" s="2">
        <v>19299</v>
      </c>
      <c r="N621" s="2">
        <v>7727</v>
      </c>
      <c r="O621" s="2">
        <v>0</v>
      </c>
      <c r="Q621" s="2">
        <v>24301</v>
      </c>
      <c r="R621" s="2">
        <v>-20904</v>
      </c>
      <c r="S621" s="2">
        <v>2946</v>
      </c>
      <c r="T621" s="2">
        <v>3834</v>
      </c>
      <c r="U621" s="2">
        <v>0</v>
      </c>
      <c r="W621" s="2">
        <v>27376</v>
      </c>
      <c r="X621" s="2">
        <v>22427</v>
      </c>
      <c r="Y621" s="2">
        <v>18207</v>
      </c>
      <c r="Z621" s="2">
        <v>0</v>
      </c>
      <c r="AA621" s="2">
        <v>0</v>
      </c>
      <c r="AC621" s="2">
        <v>2465</v>
      </c>
      <c r="AD621" s="2">
        <v>1777</v>
      </c>
      <c r="AE621" s="2">
        <v>1779</v>
      </c>
      <c r="AF621" s="2">
        <v>0</v>
      </c>
      <c r="AG621" s="2">
        <v>0</v>
      </c>
      <c r="AI621" s="2">
        <v>-2814</v>
      </c>
      <c r="AJ621" s="2">
        <v>-2813</v>
      </c>
      <c r="AK621" s="2">
        <v>-323</v>
      </c>
      <c r="AL621" s="2">
        <v>-325</v>
      </c>
      <c r="AM621" s="2">
        <v>0</v>
      </c>
    </row>
    <row r="622" spans="1:39">
      <c r="A622" s="335">
        <v>96521</v>
      </c>
      <c r="B622" s="328" t="s">
        <v>1313</v>
      </c>
      <c r="C622" s="239">
        <v>9.3479999999999995E-4</v>
      </c>
      <c r="E622" s="2">
        <v>423212</v>
      </c>
      <c r="F622" s="2">
        <v>113250</v>
      </c>
      <c r="G622" s="2">
        <v>221106</v>
      </c>
      <c r="H622" s="2">
        <v>57176</v>
      </c>
      <c r="I622" s="2">
        <v>0</v>
      </c>
      <c r="K622" s="2">
        <v>140040</v>
      </c>
      <c r="L622" s="2">
        <v>131732</v>
      </c>
      <c r="M622" s="2">
        <v>118070</v>
      </c>
      <c r="N622" s="2">
        <v>47274</v>
      </c>
      <c r="O622" s="2">
        <v>0</v>
      </c>
      <c r="Q622" s="2">
        <v>148672</v>
      </c>
      <c r="R622" s="2">
        <v>-127885</v>
      </c>
      <c r="S622" s="2">
        <v>18024</v>
      </c>
      <c r="T622" s="2">
        <v>23458</v>
      </c>
      <c r="U622" s="2">
        <v>0</v>
      </c>
      <c r="W622" s="2">
        <v>167481</v>
      </c>
      <c r="X622" s="2">
        <v>137206</v>
      </c>
      <c r="Y622" s="2">
        <v>111388</v>
      </c>
      <c r="Z622" s="2">
        <v>0</v>
      </c>
      <c r="AA622" s="2">
        <v>0</v>
      </c>
      <c r="AC622" s="2">
        <v>0</v>
      </c>
      <c r="AD622" s="2">
        <v>0</v>
      </c>
      <c r="AE622" s="2">
        <v>0</v>
      </c>
      <c r="AF622" s="2">
        <v>0</v>
      </c>
      <c r="AG622" s="2">
        <v>0</v>
      </c>
      <c r="AI622" s="2">
        <v>-32981</v>
      </c>
      <c r="AJ622" s="2">
        <v>-27803</v>
      </c>
      <c r="AK622" s="2">
        <v>-26376</v>
      </c>
      <c r="AL622" s="2">
        <v>-13556</v>
      </c>
      <c r="AM622" s="2">
        <v>0</v>
      </c>
    </row>
    <row r="623" spans="1:39">
      <c r="A623" s="335">
        <v>96531</v>
      </c>
      <c r="B623" s="328" t="s">
        <v>1314</v>
      </c>
      <c r="C623" s="239">
        <v>8.6105999999999995E-3</v>
      </c>
      <c r="E623" s="2">
        <v>4017961</v>
      </c>
      <c r="F623" s="2">
        <v>1191781</v>
      </c>
      <c r="G623" s="2">
        <v>2208430</v>
      </c>
      <c r="H623" s="2">
        <v>602623</v>
      </c>
      <c r="I623" s="2">
        <v>0</v>
      </c>
      <c r="K623" s="2">
        <v>1289928</v>
      </c>
      <c r="L623" s="2">
        <v>1213406</v>
      </c>
      <c r="M623" s="2">
        <v>1087562</v>
      </c>
      <c r="N623" s="2">
        <v>435447</v>
      </c>
      <c r="O623" s="2">
        <v>0</v>
      </c>
      <c r="Q623" s="2">
        <v>1369438</v>
      </c>
      <c r="R623" s="2">
        <v>-1177973</v>
      </c>
      <c r="S623" s="2">
        <v>166021</v>
      </c>
      <c r="T623" s="2">
        <v>216074</v>
      </c>
      <c r="U623" s="2">
        <v>0</v>
      </c>
      <c r="W623" s="2">
        <v>1542692</v>
      </c>
      <c r="X623" s="2">
        <v>1263829</v>
      </c>
      <c r="Y623" s="2">
        <v>1026013</v>
      </c>
      <c r="Z623" s="2">
        <v>0</v>
      </c>
      <c r="AA623" s="2">
        <v>0</v>
      </c>
      <c r="AC623" s="2">
        <v>0</v>
      </c>
      <c r="AD623" s="2">
        <v>0</v>
      </c>
      <c r="AE623" s="2">
        <v>0</v>
      </c>
      <c r="AF623" s="2">
        <v>0</v>
      </c>
      <c r="AG623" s="2">
        <v>0</v>
      </c>
      <c r="AI623" s="2">
        <v>-184097</v>
      </c>
      <c r="AJ623" s="2">
        <v>-107481</v>
      </c>
      <c r="AK623" s="2">
        <v>-71166</v>
      </c>
      <c r="AL623" s="2">
        <v>-48898</v>
      </c>
      <c r="AM623" s="2">
        <v>0</v>
      </c>
    </row>
    <row r="624" spans="1:39">
      <c r="A624" s="335">
        <v>96541</v>
      </c>
      <c r="B624" s="328" t="s">
        <v>1315</v>
      </c>
      <c r="C624" s="239">
        <v>3.8709999999999998E-4</v>
      </c>
      <c r="E624" s="2">
        <v>193424</v>
      </c>
      <c r="F624" s="2">
        <v>62426</v>
      </c>
      <c r="G624" s="2">
        <v>103487</v>
      </c>
      <c r="H624" s="2">
        <v>31581</v>
      </c>
      <c r="I624" s="2">
        <v>0</v>
      </c>
      <c r="K624" s="2">
        <v>57990</v>
      </c>
      <c r="L624" s="2">
        <v>54550</v>
      </c>
      <c r="M624" s="2">
        <v>48893</v>
      </c>
      <c r="N624" s="2">
        <v>19576</v>
      </c>
      <c r="O624" s="2">
        <v>0</v>
      </c>
      <c r="Q624" s="2">
        <v>61565</v>
      </c>
      <c r="R624" s="2">
        <v>-52957</v>
      </c>
      <c r="S624" s="2">
        <v>7464</v>
      </c>
      <c r="T624" s="2">
        <v>9714</v>
      </c>
      <c r="U624" s="2">
        <v>0</v>
      </c>
      <c r="W624" s="2">
        <v>69354</v>
      </c>
      <c r="X624" s="2">
        <v>56817</v>
      </c>
      <c r="Y624" s="2">
        <v>46126</v>
      </c>
      <c r="Z624" s="2">
        <v>0</v>
      </c>
      <c r="AA624" s="2">
        <v>0</v>
      </c>
      <c r="AC624" s="2">
        <v>5802</v>
      </c>
      <c r="AD624" s="2">
        <v>5303</v>
      </c>
      <c r="AE624" s="2">
        <v>2293</v>
      </c>
      <c r="AF624" s="2">
        <v>2291</v>
      </c>
      <c r="AG624" s="2">
        <v>0</v>
      </c>
      <c r="AI624" s="2">
        <v>-1287</v>
      </c>
      <c r="AJ624" s="2">
        <v>-1287</v>
      </c>
      <c r="AK624" s="2">
        <v>-1289</v>
      </c>
      <c r="AL624" s="2">
        <v>0</v>
      </c>
      <c r="AM624" s="2">
        <v>0</v>
      </c>
    </row>
    <row r="625" spans="1:39">
      <c r="A625" s="335">
        <v>96601</v>
      </c>
      <c r="B625" s="328" t="s">
        <v>1316</v>
      </c>
      <c r="C625" s="239">
        <v>1.7417999999999999E-3</v>
      </c>
      <c r="E625" s="2">
        <v>841098</v>
      </c>
      <c r="F625" s="2">
        <v>252254</v>
      </c>
      <c r="G625" s="2">
        <v>445748</v>
      </c>
      <c r="H625" s="2">
        <v>135479</v>
      </c>
      <c r="I625" s="2">
        <v>0</v>
      </c>
      <c r="K625" s="2">
        <v>260934</v>
      </c>
      <c r="L625" s="2">
        <v>245454</v>
      </c>
      <c r="M625" s="2">
        <v>219998</v>
      </c>
      <c r="N625" s="2">
        <v>88085</v>
      </c>
      <c r="O625" s="2">
        <v>0</v>
      </c>
      <c r="Q625" s="2">
        <v>277018</v>
      </c>
      <c r="R625" s="2">
        <v>-238287</v>
      </c>
      <c r="S625" s="2">
        <v>33584</v>
      </c>
      <c r="T625" s="2">
        <v>43709</v>
      </c>
      <c r="U625" s="2">
        <v>0</v>
      </c>
      <c r="W625" s="2">
        <v>312064</v>
      </c>
      <c r="X625" s="2">
        <v>255654</v>
      </c>
      <c r="Y625" s="2">
        <v>207548</v>
      </c>
      <c r="Z625" s="2">
        <v>0</v>
      </c>
      <c r="AA625" s="2">
        <v>0</v>
      </c>
      <c r="AC625" s="2">
        <v>10146</v>
      </c>
      <c r="AD625" s="2">
        <v>8497</v>
      </c>
      <c r="AE625" s="2">
        <v>3683</v>
      </c>
      <c r="AF625" s="2">
        <v>3685</v>
      </c>
      <c r="AG625" s="2">
        <v>0</v>
      </c>
      <c r="AI625" s="2">
        <v>-19064</v>
      </c>
      <c r="AJ625" s="2">
        <v>-19064</v>
      </c>
      <c r="AK625" s="2">
        <v>-19065</v>
      </c>
      <c r="AL625" s="2">
        <v>0</v>
      </c>
      <c r="AM625" s="2">
        <v>0</v>
      </c>
    </row>
    <row r="626" spans="1:39">
      <c r="A626" s="335">
        <v>96604</v>
      </c>
      <c r="B626" s="328" t="s">
        <v>1317</v>
      </c>
      <c r="C626" s="239">
        <v>5.3000000000000001E-6</v>
      </c>
      <c r="E626" s="2">
        <v>3465</v>
      </c>
      <c r="F626" s="2">
        <v>1481</v>
      </c>
      <c r="G626" s="2">
        <v>1827</v>
      </c>
      <c r="H626" s="2">
        <v>753</v>
      </c>
      <c r="I626" s="2">
        <v>0</v>
      </c>
      <c r="K626" s="2">
        <v>794</v>
      </c>
      <c r="L626" s="2">
        <v>747</v>
      </c>
      <c r="M626" s="2">
        <v>669</v>
      </c>
      <c r="N626" s="2">
        <v>268</v>
      </c>
      <c r="O626" s="2">
        <v>0</v>
      </c>
      <c r="Q626" s="2">
        <v>843</v>
      </c>
      <c r="R626" s="2">
        <v>-725</v>
      </c>
      <c r="S626" s="2">
        <v>102</v>
      </c>
      <c r="T626" s="2">
        <v>133</v>
      </c>
      <c r="U626" s="2">
        <v>0</v>
      </c>
      <c r="W626" s="2">
        <v>950</v>
      </c>
      <c r="X626" s="2">
        <v>778</v>
      </c>
      <c r="Y626" s="2">
        <v>632</v>
      </c>
      <c r="Z626" s="2">
        <v>0</v>
      </c>
      <c r="AA626" s="2">
        <v>0</v>
      </c>
      <c r="AC626" s="2">
        <v>878</v>
      </c>
      <c r="AD626" s="2">
        <v>681</v>
      </c>
      <c r="AE626" s="2">
        <v>424</v>
      </c>
      <c r="AF626" s="2">
        <v>352</v>
      </c>
      <c r="AG626" s="2">
        <v>0</v>
      </c>
      <c r="AI626" s="2">
        <v>0</v>
      </c>
      <c r="AJ626" s="2">
        <v>0</v>
      </c>
      <c r="AK626" s="2">
        <v>0</v>
      </c>
      <c r="AL626" s="2">
        <v>0</v>
      </c>
      <c r="AM626" s="2">
        <v>0</v>
      </c>
    </row>
    <row r="627" spans="1:39">
      <c r="A627" s="335">
        <v>96611</v>
      </c>
      <c r="B627" s="328" t="s">
        <v>1318</v>
      </c>
      <c r="C627" s="239">
        <v>1.3900000000000001E-5</v>
      </c>
      <c r="E627" s="2">
        <v>4359</v>
      </c>
      <c r="F627" s="2">
        <v>-449</v>
      </c>
      <c r="G627" s="2">
        <v>2099</v>
      </c>
      <c r="H627" s="2">
        <v>2</v>
      </c>
      <c r="I627" s="2">
        <v>0</v>
      </c>
      <c r="K627" s="2">
        <v>2082</v>
      </c>
      <c r="L627" s="2">
        <v>1959</v>
      </c>
      <c r="M627" s="2">
        <v>1756</v>
      </c>
      <c r="N627" s="2">
        <v>703</v>
      </c>
      <c r="O627" s="2">
        <v>0</v>
      </c>
      <c r="Q627" s="2">
        <v>2211</v>
      </c>
      <c r="R627" s="2">
        <v>-1902</v>
      </c>
      <c r="S627" s="2">
        <v>268</v>
      </c>
      <c r="T627" s="2">
        <v>349</v>
      </c>
      <c r="U627" s="2">
        <v>0</v>
      </c>
      <c r="W627" s="2">
        <v>2490</v>
      </c>
      <c r="X627" s="2">
        <v>2040</v>
      </c>
      <c r="Y627" s="2">
        <v>1656</v>
      </c>
      <c r="Z627" s="2">
        <v>0</v>
      </c>
      <c r="AA627" s="2">
        <v>0</v>
      </c>
      <c r="AC627" s="2">
        <v>121</v>
      </c>
      <c r="AD627" s="2">
        <v>0</v>
      </c>
      <c r="AE627" s="2">
        <v>0</v>
      </c>
      <c r="AF627" s="2">
        <v>0</v>
      </c>
      <c r="AG627" s="2">
        <v>0</v>
      </c>
      <c r="AI627" s="2">
        <v>-2545</v>
      </c>
      <c r="AJ627" s="2">
        <v>-2546</v>
      </c>
      <c r="AK627" s="2">
        <v>-1581</v>
      </c>
      <c r="AL627" s="2">
        <v>-1050</v>
      </c>
      <c r="AM627" s="2">
        <v>0</v>
      </c>
    </row>
    <row r="628" spans="1:39">
      <c r="A628" s="335">
        <v>96612</v>
      </c>
      <c r="B628" s="328" t="s">
        <v>2767</v>
      </c>
      <c r="C628" s="239">
        <v>5.5099999999999998E-5</v>
      </c>
      <c r="E628" s="2">
        <v>29613</v>
      </c>
      <c r="F628" s="2">
        <v>10268</v>
      </c>
      <c r="G628" s="2">
        <v>15886</v>
      </c>
      <c r="H628" s="2">
        <v>6034</v>
      </c>
      <c r="I628" s="2">
        <v>0</v>
      </c>
      <c r="K628" s="2">
        <v>8254</v>
      </c>
      <c r="L628" s="2">
        <v>7765</v>
      </c>
      <c r="M628" s="2">
        <v>6959</v>
      </c>
      <c r="N628" s="2">
        <v>2786</v>
      </c>
      <c r="O628" s="2">
        <v>0</v>
      </c>
      <c r="Q628" s="2">
        <v>8763</v>
      </c>
      <c r="R628" s="2">
        <v>-7538</v>
      </c>
      <c r="S628" s="2">
        <v>1062</v>
      </c>
      <c r="T628" s="2">
        <v>1383</v>
      </c>
      <c r="U628" s="2">
        <v>0</v>
      </c>
      <c r="W628" s="2">
        <v>9872</v>
      </c>
      <c r="X628" s="2">
        <v>8087</v>
      </c>
      <c r="Y628" s="2">
        <v>6566</v>
      </c>
      <c r="Z628" s="2">
        <v>0</v>
      </c>
      <c r="AA628" s="2">
        <v>0</v>
      </c>
      <c r="AC628" s="2">
        <v>3290</v>
      </c>
      <c r="AD628" s="2">
        <v>2520</v>
      </c>
      <c r="AE628" s="2">
        <v>1865</v>
      </c>
      <c r="AF628" s="2">
        <v>1865</v>
      </c>
      <c r="AG628" s="2">
        <v>0</v>
      </c>
      <c r="AI628" s="2">
        <v>-566</v>
      </c>
      <c r="AJ628" s="2">
        <v>-566</v>
      </c>
      <c r="AK628" s="2">
        <v>-566</v>
      </c>
      <c r="AL628" s="2">
        <v>0</v>
      </c>
      <c r="AM628" s="2">
        <v>0</v>
      </c>
    </row>
    <row r="629" spans="1:39">
      <c r="A629" s="335">
        <v>96621</v>
      </c>
      <c r="B629" s="328" t="s">
        <v>1320</v>
      </c>
      <c r="C629" s="239">
        <v>2.09E-5</v>
      </c>
      <c r="E629" s="2">
        <v>9383</v>
      </c>
      <c r="F629" s="2">
        <v>3257</v>
      </c>
      <c r="G629" s="2">
        <v>5461</v>
      </c>
      <c r="H629" s="2">
        <v>2083</v>
      </c>
      <c r="I629" s="2">
        <v>0</v>
      </c>
      <c r="K629" s="2">
        <v>3131</v>
      </c>
      <c r="L629" s="2">
        <v>2945</v>
      </c>
      <c r="M629" s="2">
        <v>2640</v>
      </c>
      <c r="N629" s="2">
        <v>1057</v>
      </c>
      <c r="O629" s="2">
        <v>0</v>
      </c>
      <c r="Q629" s="2">
        <v>3324</v>
      </c>
      <c r="R629" s="2">
        <v>-2859</v>
      </c>
      <c r="S629" s="2">
        <v>403</v>
      </c>
      <c r="T629" s="2">
        <v>524</v>
      </c>
      <c r="U629" s="2">
        <v>0</v>
      </c>
      <c r="W629" s="2">
        <v>3744</v>
      </c>
      <c r="X629" s="2">
        <v>3068</v>
      </c>
      <c r="Y629" s="2">
        <v>2490</v>
      </c>
      <c r="Z629" s="2">
        <v>0</v>
      </c>
      <c r="AA629" s="2">
        <v>0</v>
      </c>
      <c r="AC629" s="2">
        <v>677</v>
      </c>
      <c r="AD629" s="2">
        <v>677</v>
      </c>
      <c r="AE629" s="2">
        <v>501</v>
      </c>
      <c r="AF629" s="2">
        <v>502</v>
      </c>
      <c r="AG629" s="2">
        <v>0</v>
      </c>
      <c r="AI629" s="2">
        <v>-1493</v>
      </c>
      <c r="AJ629" s="2">
        <v>-574</v>
      </c>
      <c r="AK629" s="2">
        <v>-573</v>
      </c>
      <c r="AL629" s="2">
        <v>0</v>
      </c>
      <c r="AM629" s="2">
        <v>0</v>
      </c>
    </row>
    <row r="630" spans="1:39">
      <c r="A630" s="335">
        <v>96631</v>
      </c>
      <c r="B630" s="328" t="s">
        <v>1321</v>
      </c>
      <c r="C630" s="239">
        <v>2.1800000000000001E-5</v>
      </c>
      <c r="E630" s="2">
        <v>10345</v>
      </c>
      <c r="F630" s="2">
        <v>3031</v>
      </c>
      <c r="G630" s="2">
        <v>5566</v>
      </c>
      <c r="H630" s="2">
        <v>1516</v>
      </c>
      <c r="I630" s="2">
        <v>0</v>
      </c>
      <c r="K630" s="2">
        <v>3266</v>
      </c>
      <c r="L630" s="2">
        <v>3072</v>
      </c>
      <c r="M630" s="2">
        <v>2753</v>
      </c>
      <c r="N630" s="2">
        <v>1102</v>
      </c>
      <c r="O630" s="2">
        <v>0</v>
      </c>
      <c r="Q630" s="2">
        <v>3467</v>
      </c>
      <c r="R630" s="2">
        <v>-2982</v>
      </c>
      <c r="S630" s="2">
        <v>420</v>
      </c>
      <c r="T630" s="2">
        <v>547</v>
      </c>
      <c r="U630" s="2">
        <v>0</v>
      </c>
      <c r="W630" s="2">
        <v>3906</v>
      </c>
      <c r="X630" s="2">
        <v>3200</v>
      </c>
      <c r="Y630" s="2">
        <v>2598</v>
      </c>
      <c r="Z630" s="2">
        <v>0</v>
      </c>
      <c r="AA630" s="2">
        <v>0</v>
      </c>
      <c r="AC630" s="2">
        <v>0</v>
      </c>
      <c r="AD630" s="2">
        <v>0</v>
      </c>
      <c r="AE630" s="2">
        <v>0</v>
      </c>
      <c r="AF630" s="2">
        <v>0</v>
      </c>
      <c r="AG630" s="2">
        <v>0</v>
      </c>
      <c r="AI630" s="2">
        <v>-294</v>
      </c>
      <c r="AJ630" s="2">
        <v>-259</v>
      </c>
      <c r="AK630" s="2">
        <v>-205</v>
      </c>
      <c r="AL630" s="2">
        <v>-133</v>
      </c>
      <c r="AM630" s="2">
        <v>0</v>
      </c>
    </row>
    <row r="631" spans="1:39">
      <c r="A631" s="335">
        <v>96641</v>
      </c>
      <c r="B631" s="328" t="s">
        <v>1322</v>
      </c>
      <c r="C631" s="239">
        <v>3.3800000000000002E-5</v>
      </c>
      <c r="E631" s="2">
        <v>22517</v>
      </c>
      <c r="F631" s="2">
        <v>10057</v>
      </c>
      <c r="G631" s="2">
        <v>11819</v>
      </c>
      <c r="H631" s="2">
        <v>4184</v>
      </c>
      <c r="I631" s="2">
        <v>0</v>
      </c>
      <c r="K631" s="2">
        <v>5063</v>
      </c>
      <c r="L631" s="2">
        <v>4763</v>
      </c>
      <c r="M631" s="2">
        <v>4269</v>
      </c>
      <c r="N631" s="2">
        <v>1709</v>
      </c>
      <c r="O631" s="2">
        <v>0</v>
      </c>
      <c r="Q631" s="2">
        <v>5376</v>
      </c>
      <c r="R631" s="2">
        <v>-4624</v>
      </c>
      <c r="S631" s="2">
        <v>652</v>
      </c>
      <c r="T631" s="2">
        <v>848</v>
      </c>
      <c r="U631" s="2">
        <v>0</v>
      </c>
      <c r="W631" s="2">
        <v>6056</v>
      </c>
      <c r="X631" s="2">
        <v>4961</v>
      </c>
      <c r="Y631" s="2">
        <v>4028</v>
      </c>
      <c r="Z631" s="2">
        <v>0</v>
      </c>
      <c r="AA631" s="2">
        <v>0</v>
      </c>
      <c r="AC631" s="2">
        <v>6022</v>
      </c>
      <c r="AD631" s="2">
        <v>4957</v>
      </c>
      <c r="AE631" s="2">
        <v>2870</v>
      </c>
      <c r="AF631" s="2">
        <v>1627</v>
      </c>
      <c r="AG631" s="2">
        <v>0</v>
      </c>
      <c r="AI631" s="2">
        <v>0</v>
      </c>
      <c r="AJ631" s="2">
        <v>0</v>
      </c>
      <c r="AK631" s="2">
        <v>0</v>
      </c>
      <c r="AL631" s="2">
        <v>0</v>
      </c>
      <c r="AM631" s="2">
        <v>0</v>
      </c>
    </row>
    <row r="632" spans="1:39">
      <c r="A632" s="335">
        <v>96651</v>
      </c>
      <c r="B632" s="328" t="s">
        <v>1323</v>
      </c>
      <c r="C632" s="239">
        <v>1.8499999999999999E-5</v>
      </c>
      <c r="E632" s="2">
        <v>9039</v>
      </c>
      <c r="F632" s="2">
        <v>2628</v>
      </c>
      <c r="G632" s="2">
        <v>4384</v>
      </c>
      <c r="H632" s="2">
        <v>515</v>
      </c>
      <c r="I632" s="2">
        <v>0</v>
      </c>
      <c r="K632" s="2">
        <v>2771</v>
      </c>
      <c r="L632" s="2">
        <v>2607</v>
      </c>
      <c r="M632" s="2">
        <v>2337</v>
      </c>
      <c r="N632" s="2">
        <v>936</v>
      </c>
      <c r="O632" s="2">
        <v>0</v>
      </c>
      <c r="Q632" s="2">
        <v>2942</v>
      </c>
      <c r="R632" s="2">
        <v>-2531</v>
      </c>
      <c r="S632" s="2">
        <v>357</v>
      </c>
      <c r="T632" s="2">
        <v>464</v>
      </c>
      <c r="U632" s="2">
        <v>0</v>
      </c>
      <c r="W632" s="2">
        <v>3314</v>
      </c>
      <c r="X632" s="2">
        <v>2715</v>
      </c>
      <c r="Y632" s="2">
        <v>2204</v>
      </c>
      <c r="Z632" s="2">
        <v>0</v>
      </c>
      <c r="AA632" s="2">
        <v>0</v>
      </c>
      <c r="AC632" s="2">
        <v>898</v>
      </c>
      <c r="AD632" s="2">
        <v>723</v>
      </c>
      <c r="AE632" s="2">
        <v>372</v>
      </c>
      <c r="AF632" s="2">
        <v>0</v>
      </c>
      <c r="AG632" s="2">
        <v>0</v>
      </c>
      <c r="AI632" s="2">
        <v>-886</v>
      </c>
      <c r="AJ632" s="2">
        <v>-886</v>
      </c>
      <c r="AK632" s="2">
        <v>-886</v>
      </c>
      <c r="AL632" s="2">
        <v>-885</v>
      </c>
      <c r="AM632" s="2">
        <v>0</v>
      </c>
    </row>
    <row r="633" spans="1:39">
      <c r="A633" s="335">
        <v>96661</v>
      </c>
      <c r="B633" s="328" t="s">
        <v>1324</v>
      </c>
      <c r="C633" s="239">
        <v>1.8099999999999999E-5</v>
      </c>
      <c r="E633" s="2">
        <v>9852</v>
      </c>
      <c r="F633" s="2">
        <v>3272</v>
      </c>
      <c r="G633" s="2">
        <v>4942</v>
      </c>
      <c r="H633" s="2">
        <v>1327</v>
      </c>
      <c r="I633" s="2">
        <v>0</v>
      </c>
      <c r="K633" s="2">
        <v>2712</v>
      </c>
      <c r="L633" s="2">
        <v>2551</v>
      </c>
      <c r="M633" s="2">
        <v>2286</v>
      </c>
      <c r="N633" s="2">
        <v>915</v>
      </c>
      <c r="O633" s="2">
        <v>0</v>
      </c>
      <c r="Q633" s="2">
        <v>2879</v>
      </c>
      <c r="R633" s="2">
        <v>-2476</v>
      </c>
      <c r="S633" s="2">
        <v>349</v>
      </c>
      <c r="T633" s="2">
        <v>454</v>
      </c>
      <c r="U633" s="2">
        <v>0</v>
      </c>
      <c r="W633" s="2">
        <v>3243</v>
      </c>
      <c r="X633" s="2">
        <v>2657</v>
      </c>
      <c r="Y633" s="2">
        <v>2157</v>
      </c>
      <c r="Z633" s="2">
        <v>0</v>
      </c>
      <c r="AA633" s="2">
        <v>0</v>
      </c>
      <c r="AC633" s="2">
        <v>1059</v>
      </c>
      <c r="AD633" s="2">
        <v>581</v>
      </c>
      <c r="AE633" s="2">
        <v>191</v>
      </c>
      <c r="AF633" s="2">
        <v>0</v>
      </c>
      <c r="AG633" s="2">
        <v>0</v>
      </c>
      <c r="AI633" s="2">
        <v>-41</v>
      </c>
      <c r="AJ633" s="2">
        <v>-41</v>
      </c>
      <c r="AK633" s="2">
        <v>-41</v>
      </c>
      <c r="AL633" s="2">
        <v>-42</v>
      </c>
      <c r="AM633" s="2">
        <v>0</v>
      </c>
    </row>
    <row r="634" spans="1:39">
      <c r="A634" s="335">
        <v>96671</v>
      </c>
      <c r="B634" s="328" t="s">
        <v>1325</v>
      </c>
      <c r="C634" s="239">
        <v>1.26E-5</v>
      </c>
      <c r="E634" s="2">
        <v>7860</v>
      </c>
      <c r="F634" s="2">
        <v>2638</v>
      </c>
      <c r="G634" s="2">
        <v>3860</v>
      </c>
      <c r="H634" s="2">
        <v>1241</v>
      </c>
      <c r="I634" s="2">
        <v>0</v>
      </c>
      <c r="K634" s="2">
        <v>1888</v>
      </c>
      <c r="L634" s="2">
        <v>1776</v>
      </c>
      <c r="M634" s="2">
        <v>1591</v>
      </c>
      <c r="N634" s="2">
        <v>637</v>
      </c>
      <c r="O634" s="2">
        <v>0</v>
      </c>
      <c r="Q634" s="2">
        <v>2004</v>
      </c>
      <c r="R634" s="2">
        <v>-1724</v>
      </c>
      <c r="S634" s="2">
        <v>243</v>
      </c>
      <c r="T634" s="2">
        <v>316</v>
      </c>
      <c r="U634" s="2">
        <v>0</v>
      </c>
      <c r="W634" s="2">
        <v>2257</v>
      </c>
      <c r="X634" s="2">
        <v>1849</v>
      </c>
      <c r="Y634" s="2">
        <v>1501</v>
      </c>
      <c r="Z634" s="2">
        <v>0</v>
      </c>
      <c r="AA634" s="2">
        <v>0</v>
      </c>
      <c r="AC634" s="2">
        <v>1711</v>
      </c>
      <c r="AD634" s="2">
        <v>737</v>
      </c>
      <c r="AE634" s="2">
        <v>525</v>
      </c>
      <c r="AF634" s="2">
        <v>288</v>
      </c>
      <c r="AG634" s="2">
        <v>0</v>
      </c>
      <c r="AI634" s="2">
        <v>0</v>
      </c>
      <c r="AJ634" s="2">
        <v>0</v>
      </c>
      <c r="AK634" s="2">
        <v>0</v>
      </c>
      <c r="AL634" s="2">
        <v>0</v>
      </c>
      <c r="AM634" s="2">
        <v>0</v>
      </c>
    </row>
    <row r="635" spans="1:39">
      <c r="A635" s="335">
        <v>96681</v>
      </c>
      <c r="B635" s="328" t="s">
        <v>1326</v>
      </c>
      <c r="C635" s="239">
        <v>2.2399999999999999E-5</v>
      </c>
      <c r="E635" s="2">
        <v>13455</v>
      </c>
      <c r="F635" s="2">
        <v>4375</v>
      </c>
      <c r="G635" s="2">
        <v>8996</v>
      </c>
      <c r="H635" s="2">
        <v>3124</v>
      </c>
      <c r="I635" s="2">
        <v>0</v>
      </c>
      <c r="K635" s="2">
        <v>3356</v>
      </c>
      <c r="L635" s="2">
        <v>3157</v>
      </c>
      <c r="M635" s="2">
        <v>2829</v>
      </c>
      <c r="N635" s="2">
        <v>1133</v>
      </c>
      <c r="O635" s="2">
        <v>0</v>
      </c>
      <c r="Q635" s="2">
        <v>3563</v>
      </c>
      <c r="R635" s="2">
        <v>-3064</v>
      </c>
      <c r="S635" s="2">
        <v>432</v>
      </c>
      <c r="T635" s="2">
        <v>562</v>
      </c>
      <c r="U635" s="2">
        <v>0</v>
      </c>
      <c r="W635" s="2">
        <v>4013</v>
      </c>
      <c r="X635" s="2">
        <v>3288</v>
      </c>
      <c r="Y635" s="2">
        <v>2669</v>
      </c>
      <c r="Z635" s="2">
        <v>0</v>
      </c>
      <c r="AA635" s="2">
        <v>0</v>
      </c>
      <c r="AC635" s="2">
        <v>4594</v>
      </c>
      <c r="AD635" s="2">
        <v>3064</v>
      </c>
      <c r="AE635" s="2">
        <v>3066</v>
      </c>
      <c r="AF635" s="2">
        <v>1429</v>
      </c>
      <c r="AG635" s="2">
        <v>0</v>
      </c>
      <c r="AI635" s="2">
        <v>-2071</v>
      </c>
      <c r="AJ635" s="2">
        <v>-2070</v>
      </c>
      <c r="AK635" s="2">
        <v>0</v>
      </c>
      <c r="AL635" s="2">
        <v>0</v>
      </c>
      <c r="AM635" s="2">
        <v>0</v>
      </c>
    </row>
    <row r="636" spans="1:39">
      <c r="A636" s="335">
        <v>96701</v>
      </c>
      <c r="B636" s="328" t="s">
        <v>1327</v>
      </c>
      <c r="C636" s="239">
        <v>8.4864999999999993E-3</v>
      </c>
      <c r="E636" s="2">
        <v>4075656</v>
      </c>
      <c r="F636" s="2">
        <v>1225701</v>
      </c>
      <c r="G636" s="2">
        <v>2127081</v>
      </c>
      <c r="H636" s="2">
        <v>546200</v>
      </c>
      <c r="I636" s="2">
        <v>0</v>
      </c>
      <c r="K636" s="2">
        <v>1271337</v>
      </c>
      <c r="L636" s="2">
        <v>1195918</v>
      </c>
      <c r="M636" s="2">
        <v>1071887</v>
      </c>
      <c r="N636" s="2">
        <v>429171</v>
      </c>
      <c r="O636" s="2">
        <v>0</v>
      </c>
      <c r="Q636" s="2">
        <v>1349701</v>
      </c>
      <c r="R636" s="2">
        <v>-1160996</v>
      </c>
      <c r="S636" s="2">
        <v>163628</v>
      </c>
      <c r="T636" s="2">
        <v>212960</v>
      </c>
      <c r="U636" s="2">
        <v>0</v>
      </c>
      <c r="W636" s="2">
        <v>1520458</v>
      </c>
      <c r="X636" s="2">
        <v>1245615</v>
      </c>
      <c r="Y636" s="2">
        <v>1011226</v>
      </c>
      <c r="Z636" s="2">
        <v>0</v>
      </c>
      <c r="AA636" s="2">
        <v>0</v>
      </c>
      <c r="AC636" s="2">
        <v>64827</v>
      </c>
      <c r="AD636" s="2">
        <v>64826</v>
      </c>
      <c r="AE636" s="2">
        <v>0</v>
      </c>
      <c r="AF636" s="2">
        <v>0</v>
      </c>
      <c r="AG636" s="2">
        <v>0</v>
      </c>
      <c r="AI636" s="2">
        <v>-130667</v>
      </c>
      <c r="AJ636" s="2">
        <v>-119662</v>
      </c>
      <c r="AK636" s="2">
        <v>-119660</v>
      </c>
      <c r="AL636" s="2">
        <v>-95931</v>
      </c>
      <c r="AM636" s="2">
        <v>0</v>
      </c>
    </row>
    <row r="637" spans="1:39">
      <c r="A637" s="335">
        <v>96704</v>
      </c>
      <c r="B637" s="328" t="s">
        <v>1328</v>
      </c>
      <c r="C637" s="239">
        <v>1.873E-4</v>
      </c>
      <c r="E637" s="2">
        <v>109934</v>
      </c>
      <c r="F637" s="2">
        <v>46032</v>
      </c>
      <c r="G637" s="2">
        <v>61503</v>
      </c>
      <c r="H637" s="2">
        <v>21356</v>
      </c>
      <c r="I637" s="2">
        <v>0</v>
      </c>
      <c r="K637" s="2">
        <v>28059</v>
      </c>
      <c r="L637" s="2">
        <v>26394</v>
      </c>
      <c r="M637" s="2">
        <v>23657</v>
      </c>
      <c r="N637" s="2">
        <v>9472</v>
      </c>
      <c r="O637" s="2">
        <v>0</v>
      </c>
      <c r="Q637" s="2">
        <v>29788</v>
      </c>
      <c r="R637" s="2">
        <v>-25624</v>
      </c>
      <c r="S637" s="2">
        <v>3611</v>
      </c>
      <c r="T637" s="2">
        <v>4700</v>
      </c>
      <c r="U637" s="2">
        <v>0</v>
      </c>
      <c r="W637" s="2">
        <v>33557</v>
      </c>
      <c r="X637" s="2">
        <v>27491</v>
      </c>
      <c r="Y637" s="2">
        <v>22318</v>
      </c>
      <c r="Z637" s="2">
        <v>0</v>
      </c>
      <c r="AA637" s="2">
        <v>0</v>
      </c>
      <c r="AC637" s="2">
        <v>18530</v>
      </c>
      <c r="AD637" s="2">
        <v>17771</v>
      </c>
      <c r="AE637" s="2">
        <v>11917</v>
      </c>
      <c r="AF637" s="2">
        <v>7184</v>
      </c>
      <c r="AG637" s="2">
        <v>0</v>
      </c>
      <c r="AI637" s="2">
        <v>0</v>
      </c>
      <c r="AJ637" s="2">
        <v>0</v>
      </c>
      <c r="AK637" s="2">
        <v>0</v>
      </c>
      <c r="AL637" s="2">
        <v>0</v>
      </c>
      <c r="AM637" s="2">
        <v>0</v>
      </c>
    </row>
    <row r="638" spans="1:39">
      <c r="A638" s="335">
        <v>96708</v>
      </c>
      <c r="B638" s="328" t="s">
        <v>1329</v>
      </c>
      <c r="C638" s="239">
        <v>8.7410000000000005E-4</v>
      </c>
      <c r="E638" s="2">
        <v>450493</v>
      </c>
      <c r="F638" s="2">
        <v>161803</v>
      </c>
      <c r="G638" s="2">
        <v>246306</v>
      </c>
      <c r="H638" s="2">
        <v>74711</v>
      </c>
      <c r="I638" s="2">
        <v>0</v>
      </c>
      <c r="K638" s="2">
        <v>130946</v>
      </c>
      <c r="L638" s="2">
        <v>123178</v>
      </c>
      <c r="M638" s="2">
        <v>110403</v>
      </c>
      <c r="N638" s="2">
        <v>44204</v>
      </c>
      <c r="O638" s="2">
        <v>0</v>
      </c>
      <c r="Q638" s="2">
        <v>139018</v>
      </c>
      <c r="R638" s="2">
        <v>-119581</v>
      </c>
      <c r="S638" s="2">
        <v>16854</v>
      </c>
      <c r="T638" s="2">
        <v>21935</v>
      </c>
      <c r="U638" s="2">
        <v>0</v>
      </c>
      <c r="W638" s="2">
        <v>156606</v>
      </c>
      <c r="X638" s="2">
        <v>128297</v>
      </c>
      <c r="Y638" s="2">
        <v>104155</v>
      </c>
      <c r="Z638" s="2">
        <v>0</v>
      </c>
      <c r="AA638" s="2">
        <v>0</v>
      </c>
      <c r="AC638" s="2">
        <v>29907</v>
      </c>
      <c r="AD638" s="2">
        <v>29909</v>
      </c>
      <c r="AE638" s="2">
        <v>14894</v>
      </c>
      <c r="AF638" s="2">
        <v>8572</v>
      </c>
      <c r="AG638" s="2">
        <v>0</v>
      </c>
      <c r="AI638" s="2">
        <v>-5984</v>
      </c>
      <c r="AJ638" s="2">
        <v>0</v>
      </c>
      <c r="AK638" s="2">
        <v>0</v>
      </c>
      <c r="AL638" s="2">
        <v>0</v>
      </c>
      <c r="AM638" s="2">
        <v>0</v>
      </c>
    </row>
    <row r="639" spans="1:39">
      <c r="A639" s="335">
        <v>96711</v>
      </c>
      <c r="B639" s="328" t="s">
        <v>1330</v>
      </c>
      <c r="C639" s="239">
        <v>3.7919E-3</v>
      </c>
      <c r="E639" s="2">
        <v>1725707</v>
      </c>
      <c r="F639" s="2">
        <v>464045</v>
      </c>
      <c r="G639" s="2">
        <v>954917</v>
      </c>
      <c r="H639" s="2">
        <v>266947</v>
      </c>
      <c r="I639" s="2">
        <v>0</v>
      </c>
      <c r="K639" s="2">
        <v>568053</v>
      </c>
      <c r="L639" s="2">
        <v>534355</v>
      </c>
      <c r="M639" s="2">
        <v>478936</v>
      </c>
      <c r="N639" s="2">
        <v>191760</v>
      </c>
      <c r="O639" s="2">
        <v>0</v>
      </c>
      <c r="Q639" s="2">
        <v>603068</v>
      </c>
      <c r="R639" s="2">
        <v>-518751</v>
      </c>
      <c r="S639" s="2">
        <v>73112</v>
      </c>
      <c r="T639" s="2">
        <v>95154</v>
      </c>
      <c r="U639" s="2">
        <v>0</v>
      </c>
      <c r="W639" s="2">
        <v>679364</v>
      </c>
      <c r="X639" s="2">
        <v>556560</v>
      </c>
      <c r="Y639" s="2">
        <v>451831</v>
      </c>
      <c r="Z639" s="2">
        <v>0</v>
      </c>
      <c r="AA639" s="2">
        <v>0</v>
      </c>
      <c r="AC639" s="2">
        <v>0</v>
      </c>
      <c r="AD639" s="2">
        <v>0</v>
      </c>
      <c r="AE639" s="2">
        <v>0</v>
      </c>
      <c r="AF639" s="2">
        <v>0</v>
      </c>
      <c r="AG639" s="2">
        <v>0</v>
      </c>
      <c r="AI639" s="2">
        <v>-124778</v>
      </c>
      <c r="AJ639" s="2">
        <v>-108119</v>
      </c>
      <c r="AK639" s="2">
        <v>-48962</v>
      </c>
      <c r="AL639" s="2">
        <v>-19967</v>
      </c>
      <c r="AM639" s="2">
        <v>0</v>
      </c>
    </row>
    <row r="640" spans="1:39">
      <c r="A640" s="335">
        <v>96721</v>
      </c>
      <c r="B640" s="328" t="s">
        <v>1331</v>
      </c>
      <c r="C640" s="239">
        <v>2.1719999999999999E-4</v>
      </c>
      <c r="E640" s="2">
        <v>100042</v>
      </c>
      <c r="F640" s="2">
        <v>34499</v>
      </c>
      <c r="G640" s="2">
        <v>56945</v>
      </c>
      <c r="H640" s="2">
        <v>15546</v>
      </c>
      <c r="I640" s="2">
        <v>0</v>
      </c>
      <c r="K640" s="2">
        <v>32538</v>
      </c>
      <c r="L640" s="2">
        <v>30608</v>
      </c>
      <c r="M640" s="2">
        <v>27433</v>
      </c>
      <c r="N640" s="2">
        <v>10984</v>
      </c>
      <c r="O640" s="2">
        <v>0</v>
      </c>
      <c r="Q640" s="2">
        <v>34544</v>
      </c>
      <c r="R640" s="2">
        <v>-29714</v>
      </c>
      <c r="S640" s="2">
        <v>4188</v>
      </c>
      <c r="T640" s="2">
        <v>5450</v>
      </c>
      <c r="U640" s="2">
        <v>0</v>
      </c>
      <c r="W640" s="2">
        <v>38914</v>
      </c>
      <c r="X640" s="2">
        <v>31880</v>
      </c>
      <c r="Y640" s="2">
        <v>25881</v>
      </c>
      <c r="Z640" s="2">
        <v>0</v>
      </c>
      <c r="AA640" s="2">
        <v>0</v>
      </c>
      <c r="AC640" s="2">
        <v>2614</v>
      </c>
      <c r="AD640" s="2">
        <v>2614</v>
      </c>
      <c r="AE640" s="2">
        <v>332</v>
      </c>
      <c r="AF640" s="2">
        <v>0</v>
      </c>
      <c r="AG640" s="2">
        <v>0</v>
      </c>
      <c r="AI640" s="2">
        <v>-8568</v>
      </c>
      <c r="AJ640" s="2">
        <v>-889</v>
      </c>
      <c r="AK640" s="2">
        <v>-889</v>
      </c>
      <c r="AL640" s="2">
        <v>-888</v>
      </c>
      <c r="AM640" s="2">
        <v>0</v>
      </c>
    </row>
    <row r="641" spans="1:39">
      <c r="A641" s="335">
        <v>96731</v>
      </c>
      <c r="B641" s="328" t="s">
        <v>1332</v>
      </c>
      <c r="C641" s="239">
        <v>1.763E-4</v>
      </c>
      <c r="E641" s="2">
        <v>90448</v>
      </c>
      <c r="F641" s="2">
        <v>28364</v>
      </c>
      <c r="G641" s="2">
        <v>46392</v>
      </c>
      <c r="H641" s="2">
        <v>13504</v>
      </c>
      <c r="I641" s="2">
        <v>0</v>
      </c>
      <c r="K641" s="2">
        <v>26411</v>
      </c>
      <c r="L641" s="2">
        <v>24844</v>
      </c>
      <c r="M641" s="2">
        <v>22268</v>
      </c>
      <c r="N641" s="2">
        <v>8916</v>
      </c>
      <c r="O641" s="2">
        <v>0</v>
      </c>
      <c r="Q641" s="2">
        <v>28039</v>
      </c>
      <c r="R641" s="2">
        <v>-24119</v>
      </c>
      <c r="S641" s="2">
        <v>3399</v>
      </c>
      <c r="T641" s="2">
        <v>4424</v>
      </c>
      <c r="U641" s="2">
        <v>0</v>
      </c>
      <c r="W641" s="2">
        <v>31586</v>
      </c>
      <c r="X641" s="2">
        <v>25877</v>
      </c>
      <c r="Y641" s="2">
        <v>21007</v>
      </c>
      <c r="Z641" s="2">
        <v>0</v>
      </c>
      <c r="AA641" s="2">
        <v>0</v>
      </c>
      <c r="AC641" s="2">
        <v>4854</v>
      </c>
      <c r="AD641" s="2">
        <v>2204</v>
      </c>
      <c r="AE641" s="2">
        <v>162</v>
      </c>
      <c r="AF641" s="2">
        <v>164</v>
      </c>
      <c r="AG641" s="2">
        <v>0</v>
      </c>
      <c r="AI641" s="2">
        <v>-442</v>
      </c>
      <c r="AJ641" s="2">
        <v>-442</v>
      </c>
      <c r="AK641" s="2">
        <v>-444</v>
      </c>
      <c r="AL641" s="2">
        <v>0</v>
      </c>
      <c r="AM641" s="2">
        <v>0</v>
      </c>
    </row>
    <row r="642" spans="1:39">
      <c r="A642" s="335">
        <v>96733</v>
      </c>
      <c r="B642" s="328" t="s">
        <v>1333</v>
      </c>
      <c r="C642" s="239">
        <v>6.4999999999999996E-6</v>
      </c>
      <c r="E642" s="2">
        <v>3063</v>
      </c>
      <c r="F642" s="2">
        <v>-17</v>
      </c>
      <c r="G642" s="2">
        <v>857</v>
      </c>
      <c r="H642" s="2">
        <v>-920</v>
      </c>
      <c r="I642" s="2">
        <v>0</v>
      </c>
      <c r="K642" s="2">
        <v>974</v>
      </c>
      <c r="L642" s="2">
        <v>916</v>
      </c>
      <c r="M642" s="2">
        <v>821</v>
      </c>
      <c r="N642" s="2">
        <v>329</v>
      </c>
      <c r="O642" s="2">
        <v>0</v>
      </c>
      <c r="Q642" s="2">
        <v>1034</v>
      </c>
      <c r="R642" s="2">
        <v>-889</v>
      </c>
      <c r="S642" s="2">
        <v>125</v>
      </c>
      <c r="T642" s="2">
        <v>163</v>
      </c>
      <c r="U642" s="2">
        <v>0</v>
      </c>
      <c r="W642" s="2">
        <v>1165</v>
      </c>
      <c r="X642" s="2">
        <v>954</v>
      </c>
      <c r="Y642" s="2">
        <v>775</v>
      </c>
      <c r="Z642" s="2">
        <v>0</v>
      </c>
      <c r="AA642" s="2">
        <v>0</v>
      </c>
      <c r="AC642" s="2">
        <v>1437</v>
      </c>
      <c r="AD642" s="2">
        <v>549</v>
      </c>
      <c r="AE642" s="2">
        <v>550</v>
      </c>
      <c r="AF642" s="2">
        <v>0</v>
      </c>
      <c r="AG642" s="2">
        <v>0</v>
      </c>
      <c r="AI642" s="2">
        <v>-1547</v>
      </c>
      <c r="AJ642" s="2">
        <v>-1547</v>
      </c>
      <c r="AK642" s="2">
        <v>-1414</v>
      </c>
      <c r="AL642" s="2">
        <v>-1412</v>
      </c>
      <c r="AM642" s="2">
        <v>0</v>
      </c>
    </row>
    <row r="643" spans="1:39">
      <c r="A643" s="335">
        <v>96741</v>
      </c>
      <c r="B643" s="328" t="s">
        <v>1334</v>
      </c>
      <c r="C643" s="239">
        <v>9.6799999999999995E-5</v>
      </c>
      <c r="E643" s="2">
        <v>46214</v>
      </c>
      <c r="F643" s="2">
        <v>13929</v>
      </c>
      <c r="G643" s="2">
        <v>25262</v>
      </c>
      <c r="H643" s="2">
        <v>6260</v>
      </c>
      <c r="I643" s="2">
        <v>0</v>
      </c>
      <c r="K643" s="2">
        <v>14501</v>
      </c>
      <c r="L643" s="2">
        <v>13641</v>
      </c>
      <c r="M643" s="2">
        <v>12226</v>
      </c>
      <c r="N643" s="2">
        <v>4895</v>
      </c>
      <c r="O643" s="2">
        <v>0</v>
      </c>
      <c r="Q643" s="2">
        <v>15395</v>
      </c>
      <c r="R643" s="2">
        <v>-13243</v>
      </c>
      <c r="S643" s="2">
        <v>1866</v>
      </c>
      <c r="T643" s="2">
        <v>2429</v>
      </c>
      <c r="U643" s="2">
        <v>0</v>
      </c>
      <c r="W643" s="2">
        <v>17343</v>
      </c>
      <c r="X643" s="2">
        <v>14208</v>
      </c>
      <c r="Y643" s="2">
        <v>11534</v>
      </c>
      <c r="Z643" s="2">
        <v>0</v>
      </c>
      <c r="AA643" s="2">
        <v>0</v>
      </c>
      <c r="AC643" s="2">
        <v>702</v>
      </c>
      <c r="AD643" s="2">
        <v>702</v>
      </c>
      <c r="AE643" s="2">
        <v>701</v>
      </c>
      <c r="AF643" s="2">
        <v>0</v>
      </c>
      <c r="AG643" s="2">
        <v>0</v>
      </c>
      <c r="AI643" s="2">
        <v>-1727</v>
      </c>
      <c r="AJ643" s="2">
        <v>-1379</v>
      </c>
      <c r="AK643" s="2">
        <v>-1065</v>
      </c>
      <c r="AL643" s="2">
        <v>-1064</v>
      </c>
      <c r="AM643" s="2">
        <v>0</v>
      </c>
    </row>
    <row r="644" spans="1:39">
      <c r="A644" s="335">
        <v>96751</v>
      </c>
      <c r="B644" s="328" t="s">
        <v>3710</v>
      </c>
      <c r="C644" s="239">
        <v>3.054E-4</v>
      </c>
      <c r="E644" s="2">
        <v>147518</v>
      </c>
      <c r="F644" s="2">
        <v>51011</v>
      </c>
      <c r="G644" s="2">
        <v>86871</v>
      </c>
      <c r="H644" s="2">
        <v>28698</v>
      </c>
      <c r="I644" s="2">
        <v>0</v>
      </c>
      <c r="K644" s="2">
        <v>45751</v>
      </c>
      <c r="L644" s="2">
        <v>43037</v>
      </c>
      <c r="M644" s="2">
        <v>38574</v>
      </c>
      <c r="N644" s="2">
        <v>15444</v>
      </c>
      <c r="O644" s="2">
        <v>0</v>
      </c>
      <c r="Q644" s="2">
        <v>48571</v>
      </c>
      <c r="R644" s="2">
        <v>-41780</v>
      </c>
      <c r="S644" s="2">
        <v>5888</v>
      </c>
      <c r="T644" s="2">
        <v>7664</v>
      </c>
      <c r="U644" s="2">
        <v>0</v>
      </c>
      <c r="W644" s="2">
        <v>54716</v>
      </c>
      <c r="X644" s="2">
        <v>44825</v>
      </c>
      <c r="Y644" s="2">
        <v>36391</v>
      </c>
      <c r="Z644" s="2">
        <v>0</v>
      </c>
      <c r="AA644" s="2">
        <v>0</v>
      </c>
      <c r="AC644" s="2">
        <v>6016</v>
      </c>
      <c r="AD644" s="2">
        <v>6016</v>
      </c>
      <c r="AE644" s="2">
        <v>6018</v>
      </c>
      <c r="AF644" s="2">
        <v>5590</v>
      </c>
      <c r="AG644" s="2">
        <v>0</v>
      </c>
      <c r="AI644" s="2">
        <v>-7536</v>
      </c>
      <c r="AJ644" s="2">
        <v>-1087</v>
      </c>
      <c r="AK644" s="2">
        <v>0</v>
      </c>
      <c r="AL644" s="2">
        <v>0</v>
      </c>
      <c r="AM644" s="2">
        <v>0</v>
      </c>
    </row>
    <row r="645" spans="1:39">
      <c r="A645" s="335">
        <v>96801</v>
      </c>
      <c r="B645" s="328" t="s">
        <v>1336</v>
      </c>
      <c r="C645" s="239">
        <v>7.6207000000000002E-3</v>
      </c>
      <c r="E645" s="2">
        <v>3772341</v>
      </c>
      <c r="F645" s="2">
        <v>1144845</v>
      </c>
      <c r="G645" s="2">
        <v>2030773</v>
      </c>
      <c r="H645" s="2">
        <v>571847</v>
      </c>
      <c r="I645" s="2">
        <v>0</v>
      </c>
      <c r="K645" s="2">
        <v>1141634</v>
      </c>
      <c r="L645" s="2">
        <v>1073909</v>
      </c>
      <c r="M645" s="2">
        <v>962533</v>
      </c>
      <c r="N645" s="2">
        <v>385386</v>
      </c>
      <c r="O645" s="2">
        <v>0</v>
      </c>
      <c r="Q645" s="2">
        <v>1212004</v>
      </c>
      <c r="R645" s="2">
        <v>-1042550</v>
      </c>
      <c r="S645" s="2">
        <v>146935</v>
      </c>
      <c r="T645" s="2">
        <v>191234</v>
      </c>
      <c r="U645" s="2">
        <v>0</v>
      </c>
      <c r="W645" s="2">
        <v>1365340</v>
      </c>
      <c r="X645" s="2">
        <v>1118536</v>
      </c>
      <c r="Y645" s="2">
        <v>908060</v>
      </c>
      <c r="Z645" s="2">
        <v>0</v>
      </c>
      <c r="AA645" s="2">
        <v>0</v>
      </c>
      <c r="AC645" s="2">
        <v>76428</v>
      </c>
      <c r="AD645" s="2">
        <v>18014</v>
      </c>
      <c r="AE645" s="2">
        <v>18016</v>
      </c>
      <c r="AF645" s="2">
        <v>0</v>
      </c>
      <c r="AG645" s="2">
        <v>0</v>
      </c>
      <c r="AI645" s="2">
        <v>-23065</v>
      </c>
      <c r="AJ645" s="2">
        <v>-23064</v>
      </c>
      <c r="AK645" s="2">
        <v>-4771</v>
      </c>
      <c r="AL645" s="2">
        <v>-4773</v>
      </c>
      <c r="AM645" s="2">
        <v>0</v>
      </c>
    </row>
    <row r="646" spans="1:39">
      <c r="A646" s="335">
        <v>96804</v>
      </c>
      <c r="B646" s="328" t="s">
        <v>1337</v>
      </c>
      <c r="C646" s="239">
        <v>2.4230000000000001E-4</v>
      </c>
      <c r="E646" s="2">
        <v>109973</v>
      </c>
      <c r="F646" s="2">
        <v>28260</v>
      </c>
      <c r="G646" s="2">
        <v>54509</v>
      </c>
      <c r="H646" s="2">
        <v>13552</v>
      </c>
      <c r="I646" s="2">
        <v>0</v>
      </c>
      <c r="K646" s="2">
        <v>36298</v>
      </c>
      <c r="L646" s="2">
        <v>34145</v>
      </c>
      <c r="M646" s="2">
        <v>30604</v>
      </c>
      <c r="N646" s="2">
        <v>12253</v>
      </c>
      <c r="O646" s="2">
        <v>0</v>
      </c>
      <c r="Q646" s="2">
        <v>38536</v>
      </c>
      <c r="R646" s="2">
        <v>-33148</v>
      </c>
      <c r="S646" s="2">
        <v>4672</v>
      </c>
      <c r="T646" s="2">
        <v>6080</v>
      </c>
      <c r="U646" s="2">
        <v>0</v>
      </c>
      <c r="W646" s="2">
        <v>43411</v>
      </c>
      <c r="X646" s="2">
        <v>35564</v>
      </c>
      <c r="Y646" s="2">
        <v>28872</v>
      </c>
      <c r="Z646" s="2">
        <v>0</v>
      </c>
      <c r="AA646" s="2">
        <v>0</v>
      </c>
      <c r="AC646" s="2">
        <v>1367</v>
      </c>
      <c r="AD646" s="2">
        <v>1338</v>
      </c>
      <c r="AE646" s="2">
        <v>0</v>
      </c>
      <c r="AF646" s="2">
        <v>0</v>
      </c>
      <c r="AG646" s="2">
        <v>0</v>
      </c>
      <c r="AI646" s="2">
        <v>-9639</v>
      </c>
      <c r="AJ646" s="2">
        <v>-9639</v>
      </c>
      <c r="AK646" s="2">
        <v>-9639</v>
      </c>
      <c r="AL646" s="2">
        <v>-4781</v>
      </c>
      <c r="AM646" s="2">
        <v>0</v>
      </c>
    </row>
    <row r="647" spans="1:39">
      <c r="A647" s="335">
        <v>96808</v>
      </c>
      <c r="B647" s="328" t="s">
        <v>1338</v>
      </c>
      <c r="C647" s="239">
        <v>1.2175E-3</v>
      </c>
      <c r="E647" s="2">
        <v>589307</v>
      </c>
      <c r="F647" s="2">
        <v>172531</v>
      </c>
      <c r="G647" s="2">
        <v>312068</v>
      </c>
      <c r="H647" s="2">
        <v>84933</v>
      </c>
      <c r="I647" s="2">
        <v>0</v>
      </c>
      <c r="K647" s="2">
        <v>182390</v>
      </c>
      <c r="L647" s="2">
        <v>171570</v>
      </c>
      <c r="M647" s="2">
        <v>153776</v>
      </c>
      <c r="N647" s="2">
        <v>61570</v>
      </c>
      <c r="O647" s="2">
        <v>0</v>
      </c>
      <c r="Q647" s="2">
        <v>193632</v>
      </c>
      <c r="R647" s="2">
        <v>-166560</v>
      </c>
      <c r="S647" s="2">
        <v>23475</v>
      </c>
      <c r="T647" s="2">
        <v>30552</v>
      </c>
      <c r="U647" s="2">
        <v>0</v>
      </c>
      <c r="W647" s="2">
        <v>218130</v>
      </c>
      <c r="X647" s="2">
        <v>178700</v>
      </c>
      <c r="Y647" s="2">
        <v>145074</v>
      </c>
      <c r="Z647" s="2">
        <v>0</v>
      </c>
      <c r="AA647" s="2">
        <v>0</v>
      </c>
      <c r="AC647" s="2">
        <v>6336</v>
      </c>
      <c r="AD647" s="2">
        <v>0</v>
      </c>
      <c r="AE647" s="2">
        <v>0</v>
      </c>
      <c r="AF647" s="2">
        <v>0</v>
      </c>
      <c r="AG647" s="2">
        <v>0</v>
      </c>
      <c r="AI647" s="2">
        <v>-11181</v>
      </c>
      <c r="AJ647" s="2">
        <v>-11179</v>
      </c>
      <c r="AK647" s="2">
        <v>-10257</v>
      </c>
      <c r="AL647" s="2">
        <v>-7189</v>
      </c>
      <c r="AM647" s="2">
        <v>0</v>
      </c>
    </row>
    <row r="648" spans="1:39">
      <c r="A648" s="335">
        <v>96811</v>
      </c>
      <c r="B648" s="328" t="s">
        <v>1339</v>
      </c>
      <c r="C648" s="239">
        <v>5.8506000000000001E-3</v>
      </c>
      <c r="E648" s="2">
        <v>2799855</v>
      </c>
      <c r="F648" s="2">
        <v>837141</v>
      </c>
      <c r="G648" s="2">
        <v>1493888</v>
      </c>
      <c r="H648" s="2">
        <v>400920</v>
      </c>
      <c r="I648" s="2">
        <v>0</v>
      </c>
      <c r="K648" s="2">
        <v>876461</v>
      </c>
      <c r="L648" s="2">
        <v>824467</v>
      </c>
      <c r="M648" s="2">
        <v>738960</v>
      </c>
      <c r="N648" s="2">
        <v>295871</v>
      </c>
      <c r="O648" s="2">
        <v>0</v>
      </c>
      <c r="Q648" s="2">
        <v>930485</v>
      </c>
      <c r="R648" s="2">
        <v>-800391</v>
      </c>
      <c r="S648" s="2">
        <v>112805</v>
      </c>
      <c r="T648" s="2">
        <v>146815</v>
      </c>
      <c r="U648" s="2">
        <v>0</v>
      </c>
      <c r="W648" s="2">
        <v>1048205</v>
      </c>
      <c r="X648" s="2">
        <v>858728</v>
      </c>
      <c r="Y648" s="2">
        <v>697140</v>
      </c>
      <c r="Z648" s="2">
        <v>0</v>
      </c>
      <c r="AA648" s="2">
        <v>0</v>
      </c>
      <c r="AC648" s="2">
        <v>9353</v>
      </c>
      <c r="AD648" s="2">
        <v>9353</v>
      </c>
      <c r="AE648" s="2">
        <v>0</v>
      </c>
      <c r="AF648" s="2">
        <v>0</v>
      </c>
      <c r="AG648" s="2">
        <v>0</v>
      </c>
      <c r="AI648" s="2">
        <v>-64649</v>
      </c>
      <c r="AJ648" s="2">
        <v>-55016</v>
      </c>
      <c r="AK648" s="2">
        <v>-55017</v>
      </c>
      <c r="AL648" s="2">
        <v>-41766</v>
      </c>
      <c r="AM648" s="2">
        <v>0</v>
      </c>
    </row>
    <row r="649" spans="1:39">
      <c r="A649" s="335">
        <v>96821</v>
      </c>
      <c r="B649" s="328" t="s">
        <v>1340</v>
      </c>
      <c r="C649" s="239">
        <v>1.2505999999999999E-3</v>
      </c>
      <c r="E649" s="2">
        <v>582959</v>
      </c>
      <c r="F649" s="2">
        <v>183044</v>
      </c>
      <c r="G649" s="2">
        <v>332700</v>
      </c>
      <c r="H649" s="2">
        <v>118570</v>
      </c>
      <c r="I649" s="2">
        <v>0</v>
      </c>
      <c r="K649" s="2">
        <v>187349</v>
      </c>
      <c r="L649" s="2">
        <v>176235</v>
      </c>
      <c r="M649" s="2">
        <v>157957</v>
      </c>
      <c r="N649" s="2">
        <v>63244</v>
      </c>
      <c r="O649" s="2">
        <v>0</v>
      </c>
      <c r="Q649" s="2">
        <v>198897</v>
      </c>
      <c r="R649" s="2">
        <v>-171088</v>
      </c>
      <c r="S649" s="2">
        <v>24113</v>
      </c>
      <c r="T649" s="2">
        <v>31383</v>
      </c>
      <c r="U649" s="2">
        <v>0</v>
      </c>
      <c r="W649" s="2">
        <v>224060</v>
      </c>
      <c r="X649" s="2">
        <v>183558</v>
      </c>
      <c r="Y649" s="2">
        <v>149018</v>
      </c>
      <c r="Z649" s="2">
        <v>0</v>
      </c>
      <c r="AA649" s="2">
        <v>0</v>
      </c>
      <c r="AC649" s="2">
        <v>23941</v>
      </c>
      <c r="AD649" s="2">
        <v>23941</v>
      </c>
      <c r="AE649" s="2">
        <v>23941</v>
      </c>
      <c r="AF649" s="2">
        <v>23943</v>
      </c>
      <c r="AG649" s="2">
        <v>0</v>
      </c>
      <c r="AI649" s="2">
        <v>-51288</v>
      </c>
      <c r="AJ649" s="2">
        <v>-29602</v>
      </c>
      <c r="AK649" s="2">
        <v>-22329</v>
      </c>
      <c r="AL649" s="2">
        <v>0</v>
      </c>
      <c r="AM649" s="2">
        <v>0</v>
      </c>
    </row>
    <row r="650" spans="1:39">
      <c r="A650" s="335">
        <v>96831</v>
      </c>
      <c r="B650" s="328" t="s">
        <v>1341</v>
      </c>
      <c r="C650" s="239">
        <v>9.0549999999999995E-4</v>
      </c>
      <c r="E650" s="2">
        <v>439272</v>
      </c>
      <c r="F650" s="2">
        <v>128279</v>
      </c>
      <c r="G650" s="2">
        <v>231248</v>
      </c>
      <c r="H650" s="2">
        <v>61491</v>
      </c>
      <c r="I650" s="2">
        <v>0</v>
      </c>
      <c r="K650" s="2">
        <v>135650</v>
      </c>
      <c r="L650" s="2">
        <v>127603</v>
      </c>
      <c r="M650" s="2">
        <v>114369</v>
      </c>
      <c r="N650" s="2">
        <v>45792</v>
      </c>
      <c r="O650" s="2">
        <v>0</v>
      </c>
      <c r="Q650" s="2">
        <v>144012</v>
      </c>
      <c r="R650" s="2">
        <v>-123877</v>
      </c>
      <c r="S650" s="2">
        <v>17459</v>
      </c>
      <c r="T650" s="2">
        <v>22723</v>
      </c>
      <c r="U650" s="2">
        <v>0</v>
      </c>
      <c r="W650" s="2">
        <v>162231</v>
      </c>
      <c r="X650" s="2">
        <v>132906</v>
      </c>
      <c r="Y650" s="2">
        <v>107897</v>
      </c>
      <c r="Z650" s="2">
        <v>0</v>
      </c>
      <c r="AA650" s="2">
        <v>0</v>
      </c>
      <c r="AC650" s="2">
        <v>5854</v>
      </c>
      <c r="AD650" s="2">
        <v>122</v>
      </c>
      <c r="AE650" s="2">
        <v>0</v>
      </c>
      <c r="AF650" s="2">
        <v>0</v>
      </c>
      <c r="AG650" s="2">
        <v>0</v>
      </c>
      <c r="AI650" s="2">
        <v>-8475</v>
      </c>
      <c r="AJ650" s="2">
        <v>-8475</v>
      </c>
      <c r="AK650" s="2">
        <v>-8477</v>
      </c>
      <c r="AL650" s="2">
        <v>-7024</v>
      </c>
      <c r="AM650" s="2">
        <v>0</v>
      </c>
    </row>
    <row r="651" spans="1:39">
      <c r="A651" s="335">
        <v>96901</v>
      </c>
      <c r="B651" s="328" t="s">
        <v>1342</v>
      </c>
      <c r="C651" s="239">
        <v>9.5589999999999998E-4</v>
      </c>
      <c r="E651" s="2">
        <v>494886</v>
      </c>
      <c r="F651" s="2">
        <v>168183</v>
      </c>
      <c r="G651" s="2">
        <v>263373</v>
      </c>
      <c r="H651" s="2">
        <v>79634</v>
      </c>
      <c r="I651" s="2">
        <v>0</v>
      </c>
      <c r="K651" s="2">
        <v>143201</v>
      </c>
      <c r="L651" s="2">
        <v>134705</v>
      </c>
      <c r="M651" s="2">
        <v>120735</v>
      </c>
      <c r="N651" s="2">
        <v>48341</v>
      </c>
      <c r="O651" s="2">
        <v>0</v>
      </c>
      <c r="Q651" s="2">
        <v>152027</v>
      </c>
      <c r="R651" s="2">
        <v>-130772</v>
      </c>
      <c r="S651" s="2">
        <v>18431</v>
      </c>
      <c r="T651" s="2">
        <v>23987</v>
      </c>
      <c r="U651" s="2">
        <v>0</v>
      </c>
      <c r="W651" s="2">
        <v>171261</v>
      </c>
      <c r="X651" s="2">
        <v>140303</v>
      </c>
      <c r="Y651" s="2">
        <v>113902</v>
      </c>
      <c r="Z651" s="2">
        <v>0</v>
      </c>
      <c r="AA651" s="2">
        <v>0</v>
      </c>
      <c r="AC651" s="2">
        <v>28397</v>
      </c>
      <c r="AD651" s="2">
        <v>23947</v>
      </c>
      <c r="AE651" s="2">
        <v>10305</v>
      </c>
      <c r="AF651" s="2">
        <v>7306</v>
      </c>
      <c r="AG651" s="2">
        <v>0</v>
      </c>
      <c r="AI651" s="2">
        <v>0</v>
      </c>
      <c r="AJ651" s="2">
        <v>0</v>
      </c>
      <c r="AK651" s="2">
        <v>0</v>
      </c>
      <c r="AL651" s="2">
        <v>0</v>
      </c>
      <c r="AM651" s="2">
        <v>0</v>
      </c>
    </row>
    <row r="652" spans="1:39">
      <c r="A652" s="335">
        <v>96911</v>
      </c>
      <c r="B652" s="328" t="s">
        <v>1343</v>
      </c>
      <c r="C652" s="239">
        <v>2.3E-6</v>
      </c>
      <c r="E652" s="2">
        <v>820</v>
      </c>
      <c r="F652" s="2">
        <v>872</v>
      </c>
      <c r="G652" s="2">
        <v>1186</v>
      </c>
      <c r="H652" s="2">
        <v>501</v>
      </c>
      <c r="I652" s="2">
        <v>0</v>
      </c>
      <c r="K652" s="2">
        <v>345</v>
      </c>
      <c r="L652" s="2">
        <v>324</v>
      </c>
      <c r="M652" s="2">
        <v>291</v>
      </c>
      <c r="N652" s="2">
        <v>116</v>
      </c>
      <c r="O652" s="2">
        <v>0</v>
      </c>
      <c r="Q652" s="2">
        <v>366</v>
      </c>
      <c r="R652" s="2">
        <v>-315</v>
      </c>
      <c r="S652" s="2">
        <v>44</v>
      </c>
      <c r="T652" s="2">
        <v>58</v>
      </c>
      <c r="U652" s="2">
        <v>0</v>
      </c>
      <c r="W652" s="2">
        <v>412</v>
      </c>
      <c r="X652" s="2">
        <v>338</v>
      </c>
      <c r="Y652" s="2">
        <v>274</v>
      </c>
      <c r="Z652" s="2">
        <v>0</v>
      </c>
      <c r="AA652" s="2">
        <v>0</v>
      </c>
      <c r="AC652" s="2">
        <v>575</v>
      </c>
      <c r="AD652" s="2">
        <v>575</v>
      </c>
      <c r="AE652" s="2">
        <v>577</v>
      </c>
      <c r="AF652" s="2">
        <v>327</v>
      </c>
      <c r="AG652" s="2">
        <v>0</v>
      </c>
      <c r="AI652" s="2">
        <v>-878</v>
      </c>
      <c r="AJ652" s="2">
        <v>-50</v>
      </c>
      <c r="AK652" s="2">
        <v>0</v>
      </c>
      <c r="AL652" s="2">
        <v>0</v>
      </c>
      <c r="AM652" s="2">
        <v>0</v>
      </c>
    </row>
    <row r="653" spans="1:39">
      <c r="A653" s="335">
        <v>96912</v>
      </c>
      <c r="B653" s="328" t="s">
        <v>1344</v>
      </c>
      <c r="C653" s="239">
        <v>7.2000000000000002E-5</v>
      </c>
      <c r="E653" s="2">
        <v>34027</v>
      </c>
      <c r="F653" s="2">
        <v>9979</v>
      </c>
      <c r="G653" s="2">
        <v>18922</v>
      </c>
      <c r="H653" s="2">
        <v>5198</v>
      </c>
      <c r="I653" s="2">
        <v>0</v>
      </c>
      <c r="K653" s="2">
        <v>10786</v>
      </c>
      <c r="L653" s="2">
        <v>10146</v>
      </c>
      <c r="M653" s="2">
        <v>9094</v>
      </c>
      <c r="N653" s="2">
        <v>3641</v>
      </c>
      <c r="O653" s="2">
        <v>0</v>
      </c>
      <c r="Q653" s="2">
        <v>11451</v>
      </c>
      <c r="R653" s="2">
        <v>-9850</v>
      </c>
      <c r="S653" s="2">
        <v>1388</v>
      </c>
      <c r="T653" s="2">
        <v>1807</v>
      </c>
      <c r="U653" s="2">
        <v>0</v>
      </c>
      <c r="W653" s="2">
        <v>12900</v>
      </c>
      <c r="X653" s="2">
        <v>10568</v>
      </c>
      <c r="Y653" s="2">
        <v>8579</v>
      </c>
      <c r="Z653" s="2">
        <v>0</v>
      </c>
      <c r="AA653" s="2">
        <v>0</v>
      </c>
      <c r="AC653" s="2">
        <v>111</v>
      </c>
      <c r="AD653" s="2">
        <v>111</v>
      </c>
      <c r="AE653" s="2">
        <v>110</v>
      </c>
      <c r="AF653" s="2">
        <v>0</v>
      </c>
      <c r="AG653" s="2">
        <v>0</v>
      </c>
      <c r="AI653" s="2">
        <v>-1221</v>
      </c>
      <c r="AJ653" s="2">
        <v>-996</v>
      </c>
      <c r="AK653" s="2">
        <v>-249</v>
      </c>
      <c r="AL653" s="2">
        <v>-250</v>
      </c>
      <c r="AM653" s="2">
        <v>0</v>
      </c>
    </row>
    <row r="654" spans="1:39">
      <c r="A654" s="335">
        <v>96918</v>
      </c>
      <c r="B654" s="328" t="s">
        <v>1345</v>
      </c>
      <c r="C654" s="239">
        <v>2.9799999999999999E-5</v>
      </c>
      <c r="E654" s="2">
        <v>13498</v>
      </c>
      <c r="F654" s="2">
        <v>3717</v>
      </c>
      <c r="G654" s="2">
        <v>6960</v>
      </c>
      <c r="H654" s="2">
        <v>2156</v>
      </c>
      <c r="I654" s="2">
        <v>0</v>
      </c>
      <c r="K654" s="2">
        <v>4464</v>
      </c>
      <c r="L654" s="2">
        <v>4199</v>
      </c>
      <c r="M654" s="2">
        <v>3764</v>
      </c>
      <c r="N654" s="2">
        <v>1507</v>
      </c>
      <c r="O654" s="2">
        <v>0</v>
      </c>
      <c r="Q654" s="2">
        <v>4739</v>
      </c>
      <c r="R654" s="2">
        <v>-4077</v>
      </c>
      <c r="S654" s="2">
        <v>575</v>
      </c>
      <c r="T654" s="2">
        <v>748</v>
      </c>
      <c r="U654" s="2">
        <v>0</v>
      </c>
      <c r="W654" s="2">
        <v>5339</v>
      </c>
      <c r="X654" s="2">
        <v>4374</v>
      </c>
      <c r="Y654" s="2">
        <v>3551</v>
      </c>
      <c r="Z654" s="2">
        <v>0</v>
      </c>
      <c r="AA654" s="2">
        <v>0</v>
      </c>
      <c r="AC654" s="2">
        <v>150</v>
      </c>
      <c r="AD654" s="2">
        <v>149</v>
      </c>
      <c r="AE654" s="2">
        <v>0</v>
      </c>
      <c r="AF654" s="2">
        <v>0</v>
      </c>
      <c r="AG654" s="2">
        <v>0</v>
      </c>
      <c r="AI654" s="2">
        <v>-1194</v>
      </c>
      <c r="AJ654" s="2">
        <v>-928</v>
      </c>
      <c r="AK654" s="2">
        <v>-930</v>
      </c>
      <c r="AL654" s="2">
        <v>-99</v>
      </c>
      <c r="AM654" s="2">
        <v>0</v>
      </c>
    </row>
    <row r="655" spans="1:39">
      <c r="A655" s="335">
        <v>97001</v>
      </c>
      <c r="B655" s="328" t="s">
        <v>1346</v>
      </c>
      <c r="C655" s="239">
        <v>1.3541E-3</v>
      </c>
      <c r="E655" s="2">
        <v>712452</v>
      </c>
      <c r="F655" s="2">
        <v>237521</v>
      </c>
      <c r="G655" s="2">
        <v>373759</v>
      </c>
      <c r="H655" s="2">
        <v>107362</v>
      </c>
      <c r="I655" s="2">
        <v>0</v>
      </c>
      <c r="K655" s="2">
        <v>202854</v>
      </c>
      <c r="L655" s="2">
        <v>190820</v>
      </c>
      <c r="M655" s="2">
        <v>171030</v>
      </c>
      <c r="N655" s="2">
        <v>68478</v>
      </c>
      <c r="O655" s="2">
        <v>0</v>
      </c>
      <c r="Q655" s="2">
        <v>215357</v>
      </c>
      <c r="R655" s="2">
        <v>-185248</v>
      </c>
      <c r="S655" s="2">
        <v>26108</v>
      </c>
      <c r="T655" s="2">
        <v>33980</v>
      </c>
      <c r="U655" s="2">
        <v>0</v>
      </c>
      <c r="W655" s="2">
        <v>242603</v>
      </c>
      <c r="X655" s="2">
        <v>198749</v>
      </c>
      <c r="Y655" s="2">
        <v>161350</v>
      </c>
      <c r="Z655" s="2">
        <v>0</v>
      </c>
      <c r="AA655" s="2">
        <v>0</v>
      </c>
      <c r="AC655" s="2">
        <v>51638</v>
      </c>
      <c r="AD655" s="2">
        <v>33200</v>
      </c>
      <c r="AE655" s="2">
        <v>15271</v>
      </c>
      <c r="AF655" s="2">
        <v>4904</v>
      </c>
      <c r="AG655" s="2">
        <v>0</v>
      </c>
      <c r="AI655" s="2">
        <v>0</v>
      </c>
      <c r="AJ655" s="2">
        <v>0</v>
      </c>
      <c r="AK655" s="2">
        <v>0</v>
      </c>
      <c r="AL655" s="2">
        <v>0</v>
      </c>
      <c r="AM655" s="2">
        <v>0</v>
      </c>
    </row>
    <row r="656" spans="1:39">
      <c r="A656" s="335">
        <v>97002</v>
      </c>
      <c r="B656" s="328" t="s">
        <v>1347</v>
      </c>
      <c r="C656" s="239">
        <v>5.04E-4</v>
      </c>
      <c r="E656" s="2">
        <v>219881</v>
      </c>
      <c r="F656" s="2">
        <v>48179</v>
      </c>
      <c r="G656" s="2">
        <v>107313</v>
      </c>
      <c r="H656" s="2">
        <v>29592</v>
      </c>
      <c r="I656" s="2">
        <v>0</v>
      </c>
      <c r="K656" s="2">
        <v>75503</v>
      </c>
      <c r="L656" s="2">
        <v>71024</v>
      </c>
      <c r="M656" s="2">
        <v>63658</v>
      </c>
      <c r="N656" s="2">
        <v>25488</v>
      </c>
      <c r="O656" s="2">
        <v>0</v>
      </c>
      <c r="Q656" s="2">
        <v>80157</v>
      </c>
      <c r="R656" s="2">
        <v>-68950</v>
      </c>
      <c r="S656" s="2">
        <v>9718</v>
      </c>
      <c r="T656" s="2">
        <v>12647</v>
      </c>
      <c r="U656" s="2">
        <v>0</v>
      </c>
      <c r="W656" s="2">
        <v>90298</v>
      </c>
      <c r="X656" s="2">
        <v>73975</v>
      </c>
      <c r="Y656" s="2">
        <v>60055</v>
      </c>
      <c r="Z656" s="2">
        <v>0</v>
      </c>
      <c r="AA656" s="2">
        <v>0</v>
      </c>
      <c r="AC656" s="2">
        <v>1791</v>
      </c>
      <c r="AD656" s="2">
        <v>0</v>
      </c>
      <c r="AE656" s="2">
        <v>0</v>
      </c>
      <c r="AF656" s="2">
        <v>0</v>
      </c>
      <c r="AG656" s="2">
        <v>0</v>
      </c>
      <c r="AI656" s="2">
        <v>-27868</v>
      </c>
      <c r="AJ656" s="2">
        <v>-27870</v>
      </c>
      <c r="AK656" s="2">
        <v>-26118</v>
      </c>
      <c r="AL656" s="2">
        <v>-8543</v>
      </c>
      <c r="AM656" s="2">
        <v>0</v>
      </c>
    </row>
    <row r="657" spans="1:39">
      <c r="A657" s="335">
        <v>97004</v>
      </c>
      <c r="B657" s="328" t="s">
        <v>3711</v>
      </c>
      <c r="C657" s="239">
        <v>1.5400000000000002E-5</v>
      </c>
      <c r="E657" s="2">
        <v>10749</v>
      </c>
      <c r="F657" s="2">
        <v>5507</v>
      </c>
      <c r="G657" s="2">
        <v>6692</v>
      </c>
      <c r="H657" s="2">
        <v>3082</v>
      </c>
      <c r="I657" s="2">
        <v>0</v>
      </c>
      <c r="K657" s="2">
        <v>2307</v>
      </c>
      <c r="L657" s="2">
        <v>2170</v>
      </c>
      <c r="M657" s="2">
        <v>1945</v>
      </c>
      <c r="N657" s="2">
        <v>779</v>
      </c>
      <c r="O657" s="2">
        <v>0</v>
      </c>
      <c r="Q657" s="2">
        <v>2449</v>
      </c>
      <c r="R657" s="2">
        <v>-2107</v>
      </c>
      <c r="S657" s="2">
        <v>297</v>
      </c>
      <c r="T657" s="2">
        <v>386</v>
      </c>
      <c r="U657" s="2">
        <v>0</v>
      </c>
      <c r="W657" s="2">
        <v>2759</v>
      </c>
      <c r="X657" s="2">
        <v>2260</v>
      </c>
      <c r="Y657" s="2">
        <v>1835</v>
      </c>
      <c r="Z657" s="2">
        <v>0</v>
      </c>
      <c r="AA657" s="2">
        <v>0</v>
      </c>
      <c r="AC657" s="2">
        <v>3234</v>
      </c>
      <c r="AD657" s="2">
        <v>3184</v>
      </c>
      <c r="AE657" s="2">
        <v>2615</v>
      </c>
      <c r="AF657" s="2">
        <v>1917</v>
      </c>
      <c r="AG657" s="2">
        <v>0</v>
      </c>
      <c r="AI657" s="2">
        <v>0</v>
      </c>
      <c r="AJ657" s="2">
        <v>0</v>
      </c>
      <c r="AK657" s="2">
        <v>0</v>
      </c>
      <c r="AL657" s="2">
        <v>0</v>
      </c>
      <c r="AM657" s="2">
        <v>0</v>
      </c>
    </row>
    <row r="658" spans="1:39">
      <c r="A658" s="335">
        <v>97005</v>
      </c>
      <c r="B658" s="328" t="s">
        <v>1349</v>
      </c>
      <c r="C658" s="239">
        <v>2.0100000000000001E-5</v>
      </c>
      <c r="E658" s="2">
        <v>11977</v>
      </c>
      <c r="F658" s="2">
        <v>5526</v>
      </c>
      <c r="G658" s="2">
        <v>5031</v>
      </c>
      <c r="H658" s="2">
        <v>1069</v>
      </c>
      <c r="I658" s="2">
        <v>0</v>
      </c>
      <c r="K658" s="2">
        <v>3011</v>
      </c>
      <c r="L658" s="2">
        <v>2832</v>
      </c>
      <c r="M658" s="2">
        <v>2539</v>
      </c>
      <c r="N658" s="2">
        <v>1016</v>
      </c>
      <c r="O658" s="2">
        <v>0</v>
      </c>
      <c r="Q658" s="2">
        <v>3197</v>
      </c>
      <c r="R658" s="2">
        <v>-2750</v>
      </c>
      <c r="S658" s="2">
        <v>388</v>
      </c>
      <c r="T658" s="2">
        <v>504</v>
      </c>
      <c r="U658" s="2">
        <v>0</v>
      </c>
      <c r="W658" s="2">
        <v>3601</v>
      </c>
      <c r="X658" s="2">
        <v>2950</v>
      </c>
      <c r="Y658" s="2">
        <v>2395</v>
      </c>
      <c r="Z658" s="2">
        <v>0</v>
      </c>
      <c r="AA658" s="2">
        <v>0</v>
      </c>
      <c r="AC658" s="2">
        <v>2942</v>
      </c>
      <c r="AD658" s="2">
        <v>2944</v>
      </c>
      <c r="AE658" s="2">
        <v>159</v>
      </c>
      <c r="AF658" s="2">
        <v>0</v>
      </c>
      <c r="AG658" s="2">
        <v>0</v>
      </c>
      <c r="AI658" s="2">
        <v>-774</v>
      </c>
      <c r="AJ658" s="2">
        <v>-450</v>
      </c>
      <c r="AK658" s="2">
        <v>-450</v>
      </c>
      <c r="AL658" s="2">
        <v>-451</v>
      </c>
      <c r="AM658" s="2">
        <v>0</v>
      </c>
    </row>
    <row r="659" spans="1:39">
      <c r="A659" s="335">
        <v>97008</v>
      </c>
      <c r="B659" s="328" t="s">
        <v>1350</v>
      </c>
      <c r="C659" s="239">
        <v>2.8699999999999998E-4</v>
      </c>
      <c r="E659" s="2">
        <v>142968</v>
      </c>
      <c r="F659" s="2">
        <v>46580</v>
      </c>
      <c r="G659" s="2">
        <v>77984</v>
      </c>
      <c r="H659" s="2">
        <v>24629</v>
      </c>
      <c r="I659" s="2">
        <v>0</v>
      </c>
      <c r="K659" s="2">
        <v>42995</v>
      </c>
      <c r="L659" s="2">
        <v>40444</v>
      </c>
      <c r="M659" s="2">
        <v>36250</v>
      </c>
      <c r="N659" s="2">
        <v>14514</v>
      </c>
      <c r="O659" s="2">
        <v>0</v>
      </c>
      <c r="Q659" s="2">
        <v>45645</v>
      </c>
      <c r="R659" s="2">
        <v>-39263</v>
      </c>
      <c r="S659" s="2">
        <v>5534</v>
      </c>
      <c r="T659" s="2">
        <v>7202</v>
      </c>
      <c r="U659" s="2">
        <v>0</v>
      </c>
      <c r="W659" s="2">
        <v>51419</v>
      </c>
      <c r="X659" s="2">
        <v>42125</v>
      </c>
      <c r="Y659" s="2">
        <v>34198</v>
      </c>
      <c r="Z659" s="2">
        <v>0</v>
      </c>
      <c r="AA659" s="2">
        <v>0</v>
      </c>
      <c r="AC659" s="2">
        <v>4184</v>
      </c>
      <c r="AD659" s="2">
        <v>4184</v>
      </c>
      <c r="AE659" s="2">
        <v>2914</v>
      </c>
      <c r="AF659" s="2">
        <v>2913</v>
      </c>
      <c r="AG659" s="2">
        <v>0</v>
      </c>
      <c r="AI659" s="2">
        <v>-1275</v>
      </c>
      <c r="AJ659" s="2">
        <v>-910</v>
      </c>
      <c r="AK659" s="2">
        <v>-912</v>
      </c>
      <c r="AL659" s="2">
        <v>0</v>
      </c>
      <c r="AM659" s="2">
        <v>0</v>
      </c>
    </row>
    <row r="660" spans="1:39">
      <c r="A660" s="335">
        <v>97011</v>
      </c>
      <c r="B660" s="328" t="s">
        <v>1352</v>
      </c>
      <c r="C660" s="239">
        <v>1.8362999999999999E-3</v>
      </c>
      <c r="E660" s="2">
        <v>848075</v>
      </c>
      <c r="F660" s="2">
        <v>250568</v>
      </c>
      <c r="G660" s="2">
        <v>460094</v>
      </c>
      <c r="H660" s="2">
        <v>114670</v>
      </c>
      <c r="I660" s="2">
        <v>0</v>
      </c>
      <c r="K660" s="2">
        <v>275091</v>
      </c>
      <c r="L660" s="2">
        <v>258771</v>
      </c>
      <c r="M660" s="2">
        <v>231934</v>
      </c>
      <c r="N660" s="2">
        <v>92864</v>
      </c>
      <c r="O660" s="2">
        <v>0</v>
      </c>
      <c r="Q660" s="2">
        <v>292047</v>
      </c>
      <c r="R660" s="2">
        <v>-251215</v>
      </c>
      <c r="S660" s="2">
        <v>35406</v>
      </c>
      <c r="T660" s="2">
        <v>46080</v>
      </c>
      <c r="U660" s="2">
        <v>0</v>
      </c>
      <c r="W660" s="2">
        <v>328995</v>
      </c>
      <c r="X660" s="2">
        <v>269525</v>
      </c>
      <c r="Y660" s="2">
        <v>218808</v>
      </c>
      <c r="Z660" s="2">
        <v>0</v>
      </c>
      <c r="AA660" s="2">
        <v>0</v>
      </c>
      <c r="AC660" s="2">
        <v>0</v>
      </c>
      <c r="AD660" s="2">
        <v>0</v>
      </c>
      <c r="AE660" s="2">
        <v>0</v>
      </c>
      <c r="AF660" s="2">
        <v>0</v>
      </c>
      <c r="AG660" s="2">
        <v>0</v>
      </c>
      <c r="AI660" s="2">
        <v>-48058</v>
      </c>
      <c r="AJ660" s="2">
        <v>-26513</v>
      </c>
      <c r="AK660" s="2">
        <v>-26054</v>
      </c>
      <c r="AL660" s="2">
        <v>-24274</v>
      </c>
      <c r="AM660" s="2">
        <v>0</v>
      </c>
    </row>
    <row r="661" spans="1:39">
      <c r="A661" s="335">
        <v>97012</v>
      </c>
      <c r="B661" s="328" t="s">
        <v>3712</v>
      </c>
      <c r="C661" s="239">
        <v>2.97E-5</v>
      </c>
      <c r="E661" s="2">
        <v>17082</v>
      </c>
      <c r="F661" s="2">
        <v>6307</v>
      </c>
      <c r="G661" s="2">
        <v>9082</v>
      </c>
      <c r="H661" s="2">
        <v>2651</v>
      </c>
      <c r="I661" s="2">
        <v>0</v>
      </c>
      <c r="K661" s="2">
        <v>4449</v>
      </c>
      <c r="L661" s="2">
        <v>4185</v>
      </c>
      <c r="M661" s="2">
        <v>3751</v>
      </c>
      <c r="N661" s="2">
        <v>1502</v>
      </c>
      <c r="O661" s="2">
        <v>0</v>
      </c>
      <c r="Q661" s="2">
        <v>4724</v>
      </c>
      <c r="R661" s="2">
        <v>-4063</v>
      </c>
      <c r="S661" s="2">
        <v>573</v>
      </c>
      <c r="T661" s="2">
        <v>745</v>
      </c>
      <c r="U661" s="2">
        <v>0</v>
      </c>
      <c r="W661" s="2">
        <v>5321</v>
      </c>
      <c r="X661" s="2">
        <v>4359</v>
      </c>
      <c r="Y661" s="2">
        <v>3539</v>
      </c>
      <c r="Z661" s="2">
        <v>0</v>
      </c>
      <c r="AA661" s="2">
        <v>0</v>
      </c>
      <c r="AC661" s="2">
        <v>2588</v>
      </c>
      <c r="AD661" s="2">
        <v>1826</v>
      </c>
      <c r="AE661" s="2">
        <v>1219</v>
      </c>
      <c r="AF661" s="2">
        <v>404</v>
      </c>
      <c r="AG661" s="2">
        <v>0</v>
      </c>
      <c r="AI661" s="2">
        <v>0</v>
      </c>
      <c r="AJ661" s="2">
        <v>0</v>
      </c>
      <c r="AK661" s="2">
        <v>0</v>
      </c>
      <c r="AL661" s="2">
        <v>0</v>
      </c>
      <c r="AM661" s="2">
        <v>0</v>
      </c>
    </row>
    <row r="662" spans="1:39">
      <c r="A662" s="335">
        <v>97013</v>
      </c>
      <c r="B662" s="328" t="s">
        <v>1354</v>
      </c>
      <c r="C662" s="239">
        <v>9.0000000000000002E-6</v>
      </c>
      <c r="E662" s="2">
        <v>4447</v>
      </c>
      <c r="F662" s="2">
        <v>349</v>
      </c>
      <c r="G662" s="2">
        <v>1175</v>
      </c>
      <c r="H662" s="2">
        <v>-1430</v>
      </c>
      <c r="I662" s="2">
        <v>0</v>
      </c>
      <c r="K662" s="2">
        <v>1348</v>
      </c>
      <c r="L662" s="2">
        <v>1268</v>
      </c>
      <c r="M662" s="2">
        <v>1137</v>
      </c>
      <c r="N662" s="2">
        <v>455</v>
      </c>
      <c r="O662" s="2">
        <v>0</v>
      </c>
      <c r="Q662" s="2">
        <v>1431</v>
      </c>
      <c r="R662" s="2">
        <v>-1231</v>
      </c>
      <c r="S662" s="2">
        <v>174</v>
      </c>
      <c r="T662" s="2">
        <v>226</v>
      </c>
      <c r="U662" s="2">
        <v>0</v>
      </c>
      <c r="W662" s="2">
        <v>1612</v>
      </c>
      <c r="X662" s="2">
        <v>1321</v>
      </c>
      <c r="Y662" s="2">
        <v>1072</v>
      </c>
      <c r="Z662" s="2">
        <v>0</v>
      </c>
      <c r="AA662" s="2">
        <v>0</v>
      </c>
      <c r="AC662" s="2">
        <v>2169</v>
      </c>
      <c r="AD662" s="2">
        <v>1104</v>
      </c>
      <c r="AE662" s="2">
        <v>905</v>
      </c>
      <c r="AF662" s="2">
        <v>0</v>
      </c>
      <c r="AG662" s="2">
        <v>0</v>
      </c>
      <c r="AI662" s="2">
        <v>-2113</v>
      </c>
      <c r="AJ662" s="2">
        <v>-2113</v>
      </c>
      <c r="AK662" s="2">
        <v>-2113</v>
      </c>
      <c r="AL662" s="2">
        <v>-2111</v>
      </c>
      <c r="AM662" s="2">
        <v>0</v>
      </c>
    </row>
    <row r="663" spans="1:39">
      <c r="A663" s="335">
        <v>97015</v>
      </c>
      <c r="B663" s="328" t="s">
        <v>1355</v>
      </c>
      <c r="C663" s="239">
        <v>4.3900000000000003E-5</v>
      </c>
      <c r="E663" s="2">
        <v>21544</v>
      </c>
      <c r="F663" s="2">
        <v>6050</v>
      </c>
      <c r="G663" s="2">
        <v>12298</v>
      </c>
      <c r="H663" s="2">
        <v>2172</v>
      </c>
      <c r="I663" s="2">
        <v>0</v>
      </c>
      <c r="K663" s="2">
        <v>6577</v>
      </c>
      <c r="L663" s="2">
        <v>6186</v>
      </c>
      <c r="M663" s="2">
        <v>5545</v>
      </c>
      <c r="N663" s="2">
        <v>2220</v>
      </c>
      <c r="O663" s="2">
        <v>0</v>
      </c>
      <c r="Q663" s="2">
        <v>6982</v>
      </c>
      <c r="R663" s="2">
        <v>-6006</v>
      </c>
      <c r="S663" s="2">
        <v>846</v>
      </c>
      <c r="T663" s="2">
        <v>1102</v>
      </c>
      <c r="U663" s="2">
        <v>0</v>
      </c>
      <c r="W663" s="2">
        <v>7865</v>
      </c>
      <c r="X663" s="2">
        <v>6443</v>
      </c>
      <c r="Y663" s="2">
        <v>5231</v>
      </c>
      <c r="Z663" s="2">
        <v>0</v>
      </c>
      <c r="AA663" s="2">
        <v>0</v>
      </c>
      <c r="AC663" s="2">
        <v>2518</v>
      </c>
      <c r="AD663" s="2">
        <v>1826</v>
      </c>
      <c r="AE663" s="2">
        <v>1826</v>
      </c>
      <c r="AF663" s="2">
        <v>0</v>
      </c>
      <c r="AG663" s="2">
        <v>0</v>
      </c>
      <c r="AI663" s="2">
        <v>-2398</v>
      </c>
      <c r="AJ663" s="2">
        <v>-2399</v>
      </c>
      <c r="AK663" s="2">
        <v>-1150</v>
      </c>
      <c r="AL663" s="2">
        <v>-1150</v>
      </c>
      <c r="AM663" s="2">
        <v>0</v>
      </c>
    </row>
    <row r="664" spans="1:39">
      <c r="A664" s="335">
        <v>97018</v>
      </c>
      <c r="B664" s="328" t="s">
        <v>3713</v>
      </c>
      <c r="C664" s="239">
        <v>1.6399999999999999E-5</v>
      </c>
      <c r="E664" s="2">
        <v>11722</v>
      </c>
      <c r="F664" s="2">
        <v>5593</v>
      </c>
      <c r="G664" s="2">
        <v>6755</v>
      </c>
      <c r="H664" s="2">
        <v>2875</v>
      </c>
      <c r="I664" s="2">
        <v>0</v>
      </c>
      <c r="K664" s="2">
        <v>2457</v>
      </c>
      <c r="L664" s="2">
        <v>2311</v>
      </c>
      <c r="M664" s="2">
        <v>2071</v>
      </c>
      <c r="N664" s="2">
        <v>829</v>
      </c>
      <c r="O664" s="2">
        <v>0</v>
      </c>
      <c r="Q664" s="2">
        <v>2608</v>
      </c>
      <c r="R664" s="2">
        <v>-2244</v>
      </c>
      <c r="S664" s="2">
        <v>316</v>
      </c>
      <c r="T664" s="2">
        <v>412</v>
      </c>
      <c r="U664" s="2">
        <v>0</v>
      </c>
      <c r="W664" s="2">
        <v>2938</v>
      </c>
      <c r="X664" s="2">
        <v>2407</v>
      </c>
      <c r="Y664" s="2">
        <v>1954</v>
      </c>
      <c r="Z664" s="2">
        <v>0</v>
      </c>
      <c r="AA664" s="2">
        <v>0</v>
      </c>
      <c r="AC664" s="2">
        <v>3719</v>
      </c>
      <c r="AD664" s="2">
        <v>3119</v>
      </c>
      <c r="AE664" s="2">
        <v>2414</v>
      </c>
      <c r="AF664" s="2">
        <v>1634</v>
      </c>
      <c r="AG664" s="2">
        <v>0</v>
      </c>
      <c r="AI664" s="2">
        <v>0</v>
      </c>
      <c r="AJ664" s="2">
        <v>0</v>
      </c>
      <c r="AK664" s="2">
        <v>0</v>
      </c>
      <c r="AL664" s="2">
        <v>0</v>
      </c>
      <c r="AM664" s="2">
        <v>0</v>
      </c>
    </row>
    <row r="665" spans="1:39">
      <c r="A665" s="335">
        <v>97101</v>
      </c>
      <c r="B665" s="328" t="s">
        <v>1357</v>
      </c>
      <c r="C665" s="239">
        <v>2.7334E-3</v>
      </c>
      <c r="E665" s="2">
        <v>1408201</v>
      </c>
      <c r="F665" s="2">
        <v>485567</v>
      </c>
      <c r="G665" s="2">
        <v>795871</v>
      </c>
      <c r="H665" s="2">
        <v>273260</v>
      </c>
      <c r="I665" s="2">
        <v>0</v>
      </c>
      <c r="K665" s="2">
        <v>409482</v>
      </c>
      <c r="L665" s="2">
        <v>385191</v>
      </c>
      <c r="M665" s="2">
        <v>345242</v>
      </c>
      <c r="N665" s="2">
        <v>138231</v>
      </c>
      <c r="O665" s="2">
        <v>0</v>
      </c>
      <c r="Q665" s="2">
        <v>434723</v>
      </c>
      <c r="R665" s="2">
        <v>-373943</v>
      </c>
      <c r="S665" s="2">
        <v>52703</v>
      </c>
      <c r="T665" s="2">
        <v>68592</v>
      </c>
      <c r="U665" s="2">
        <v>0</v>
      </c>
      <c r="W665" s="2">
        <v>489721</v>
      </c>
      <c r="X665" s="2">
        <v>401198</v>
      </c>
      <c r="Y665" s="2">
        <v>325704</v>
      </c>
      <c r="Z665" s="2">
        <v>0</v>
      </c>
      <c r="AA665" s="2">
        <v>0</v>
      </c>
      <c r="AC665" s="2">
        <v>74275</v>
      </c>
      <c r="AD665" s="2">
        <v>73121</v>
      </c>
      <c r="AE665" s="2">
        <v>72222</v>
      </c>
      <c r="AF665" s="2">
        <v>66437</v>
      </c>
      <c r="AG665" s="2">
        <v>0</v>
      </c>
      <c r="AI665" s="2">
        <v>0</v>
      </c>
      <c r="AJ665" s="2">
        <v>0</v>
      </c>
      <c r="AK665" s="2">
        <v>0</v>
      </c>
      <c r="AL665" s="2">
        <v>0</v>
      </c>
      <c r="AM665" s="2">
        <v>0</v>
      </c>
    </row>
    <row r="666" spans="1:39">
      <c r="A666" s="335">
        <v>97104</v>
      </c>
      <c r="B666" s="328" t="s">
        <v>1358</v>
      </c>
      <c r="C666" s="239">
        <v>5.41E-5</v>
      </c>
      <c r="E666" s="2">
        <v>29826</v>
      </c>
      <c r="F666" s="2">
        <v>10517</v>
      </c>
      <c r="G666" s="2">
        <v>16253</v>
      </c>
      <c r="H666" s="2">
        <v>4617</v>
      </c>
      <c r="I666" s="2">
        <v>0</v>
      </c>
      <c r="K666" s="2">
        <v>8105</v>
      </c>
      <c r="L666" s="2">
        <v>7624</v>
      </c>
      <c r="M666" s="2">
        <v>6833</v>
      </c>
      <c r="N666" s="2">
        <v>2736</v>
      </c>
      <c r="O666" s="2">
        <v>0</v>
      </c>
      <c r="Q666" s="2">
        <v>8604</v>
      </c>
      <c r="R666" s="2">
        <v>-7401</v>
      </c>
      <c r="S666" s="2">
        <v>1043</v>
      </c>
      <c r="T666" s="2">
        <v>1358</v>
      </c>
      <c r="U666" s="2">
        <v>0</v>
      </c>
      <c r="W666" s="2">
        <v>9693</v>
      </c>
      <c r="X666" s="2">
        <v>7941</v>
      </c>
      <c r="Y666" s="2">
        <v>6446</v>
      </c>
      <c r="Z666" s="2">
        <v>0</v>
      </c>
      <c r="AA666" s="2">
        <v>0</v>
      </c>
      <c r="AC666" s="2">
        <v>3424</v>
      </c>
      <c r="AD666" s="2">
        <v>2353</v>
      </c>
      <c r="AE666" s="2">
        <v>1931</v>
      </c>
      <c r="AF666" s="2">
        <v>523</v>
      </c>
      <c r="AG666" s="2">
        <v>0</v>
      </c>
      <c r="AI666" s="2">
        <v>0</v>
      </c>
      <c r="AJ666" s="2">
        <v>0</v>
      </c>
      <c r="AK666" s="2">
        <v>0</v>
      </c>
      <c r="AL666" s="2">
        <v>0</v>
      </c>
      <c r="AM666" s="2">
        <v>0</v>
      </c>
    </row>
    <row r="667" spans="1:39">
      <c r="A667" s="335">
        <v>97111</v>
      </c>
      <c r="B667" s="328" t="s">
        <v>1359</v>
      </c>
      <c r="C667" s="239">
        <v>2.8489999999999999E-4</v>
      </c>
      <c r="E667" s="2">
        <v>131183</v>
      </c>
      <c r="F667" s="2">
        <v>34835</v>
      </c>
      <c r="G667" s="2">
        <v>69545</v>
      </c>
      <c r="H667" s="2">
        <v>17622</v>
      </c>
      <c r="I667" s="2">
        <v>0</v>
      </c>
      <c r="K667" s="2">
        <v>42680</v>
      </c>
      <c r="L667" s="2">
        <v>40148</v>
      </c>
      <c r="M667" s="2">
        <v>35984</v>
      </c>
      <c r="N667" s="2">
        <v>14408</v>
      </c>
      <c r="O667" s="2">
        <v>0</v>
      </c>
      <c r="Q667" s="2">
        <v>45311</v>
      </c>
      <c r="R667" s="2">
        <v>-38976</v>
      </c>
      <c r="S667" s="2">
        <v>5493</v>
      </c>
      <c r="T667" s="2">
        <v>7149</v>
      </c>
      <c r="U667" s="2">
        <v>0</v>
      </c>
      <c r="W667" s="2">
        <v>51043</v>
      </c>
      <c r="X667" s="2">
        <v>41816</v>
      </c>
      <c r="Y667" s="2">
        <v>33948</v>
      </c>
      <c r="Z667" s="2">
        <v>0</v>
      </c>
      <c r="AA667" s="2">
        <v>0</v>
      </c>
      <c r="AC667" s="2">
        <v>304</v>
      </c>
      <c r="AD667" s="2">
        <v>0</v>
      </c>
      <c r="AE667" s="2">
        <v>0</v>
      </c>
      <c r="AF667" s="2">
        <v>0</v>
      </c>
      <c r="AG667" s="2">
        <v>0</v>
      </c>
      <c r="AI667" s="2">
        <v>-8155</v>
      </c>
      <c r="AJ667" s="2">
        <v>-8153</v>
      </c>
      <c r="AK667" s="2">
        <v>-5880</v>
      </c>
      <c r="AL667" s="2">
        <v>-3935</v>
      </c>
      <c r="AM667" s="2">
        <v>0</v>
      </c>
    </row>
    <row r="668" spans="1:39">
      <c r="A668" s="335">
        <v>97121</v>
      </c>
      <c r="B668" s="328" t="s">
        <v>1360</v>
      </c>
      <c r="C668" s="239">
        <v>1.493E-4</v>
      </c>
      <c r="E668" s="2">
        <v>80983</v>
      </c>
      <c r="F668" s="2">
        <v>33163</v>
      </c>
      <c r="G668" s="2">
        <v>46750</v>
      </c>
      <c r="H668" s="2">
        <v>17166</v>
      </c>
      <c r="I668" s="2">
        <v>0</v>
      </c>
      <c r="K668" s="2">
        <v>22366</v>
      </c>
      <c r="L668" s="2">
        <v>21039</v>
      </c>
      <c r="M668" s="2">
        <v>18857</v>
      </c>
      <c r="N668" s="2">
        <v>7550</v>
      </c>
      <c r="O668" s="2">
        <v>0</v>
      </c>
      <c r="Q668" s="2">
        <v>23745</v>
      </c>
      <c r="R668" s="2">
        <v>-20425</v>
      </c>
      <c r="S668" s="2">
        <v>2879</v>
      </c>
      <c r="T668" s="2">
        <v>3747</v>
      </c>
      <c r="U668" s="2">
        <v>0</v>
      </c>
      <c r="W668" s="2">
        <v>26749</v>
      </c>
      <c r="X668" s="2">
        <v>21914</v>
      </c>
      <c r="Y668" s="2">
        <v>17790</v>
      </c>
      <c r="Z668" s="2">
        <v>0</v>
      </c>
      <c r="AA668" s="2">
        <v>0</v>
      </c>
      <c r="AC668" s="2">
        <v>10634</v>
      </c>
      <c r="AD668" s="2">
        <v>10635</v>
      </c>
      <c r="AE668" s="2">
        <v>7224</v>
      </c>
      <c r="AF668" s="2">
        <v>5869</v>
      </c>
      <c r="AG668" s="2">
        <v>0</v>
      </c>
      <c r="AI668" s="2">
        <v>-2511</v>
      </c>
      <c r="AJ668" s="2">
        <v>0</v>
      </c>
      <c r="AK668" s="2">
        <v>0</v>
      </c>
      <c r="AL668" s="2">
        <v>0</v>
      </c>
      <c r="AM668" s="2">
        <v>0</v>
      </c>
    </row>
    <row r="669" spans="1:39">
      <c r="A669" s="335">
        <v>97131</v>
      </c>
      <c r="B669" s="328" t="s">
        <v>1361</v>
      </c>
      <c r="C669" s="239">
        <v>6.5379999999999995E-4</v>
      </c>
      <c r="E669" s="2">
        <v>297103</v>
      </c>
      <c r="F669" s="2">
        <v>77384</v>
      </c>
      <c r="G669" s="2">
        <v>145498</v>
      </c>
      <c r="H669" s="2">
        <v>51192</v>
      </c>
      <c r="I669" s="2">
        <v>0</v>
      </c>
      <c r="K669" s="2">
        <v>97944</v>
      </c>
      <c r="L669" s="2">
        <v>92133</v>
      </c>
      <c r="M669" s="2">
        <v>82578</v>
      </c>
      <c r="N669" s="2">
        <v>33063</v>
      </c>
      <c r="O669" s="2">
        <v>0</v>
      </c>
      <c r="Q669" s="2">
        <v>103981</v>
      </c>
      <c r="R669" s="2">
        <v>-89443</v>
      </c>
      <c r="S669" s="2">
        <v>12606</v>
      </c>
      <c r="T669" s="2">
        <v>16406</v>
      </c>
      <c r="U669" s="2">
        <v>0</v>
      </c>
      <c r="W669" s="2">
        <v>117136</v>
      </c>
      <c r="X669" s="2">
        <v>95962</v>
      </c>
      <c r="Y669" s="2">
        <v>77905</v>
      </c>
      <c r="Z669" s="2">
        <v>0</v>
      </c>
      <c r="AA669" s="2">
        <v>0</v>
      </c>
      <c r="AC669" s="2">
        <v>8044</v>
      </c>
      <c r="AD669" s="2">
        <v>8044</v>
      </c>
      <c r="AE669" s="2">
        <v>1722</v>
      </c>
      <c r="AF669" s="2">
        <v>1723</v>
      </c>
      <c r="AG669" s="2">
        <v>0</v>
      </c>
      <c r="AI669" s="2">
        <v>-30002</v>
      </c>
      <c r="AJ669" s="2">
        <v>-29312</v>
      </c>
      <c r="AK669" s="2">
        <v>-29313</v>
      </c>
      <c r="AL669" s="2">
        <v>0</v>
      </c>
      <c r="AM669" s="2">
        <v>0</v>
      </c>
    </row>
    <row r="670" spans="1:39">
      <c r="A670" s="335">
        <v>97201</v>
      </c>
      <c r="B670" s="328" t="s">
        <v>1362</v>
      </c>
      <c r="C670" s="239">
        <v>5.8529999999999997E-4</v>
      </c>
      <c r="E670" s="2">
        <v>311169</v>
      </c>
      <c r="F670" s="2">
        <v>109295</v>
      </c>
      <c r="G670" s="2">
        <v>169220</v>
      </c>
      <c r="H670" s="2">
        <v>58862</v>
      </c>
      <c r="I670" s="2">
        <v>0</v>
      </c>
      <c r="K670" s="2">
        <v>87682</v>
      </c>
      <c r="L670" s="2">
        <v>82480</v>
      </c>
      <c r="M670" s="2">
        <v>73926</v>
      </c>
      <c r="N670" s="2">
        <v>29599</v>
      </c>
      <c r="O670" s="2">
        <v>0</v>
      </c>
      <c r="Q670" s="2">
        <v>93087</v>
      </c>
      <c r="R670" s="2">
        <v>-80072</v>
      </c>
      <c r="S670" s="2">
        <v>11285</v>
      </c>
      <c r="T670" s="2">
        <v>14688</v>
      </c>
      <c r="U670" s="2">
        <v>0</v>
      </c>
      <c r="W670" s="2">
        <v>104864</v>
      </c>
      <c r="X670" s="2">
        <v>85908</v>
      </c>
      <c r="Y670" s="2">
        <v>69743</v>
      </c>
      <c r="Z670" s="2">
        <v>0</v>
      </c>
      <c r="AA670" s="2">
        <v>0</v>
      </c>
      <c r="AC670" s="2">
        <v>25848</v>
      </c>
      <c r="AD670" s="2">
        <v>21291</v>
      </c>
      <c r="AE670" s="2">
        <v>14576</v>
      </c>
      <c r="AF670" s="2">
        <v>14575</v>
      </c>
      <c r="AG670" s="2">
        <v>0</v>
      </c>
      <c r="AI670" s="2">
        <v>-312</v>
      </c>
      <c r="AJ670" s="2">
        <v>-312</v>
      </c>
      <c r="AK670" s="2">
        <v>-310</v>
      </c>
      <c r="AL670" s="2">
        <v>0</v>
      </c>
      <c r="AM670" s="2">
        <v>0</v>
      </c>
    </row>
    <row r="671" spans="1:39">
      <c r="A671" s="335">
        <v>97211</v>
      </c>
      <c r="B671" s="328" t="s">
        <v>1363</v>
      </c>
      <c r="C671" s="239">
        <v>8.14E-5</v>
      </c>
      <c r="E671" s="2">
        <v>30121</v>
      </c>
      <c r="F671" s="2">
        <v>6273</v>
      </c>
      <c r="G671" s="2">
        <v>12117</v>
      </c>
      <c r="H671" s="2">
        <v>-2065</v>
      </c>
      <c r="I671" s="2">
        <v>0</v>
      </c>
      <c r="K671" s="2">
        <v>12194</v>
      </c>
      <c r="L671" s="2">
        <v>11471</v>
      </c>
      <c r="M671" s="2">
        <v>10281</v>
      </c>
      <c r="N671" s="2">
        <v>4116</v>
      </c>
      <c r="O671" s="2">
        <v>0</v>
      </c>
      <c r="Q671" s="2">
        <v>12946</v>
      </c>
      <c r="R671" s="2">
        <v>-11136</v>
      </c>
      <c r="S671" s="2">
        <v>1569</v>
      </c>
      <c r="T671" s="2">
        <v>2043</v>
      </c>
      <c r="U671" s="2">
        <v>0</v>
      </c>
      <c r="W671" s="2">
        <v>14584</v>
      </c>
      <c r="X671" s="2">
        <v>11948</v>
      </c>
      <c r="Y671" s="2">
        <v>9699</v>
      </c>
      <c r="Z671" s="2">
        <v>0</v>
      </c>
      <c r="AA671" s="2">
        <v>0</v>
      </c>
      <c r="AC671" s="2">
        <v>3426</v>
      </c>
      <c r="AD671" s="2">
        <v>3424</v>
      </c>
      <c r="AE671" s="2">
        <v>0</v>
      </c>
      <c r="AF671" s="2">
        <v>0</v>
      </c>
      <c r="AG671" s="2">
        <v>0</v>
      </c>
      <c r="AI671" s="2">
        <v>-13029</v>
      </c>
      <c r="AJ671" s="2">
        <v>-9434</v>
      </c>
      <c r="AK671" s="2">
        <v>-9432</v>
      </c>
      <c r="AL671" s="2">
        <v>-8224</v>
      </c>
      <c r="AM671" s="2">
        <v>0</v>
      </c>
    </row>
    <row r="672" spans="1:39">
      <c r="A672" s="335">
        <v>97213</v>
      </c>
      <c r="B672" s="328" t="s">
        <v>2769</v>
      </c>
      <c r="C672" s="239">
        <v>3.5500000000000002E-5</v>
      </c>
      <c r="E672" s="2">
        <v>18447</v>
      </c>
      <c r="F672" s="2">
        <v>6629</v>
      </c>
      <c r="G672" s="2">
        <v>9192</v>
      </c>
      <c r="H672" s="2">
        <v>1449</v>
      </c>
      <c r="I672" s="2">
        <v>0</v>
      </c>
      <c r="K672" s="2">
        <v>5318</v>
      </c>
      <c r="L672" s="2">
        <v>5003</v>
      </c>
      <c r="M672" s="2">
        <v>4484</v>
      </c>
      <c r="N672" s="2">
        <v>1795</v>
      </c>
      <c r="O672" s="2">
        <v>0</v>
      </c>
      <c r="Q672" s="2">
        <v>5646</v>
      </c>
      <c r="R672" s="2">
        <v>-4857</v>
      </c>
      <c r="S672" s="2">
        <v>684</v>
      </c>
      <c r="T672" s="2">
        <v>891</v>
      </c>
      <c r="U672" s="2">
        <v>0</v>
      </c>
      <c r="W672" s="2">
        <v>6360</v>
      </c>
      <c r="X672" s="2">
        <v>5211</v>
      </c>
      <c r="Y672" s="2">
        <v>4230</v>
      </c>
      <c r="Z672" s="2">
        <v>0</v>
      </c>
      <c r="AA672" s="2">
        <v>0</v>
      </c>
      <c r="AC672" s="2">
        <v>2511</v>
      </c>
      <c r="AD672" s="2">
        <v>2511</v>
      </c>
      <c r="AE672" s="2">
        <v>1033</v>
      </c>
      <c r="AF672" s="2">
        <v>0</v>
      </c>
      <c r="AG672" s="2">
        <v>0</v>
      </c>
      <c r="AI672" s="2">
        <v>-1388</v>
      </c>
      <c r="AJ672" s="2">
        <v>-1239</v>
      </c>
      <c r="AK672" s="2">
        <v>-1239</v>
      </c>
      <c r="AL672" s="2">
        <v>-1237</v>
      </c>
      <c r="AM672" s="2">
        <v>0</v>
      </c>
    </row>
    <row r="673" spans="1:39">
      <c r="A673" s="335">
        <v>97217</v>
      </c>
      <c r="B673" s="328" t="s">
        <v>1365</v>
      </c>
      <c r="C673" s="239">
        <v>5.5999999999999997E-6</v>
      </c>
      <c r="E673" s="2">
        <v>6082</v>
      </c>
      <c r="F673" s="2">
        <v>3470</v>
      </c>
      <c r="G673" s="2">
        <v>3200</v>
      </c>
      <c r="H673" s="2">
        <v>1279</v>
      </c>
      <c r="I673" s="2">
        <v>0</v>
      </c>
      <c r="K673" s="2">
        <v>839</v>
      </c>
      <c r="L673" s="2">
        <v>789</v>
      </c>
      <c r="M673" s="2">
        <v>707</v>
      </c>
      <c r="N673" s="2">
        <v>283</v>
      </c>
      <c r="O673" s="2">
        <v>0</v>
      </c>
      <c r="Q673" s="2">
        <v>891</v>
      </c>
      <c r="R673" s="2">
        <v>-766</v>
      </c>
      <c r="S673" s="2">
        <v>108</v>
      </c>
      <c r="T673" s="2">
        <v>141</v>
      </c>
      <c r="U673" s="2">
        <v>0</v>
      </c>
      <c r="W673" s="2">
        <v>1003</v>
      </c>
      <c r="X673" s="2">
        <v>822</v>
      </c>
      <c r="Y673" s="2">
        <v>667</v>
      </c>
      <c r="Z673" s="2">
        <v>0</v>
      </c>
      <c r="AA673" s="2">
        <v>0</v>
      </c>
      <c r="AC673" s="2">
        <v>3349</v>
      </c>
      <c r="AD673" s="2">
        <v>2625</v>
      </c>
      <c r="AE673" s="2">
        <v>1718</v>
      </c>
      <c r="AF673" s="2">
        <v>855</v>
      </c>
      <c r="AG673" s="2">
        <v>0</v>
      </c>
      <c r="AI673" s="2">
        <v>0</v>
      </c>
      <c r="AJ673" s="2">
        <v>0</v>
      </c>
      <c r="AK673" s="2">
        <v>0</v>
      </c>
      <c r="AL673" s="2">
        <v>0</v>
      </c>
      <c r="AM673" s="2">
        <v>0</v>
      </c>
    </row>
    <row r="674" spans="1:39">
      <c r="A674" s="335">
        <v>97221</v>
      </c>
      <c r="B674" s="328" t="s">
        <v>1366</v>
      </c>
      <c r="C674" s="239">
        <v>1.24E-5</v>
      </c>
      <c r="E674" s="2">
        <v>9876</v>
      </c>
      <c r="F674" s="2">
        <v>4991</v>
      </c>
      <c r="G674" s="2">
        <v>5340</v>
      </c>
      <c r="H674" s="2">
        <v>2719</v>
      </c>
      <c r="I674" s="2">
        <v>0</v>
      </c>
      <c r="K674" s="2">
        <v>1858</v>
      </c>
      <c r="L674" s="2">
        <v>1747</v>
      </c>
      <c r="M674" s="2">
        <v>1566</v>
      </c>
      <c r="N674" s="2">
        <v>627</v>
      </c>
      <c r="O674" s="2">
        <v>0</v>
      </c>
      <c r="Q674" s="2">
        <v>1972</v>
      </c>
      <c r="R674" s="2">
        <v>-1696</v>
      </c>
      <c r="S674" s="2">
        <v>239</v>
      </c>
      <c r="T674" s="2">
        <v>311</v>
      </c>
      <c r="U674" s="2">
        <v>0</v>
      </c>
      <c r="W674" s="2">
        <v>2222</v>
      </c>
      <c r="X674" s="2">
        <v>1820</v>
      </c>
      <c r="Y674" s="2">
        <v>1478</v>
      </c>
      <c r="Z674" s="2">
        <v>0</v>
      </c>
      <c r="AA674" s="2">
        <v>0</v>
      </c>
      <c r="AC674" s="2">
        <v>3824</v>
      </c>
      <c r="AD674" s="2">
        <v>3120</v>
      </c>
      <c r="AE674" s="2">
        <v>2057</v>
      </c>
      <c r="AF674" s="2">
        <v>1781</v>
      </c>
      <c r="AG674" s="2">
        <v>0</v>
      </c>
      <c r="AI674" s="2">
        <v>0</v>
      </c>
      <c r="AJ674" s="2">
        <v>0</v>
      </c>
      <c r="AK674" s="2">
        <v>0</v>
      </c>
      <c r="AL674" s="2">
        <v>0</v>
      </c>
      <c r="AM674" s="2">
        <v>0</v>
      </c>
    </row>
    <row r="675" spans="1:39">
      <c r="A675" s="335">
        <v>97301</v>
      </c>
      <c r="B675" s="328" t="s">
        <v>1367</v>
      </c>
      <c r="C675" s="239">
        <v>2.3942E-3</v>
      </c>
      <c r="E675" s="2">
        <v>1145350</v>
      </c>
      <c r="F675" s="2">
        <v>348467</v>
      </c>
      <c r="G675" s="2">
        <v>624613</v>
      </c>
      <c r="H675" s="2">
        <v>175939</v>
      </c>
      <c r="I675" s="2">
        <v>0</v>
      </c>
      <c r="K675" s="2">
        <v>358668</v>
      </c>
      <c r="L675" s="2">
        <v>337391</v>
      </c>
      <c r="M675" s="2">
        <v>302399</v>
      </c>
      <c r="N675" s="2">
        <v>121077</v>
      </c>
      <c r="O675" s="2">
        <v>0</v>
      </c>
      <c r="Q675" s="2">
        <v>380776</v>
      </c>
      <c r="R675" s="2">
        <v>-327539</v>
      </c>
      <c r="S675" s="2">
        <v>46163</v>
      </c>
      <c r="T675" s="2">
        <v>60080</v>
      </c>
      <c r="U675" s="2">
        <v>0</v>
      </c>
      <c r="W675" s="2">
        <v>428950</v>
      </c>
      <c r="X675" s="2">
        <v>351411</v>
      </c>
      <c r="Y675" s="2">
        <v>285286</v>
      </c>
      <c r="Z675" s="2">
        <v>0</v>
      </c>
      <c r="AA675" s="2">
        <v>0</v>
      </c>
      <c r="AC675" s="2">
        <v>0</v>
      </c>
      <c r="AD675" s="2">
        <v>0</v>
      </c>
      <c r="AE675" s="2">
        <v>0</v>
      </c>
      <c r="AF675" s="2">
        <v>0</v>
      </c>
      <c r="AG675" s="2">
        <v>0</v>
      </c>
      <c r="AI675" s="2">
        <v>-23044</v>
      </c>
      <c r="AJ675" s="2">
        <v>-12796</v>
      </c>
      <c r="AK675" s="2">
        <v>-9235</v>
      </c>
      <c r="AL675" s="2">
        <v>-5218</v>
      </c>
      <c r="AM675" s="2">
        <v>0</v>
      </c>
    </row>
    <row r="676" spans="1:39">
      <c r="A676" s="335">
        <v>97304</v>
      </c>
      <c r="B676" s="328" t="s">
        <v>3714</v>
      </c>
      <c r="C676" s="239">
        <v>1.4399999999999999E-5</v>
      </c>
      <c r="E676" s="2">
        <v>11116</v>
      </c>
      <c r="F676" s="2">
        <v>5541</v>
      </c>
      <c r="G676" s="2">
        <v>6181</v>
      </c>
      <c r="H676" s="2">
        <v>2473</v>
      </c>
      <c r="I676" s="2">
        <v>0</v>
      </c>
      <c r="K676" s="2">
        <v>2157</v>
      </c>
      <c r="L676" s="2">
        <v>2029</v>
      </c>
      <c r="M676" s="2">
        <v>1819</v>
      </c>
      <c r="N676" s="2">
        <v>728</v>
      </c>
      <c r="O676" s="2">
        <v>0</v>
      </c>
      <c r="Q676" s="2">
        <v>2290</v>
      </c>
      <c r="R676" s="2">
        <v>-1970</v>
      </c>
      <c r="S676" s="2">
        <v>278</v>
      </c>
      <c r="T676" s="2">
        <v>361</v>
      </c>
      <c r="U676" s="2">
        <v>0</v>
      </c>
      <c r="W676" s="2">
        <v>2580</v>
      </c>
      <c r="X676" s="2">
        <v>2114</v>
      </c>
      <c r="Y676" s="2">
        <v>1716</v>
      </c>
      <c r="Z676" s="2">
        <v>0</v>
      </c>
      <c r="AA676" s="2">
        <v>0</v>
      </c>
      <c r="AC676" s="2">
        <v>4089</v>
      </c>
      <c r="AD676" s="2">
        <v>3368</v>
      </c>
      <c r="AE676" s="2">
        <v>2368</v>
      </c>
      <c r="AF676" s="2">
        <v>1384</v>
      </c>
      <c r="AG676" s="2">
        <v>0</v>
      </c>
      <c r="AI676" s="2">
        <v>0</v>
      </c>
      <c r="AJ676" s="2">
        <v>0</v>
      </c>
      <c r="AK676" s="2">
        <v>0</v>
      </c>
      <c r="AL676" s="2">
        <v>0</v>
      </c>
      <c r="AM676" s="2">
        <v>0</v>
      </c>
    </row>
    <row r="677" spans="1:39">
      <c r="A677" s="335">
        <v>97311</v>
      </c>
      <c r="B677" s="328" t="s">
        <v>1369</v>
      </c>
      <c r="C677" s="239">
        <v>9.0109999999999995E-4</v>
      </c>
      <c r="E677" s="2">
        <v>410585</v>
      </c>
      <c r="F677" s="2">
        <v>120730</v>
      </c>
      <c r="G677" s="2">
        <v>231546</v>
      </c>
      <c r="H677" s="2">
        <v>68156</v>
      </c>
      <c r="I677" s="2">
        <v>0</v>
      </c>
      <c r="K677" s="2">
        <v>134991</v>
      </c>
      <c r="L677" s="2">
        <v>126983</v>
      </c>
      <c r="M677" s="2">
        <v>113813</v>
      </c>
      <c r="N677" s="2">
        <v>45570</v>
      </c>
      <c r="O677" s="2">
        <v>0</v>
      </c>
      <c r="Q677" s="2">
        <v>143312</v>
      </c>
      <c r="R677" s="2">
        <v>-123275</v>
      </c>
      <c r="S677" s="2">
        <v>17374</v>
      </c>
      <c r="T677" s="2">
        <v>22612</v>
      </c>
      <c r="U677" s="2">
        <v>0</v>
      </c>
      <c r="W677" s="2">
        <v>161443</v>
      </c>
      <c r="X677" s="2">
        <v>132260</v>
      </c>
      <c r="Y677" s="2">
        <v>107372</v>
      </c>
      <c r="Z677" s="2">
        <v>0</v>
      </c>
      <c r="AA677" s="2">
        <v>0</v>
      </c>
      <c r="AC677" s="2">
        <v>0</v>
      </c>
      <c r="AD677" s="2">
        <v>0</v>
      </c>
      <c r="AE677" s="2">
        <v>0</v>
      </c>
      <c r="AF677" s="2">
        <v>0</v>
      </c>
      <c r="AG677" s="2">
        <v>0</v>
      </c>
      <c r="AI677" s="2">
        <v>-29161</v>
      </c>
      <c r="AJ677" s="2">
        <v>-15238</v>
      </c>
      <c r="AK677" s="2">
        <v>-7013</v>
      </c>
      <c r="AL677" s="2">
        <v>-26</v>
      </c>
      <c r="AM677" s="2">
        <v>0</v>
      </c>
    </row>
    <row r="678" spans="1:39">
      <c r="A678" s="335">
        <v>97401</v>
      </c>
      <c r="B678" s="328" t="s">
        <v>1370</v>
      </c>
      <c r="C678" s="239">
        <v>7.0562999999999997E-3</v>
      </c>
      <c r="E678" s="2">
        <v>3494143</v>
      </c>
      <c r="F678" s="2">
        <v>1120477</v>
      </c>
      <c r="G678" s="2">
        <v>1886008</v>
      </c>
      <c r="H678" s="2">
        <v>531526</v>
      </c>
      <c r="I678" s="2">
        <v>0</v>
      </c>
      <c r="K678" s="2">
        <v>1057083</v>
      </c>
      <c r="L678" s="2">
        <v>994374</v>
      </c>
      <c r="M678" s="2">
        <v>891246</v>
      </c>
      <c r="N678" s="2">
        <v>356844</v>
      </c>
      <c r="O678" s="2">
        <v>0</v>
      </c>
      <c r="Q678" s="2">
        <v>1122241</v>
      </c>
      <c r="R678" s="2">
        <v>-965337</v>
      </c>
      <c r="S678" s="2">
        <v>136053</v>
      </c>
      <c r="T678" s="2">
        <v>177071</v>
      </c>
      <c r="U678" s="2">
        <v>0</v>
      </c>
      <c r="W678" s="2">
        <v>1264221</v>
      </c>
      <c r="X678" s="2">
        <v>1035695</v>
      </c>
      <c r="Y678" s="2">
        <v>840808</v>
      </c>
      <c r="Z678" s="2">
        <v>0</v>
      </c>
      <c r="AA678" s="2">
        <v>0</v>
      </c>
      <c r="AC678" s="2">
        <v>58132</v>
      </c>
      <c r="AD678" s="2">
        <v>58132</v>
      </c>
      <c r="AE678" s="2">
        <v>20288</v>
      </c>
      <c r="AF678" s="2">
        <v>0</v>
      </c>
      <c r="AG678" s="2">
        <v>0</v>
      </c>
      <c r="AI678" s="2">
        <v>-7534</v>
      </c>
      <c r="AJ678" s="2">
        <v>-2387</v>
      </c>
      <c r="AK678" s="2">
        <v>-2387</v>
      </c>
      <c r="AL678" s="2">
        <v>-2389</v>
      </c>
      <c r="AM678" s="2">
        <v>0</v>
      </c>
    </row>
    <row r="679" spans="1:39">
      <c r="A679" s="335">
        <v>97402</v>
      </c>
      <c r="B679" s="328" t="s">
        <v>3715</v>
      </c>
      <c r="C679" s="239">
        <v>4.1999999999999998E-5</v>
      </c>
      <c r="E679" s="2">
        <v>25295</v>
      </c>
      <c r="F679" s="2">
        <v>8140</v>
      </c>
      <c r="G679" s="2">
        <v>11732</v>
      </c>
      <c r="H679" s="2">
        <v>3168</v>
      </c>
      <c r="I679" s="2">
        <v>0</v>
      </c>
      <c r="K679" s="2">
        <v>6292</v>
      </c>
      <c r="L679" s="2">
        <v>5919</v>
      </c>
      <c r="M679" s="2">
        <v>5305</v>
      </c>
      <c r="N679" s="2">
        <v>2124</v>
      </c>
      <c r="O679" s="2">
        <v>0</v>
      </c>
      <c r="Q679" s="2">
        <v>6680</v>
      </c>
      <c r="R679" s="2">
        <v>-5746</v>
      </c>
      <c r="S679" s="2">
        <v>810</v>
      </c>
      <c r="T679" s="2">
        <v>1054</v>
      </c>
      <c r="U679" s="2">
        <v>0</v>
      </c>
      <c r="W679" s="2">
        <v>7525</v>
      </c>
      <c r="X679" s="2">
        <v>6165</v>
      </c>
      <c r="Y679" s="2">
        <v>5005</v>
      </c>
      <c r="Z679" s="2">
        <v>0</v>
      </c>
      <c r="AA679" s="2">
        <v>0</v>
      </c>
      <c r="AC679" s="2">
        <v>4807</v>
      </c>
      <c r="AD679" s="2">
        <v>1811</v>
      </c>
      <c r="AE679" s="2">
        <v>621</v>
      </c>
      <c r="AF679" s="2">
        <v>0</v>
      </c>
      <c r="AG679" s="2">
        <v>0</v>
      </c>
      <c r="AI679" s="2">
        <v>-9</v>
      </c>
      <c r="AJ679" s="2">
        <v>-9</v>
      </c>
      <c r="AK679" s="2">
        <v>-9</v>
      </c>
      <c r="AL679" s="2">
        <v>-10</v>
      </c>
      <c r="AM679" s="2">
        <v>0</v>
      </c>
    </row>
    <row r="680" spans="1:39">
      <c r="A680" s="335">
        <v>97404</v>
      </c>
      <c r="B680" s="328" t="s">
        <v>1372</v>
      </c>
      <c r="C680" s="239">
        <v>2.1240000000000001E-4</v>
      </c>
      <c r="E680" s="2">
        <v>95958</v>
      </c>
      <c r="F680" s="2">
        <v>26835</v>
      </c>
      <c r="G680" s="2">
        <v>53444</v>
      </c>
      <c r="H680" s="2">
        <v>16272</v>
      </c>
      <c r="I680" s="2">
        <v>0</v>
      </c>
      <c r="K680" s="2">
        <v>31819</v>
      </c>
      <c r="L680" s="2">
        <v>29931</v>
      </c>
      <c r="M680" s="2">
        <v>26827</v>
      </c>
      <c r="N680" s="2">
        <v>10741</v>
      </c>
      <c r="O680" s="2">
        <v>0</v>
      </c>
      <c r="Q680" s="2">
        <v>33780</v>
      </c>
      <c r="R680" s="2">
        <v>-29057</v>
      </c>
      <c r="S680" s="2">
        <v>4095</v>
      </c>
      <c r="T680" s="2">
        <v>5330</v>
      </c>
      <c r="U680" s="2">
        <v>0</v>
      </c>
      <c r="W680" s="2">
        <v>38054</v>
      </c>
      <c r="X680" s="2">
        <v>31175</v>
      </c>
      <c r="Y680" s="2">
        <v>25309</v>
      </c>
      <c r="Z680" s="2">
        <v>0</v>
      </c>
      <c r="AA680" s="2">
        <v>0</v>
      </c>
      <c r="AC680" s="2">
        <v>201</v>
      </c>
      <c r="AD680" s="2">
        <v>201</v>
      </c>
      <c r="AE680" s="2">
        <v>201</v>
      </c>
      <c r="AF680" s="2">
        <v>201</v>
      </c>
      <c r="AG680" s="2">
        <v>0</v>
      </c>
      <c r="AI680" s="2">
        <v>-7896</v>
      </c>
      <c r="AJ680" s="2">
        <v>-5415</v>
      </c>
      <c r="AK680" s="2">
        <v>-2988</v>
      </c>
      <c r="AL680" s="2">
        <v>0</v>
      </c>
      <c r="AM680" s="2">
        <v>0</v>
      </c>
    </row>
    <row r="681" spans="1:39">
      <c r="A681" s="335">
        <v>97405</v>
      </c>
      <c r="B681" s="328" t="s">
        <v>1373</v>
      </c>
      <c r="C681" s="239">
        <v>1.106E-4</v>
      </c>
      <c r="E681" s="2">
        <v>65204</v>
      </c>
      <c r="F681" s="2">
        <v>25942</v>
      </c>
      <c r="G681" s="2">
        <v>35342</v>
      </c>
      <c r="H681" s="2">
        <v>10358</v>
      </c>
      <c r="I681" s="2">
        <v>0</v>
      </c>
      <c r="K681" s="2">
        <v>16569</v>
      </c>
      <c r="L681" s="2">
        <v>15586</v>
      </c>
      <c r="M681" s="2">
        <v>13969</v>
      </c>
      <c r="N681" s="2">
        <v>5593</v>
      </c>
      <c r="O681" s="2">
        <v>0</v>
      </c>
      <c r="Q681" s="2">
        <v>17590</v>
      </c>
      <c r="R681" s="2">
        <v>-15131</v>
      </c>
      <c r="S681" s="2">
        <v>2132</v>
      </c>
      <c r="T681" s="2">
        <v>2775</v>
      </c>
      <c r="U681" s="2">
        <v>0</v>
      </c>
      <c r="W681" s="2">
        <v>19815</v>
      </c>
      <c r="X681" s="2">
        <v>16233</v>
      </c>
      <c r="Y681" s="2">
        <v>13179</v>
      </c>
      <c r="Z681" s="2">
        <v>0</v>
      </c>
      <c r="AA681" s="2">
        <v>0</v>
      </c>
      <c r="AC681" s="2">
        <v>11230</v>
      </c>
      <c r="AD681" s="2">
        <v>9254</v>
      </c>
      <c r="AE681" s="2">
        <v>6062</v>
      </c>
      <c r="AF681" s="2">
        <v>1990</v>
      </c>
      <c r="AG681" s="2">
        <v>0</v>
      </c>
      <c r="AI681" s="2">
        <v>0</v>
      </c>
      <c r="AJ681" s="2">
        <v>0</v>
      </c>
      <c r="AK681" s="2">
        <v>0</v>
      </c>
      <c r="AL681" s="2">
        <v>0</v>
      </c>
      <c r="AM681" s="2">
        <v>0</v>
      </c>
    </row>
    <row r="682" spans="1:39">
      <c r="A682" s="335">
        <v>97408</v>
      </c>
      <c r="B682" s="328" t="s">
        <v>3716</v>
      </c>
      <c r="C682" s="239">
        <v>3.8999999999999999E-5</v>
      </c>
      <c r="E682" s="2">
        <v>21996</v>
      </c>
      <c r="F682" s="2">
        <v>7708</v>
      </c>
      <c r="G682" s="2">
        <v>11538</v>
      </c>
      <c r="H682" s="2">
        <v>3613</v>
      </c>
      <c r="I682" s="2">
        <v>0</v>
      </c>
      <c r="K682" s="2">
        <v>5842</v>
      </c>
      <c r="L682" s="2">
        <v>5496</v>
      </c>
      <c r="M682" s="2">
        <v>4926</v>
      </c>
      <c r="N682" s="2">
        <v>1972</v>
      </c>
      <c r="O682" s="2">
        <v>0</v>
      </c>
      <c r="Q682" s="2">
        <v>6203</v>
      </c>
      <c r="R682" s="2">
        <v>-5335</v>
      </c>
      <c r="S682" s="2">
        <v>752</v>
      </c>
      <c r="T682" s="2">
        <v>979</v>
      </c>
      <c r="U682" s="2">
        <v>0</v>
      </c>
      <c r="W682" s="2">
        <v>6987</v>
      </c>
      <c r="X682" s="2">
        <v>5724</v>
      </c>
      <c r="Y682" s="2">
        <v>4647</v>
      </c>
      <c r="Z682" s="2">
        <v>0</v>
      </c>
      <c r="AA682" s="2">
        <v>0</v>
      </c>
      <c r="AC682" s="2">
        <v>2964</v>
      </c>
      <c r="AD682" s="2">
        <v>1823</v>
      </c>
      <c r="AE682" s="2">
        <v>1213</v>
      </c>
      <c r="AF682" s="2">
        <v>662</v>
      </c>
      <c r="AG682" s="2">
        <v>0</v>
      </c>
      <c r="AI682" s="2">
        <v>0</v>
      </c>
      <c r="AJ682" s="2">
        <v>0</v>
      </c>
      <c r="AK682" s="2">
        <v>0</v>
      </c>
      <c r="AL682" s="2">
        <v>0</v>
      </c>
      <c r="AM682" s="2">
        <v>0</v>
      </c>
    </row>
    <row r="683" spans="1:39">
      <c r="A683" s="335">
        <v>97411</v>
      </c>
      <c r="B683" s="328" t="s">
        <v>1375</v>
      </c>
      <c r="C683" s="239">
        <v>6.3997999999999998E-3</v>
      </c>
      <c r="E683" s="2">
        <v>2940340</v>
      </c>
      <c r="F683" s="2">
        <v>869280</v>
      </c>
      <c r="G683" s="2">
        <v>1626461</v>
      </c>
      <c r="H683" s="2">
        <v>492681</v>
      </c>
      <c r="I683" s="2">
        <v>0</v>
      </c>
      <c r="K683" s="2">
        <v>958735</v>
      </c>
      <c r="L683" s="2">
        <v>901860</v>
      </c>
      <c r="M683" s="2">
        <v>808327</v>
      </c>
      <c r="N683" s="2">
        <v>323644</v>
      </c>
      <c r="O683" s="2">
        <v>0</v>
      </c>
      <c r="Q683" s="2">
        <v>1017831</v>
      </c>
      <c r="R683" s="2">
        <v>-875525</v>
      </c>
      <c r="S683" s="2">
        <v>123395</v>
      </c>
      <c r="T683" s="2">
        <v>160597</v>
      </c>
      <c r="U683" s="2">
        <v>0</v>
      </c>
      <c r="W683" s="2">
        <v>1146601</v>
      </c>
      <c r="X683" s="2">
        <v>939337</v>
      </c>
      <c r="Y683" s="2">
        <v>762581</v>
      </c>
      <c r="Z683" s="2">
        <v>0</v>
      </c>
      <c r="AA683" s="2">
        <v>0</v>
      </c>
      <c r="AC683" s="2">
        <v>8440</v>
      </c>
      <c r="AD683" s="2">
        <v>8440</v>
      </c>
      <c r="AE683" s="2">
        <v>8440</v>
      </c>
      <c r="AF683" s="2">
        <v>8440</v>
      </c>
      <c r="AG683" s="2">
        <v>0</v>
      </c>
      <c r="AI683" s="2">
        <v>-191267</v>
      </c>
      <c r="AJ683" s="2">
        <v>-104832</v>
      </c>
      <c r="AK683" s="2">
        <v>-76282</v>
      </c>
      <c r="AL683" s="2">
        <v>0</v>
      </c>
      <c r="AM683" s="2">
        <v>0</v>
      </c>
    </row>
    <row r="684" spans="1:39">
      <c r="A684" s="335">
        <v>97412</v>
      </c>
      <c r="B684" s="328" t="s">
        <v>1376</v>
      </c>
      <c r="C684" s="239">
        <v>4.4903E-3</v>
      </c>
      <c r="E684" s="2">
        <v>2240027</v>
      </c>
      <c r="F684" s="2">
        <v>707771</v>
      </c>
      <c r="G684" s="2">
        <v>1187686</v>
      </c>
      <c r="H684" s="2">
        <v>316415</v>
      </c>
      <c r="I684" s="2">
        <v>0</v>
      </c>
      <c r="K684" s="2">
        <v>672678</v>
      </c>
      <c r="L684" s="2">
        <v>632773</v>
      </c>
      <c r="M684" s="2">
        <v>567147</v>
      </c>
      <c r="N684" s="2">
        <v>227079</v>
      </c>
      <c r="O684" s="2">
        <v>0</v>
      </c>
      <c r="Q684" s="2">
        <v>714142</v>
      </c>
      <c r="R684" s="2">
        <v>-614295</v>
      </c>
      <c r="S684" s="2">
        <v>86577</v>
      </c>
      <c r="T684" s="2">
        <v>112680</v>
      </c>
      <c r="U684" s="2">
        <v>0</v>
      </c>
      <c r="W684" s="2">
        <v>804491</v>
      </c>
      <c r="X684" s="2">
        <v>659068</v>
      </c>
      <c r="Y684" s="2">
        <v>535051</v>
      </c>
      <c r="Z684" s="2">
        <v>0</v>
      </c>
      <c r="AA684" s="2">
        <v>0</v>
      </c>
      <c r="AC684" s="2">
        <v>72059</v>
      </c>
      <c r="AD684" s="2">
        <v>53568</v>
      </c>
      <c r="AE684" s="2">
        <v>22254</v>
      </c>
      <c r="AF684" s="2">
        <v>0</v>
      </c>
      <c r="AG684" s="2">
        <v>0</v>
      </c>
      <c r="AI684" s="2">
        <v>-23343</v>
      </c>
      <c r="AJ684" s="2">
        <v>-23343</v>
      </c>
      <c r="AK684" s="2">
        <v>-23343</v>
      </c>
      <c r="AL684" s="2">
        <v>-23344</v>
      </c>
      <c r="AM684" s="2">
        <v>0</v>
      </c>
    </row>
    <row r="685" spans="1:39">
      <c r="A685" s="335">
        <v>97413</v>
      </c>
      <c r="B685" s="328" t="s">
        <v>1377</v>
      </c>
      <c r="C685" s="239">
        <v>2.812E-4</v>
      </c>
      <c r="E685" s="2">
        <v>150447</v>
      </c>
      <c r="F685" s="2">
        <v>55241</v>
      </c>
      <c r="G685" s="2">
        <v>85736</v>
      </c>
      <c r="H685" s="2">
        <v>28582</v>
      </c>
      <c r="I685" s="2">
        <v>0</v>
      </c>
      <c r="K685" s="2">
        <v>42126</v>
      </c>
      <c r="L685" s="2">
        <v>39627</v>
      </c>
      <c r="M685" s="2">
        <v>35517</v>
      </c>
      <c r="N685" s="2">
        <v>14221</v>
      </c>
      <c r="O685" s="2">
        <v>0</v>
      </c>
      <c r="Q685" s="2">
        <v>44722</v>
      </c>
      <c r="R685" s="2">
        <v>-38470</v>
      </c>
      <c r="S685" s="2">
        <v>5422</v>
      </c>
      <c r="T685" s="2">
        <v>7056</v>
      </c>
      <c r="U685" s="2">
        <v>0</v>
      </c>
      <c r="W685" s="2">
        <v>50380</v>
      </c>
      <c r="X685" s="2">
        <v>41273</v>
      </c>
      <c r="Y685" s="2">
        <v>33507</v>
      </c>
      <c r="Z685" s="2">
        <v>0</v>
      </c>
      <c r="AA685" s="2">
        <v>0</v>
      </c>
      <c r="AC685" s="2">
        <v>13219</v>
      </c>
      <c r="AD685" s="2">
        <v>12811</v>
      </c>
      <c r="AE685" s="2">
        <v>11290</v>
      </c>
      <c r="AF685" s="2">
        <v>7305</v>
      </c>
      <c r="AG685" s="2">
        <v>0</v>
      </c>
      <c r="AI685" s="2">
        <v>0</v>
      </c>
      <c r="AJ685" s="2">
        <v>0</v>
      </c>
      <c r="AK685" s="2">
        <v>0</v>
      </c>
      <c r="AL685" s="2">
        <v>0</v>
      </c>
      <c r="AM685" s="2">
        <v>0</v>
      </c>
    </row>
    <row r="686" spans="1:39">
      <c r="A686" s="335">
        <v>97421</v>
      </c>
      <c r="B686" s="328" t="s">
        <v>1378</v>
      </c>
      <c r="C686" s="239">
        <v>4.3120000000000002E-4</v>
      </c>
      <c r="E686" s="2">
        <v>206881</v>
      </c>
      <c r="F686" s="2">
        <v>62749</v>
      </c>
      <c r="G686" s="2">
        <v>109801</v>
      </c>
      <c r="H686" s="2">
        <v>26632</v>
      </c>
      <c r="I686" s="2">
        <v>0</v>
      </c>
      <c r="K686" s="2">
        <v>64597</v>
      </c>
      <c r="L686" s="2">
        <v>60765</v>
      </c>
      <c r="M686" s="2">
        <v>54463</v>
      </c>
      <c r="N686" s="2">
        <v>21806</v>
      </c>
      <c r="O686" s="2">
        <v>0</v>
      </c>
      <c r="Q686" s="2">
        <v>68578</v>
      </c>
      <c r="R686" s="2">
        <v>-58990</v>
      </c>
      <c r="S686" s="2">
        <v>8314</v>
      </c>
      <c r="T686" s="2">
        <v>10821</v>
      </c>
      <c r="U686" s="2">
        <v>0</v>
      </c>
      <c r="W686" s="2">
        <v>77255</v>
      </c>
      <c r="X686" s="2">
        <v>63290</v>
      </c>
      <c r="Y686" s="2">
        <v>51380</v>
      </c>
      <c r="Z686" s="2">
        <v>0</v>
      </c>
      <c r="AA686" s="2">
        <v>0</v>
      </c>
      <c r="AC686" s="2">
        <v>3680</v>
      </c>
      <c r="AD686" s="2">
        <v>3679</v>
      </c>
      <c r="AE686" s="2">
        <v>1639</v>
      </c>
      <c r="AF686" s="2">
        <v>0</v>
      </c>
      <c r="AG686" s="2">
        <v>0</v>
      </c>
      <c r="AI686" s="2">
        <v>-7229</v>
      </c>
      <c r="AJ686" s="2">
        <v>-5995</v>
      </c>
      <c r="AK686" s="2">
        <v>-5995</v>
      </c>
      <c r="AL686" s="2">
        <v>-5995</v>
      </c>
      <c r="AM686" s="2">
        <v>0</v>
      </c>
    </row>
    <row r="687" spans="1:39">
      <c r="A687" s="335">
        <v>97423</v>
      </c>
      <c r="B687" s="328" t="s">
        <v>1379</v>
      </c>
      <c r="C687" s="239">
        <v>4.3000000000000002E-5</v>
      </c>
      <c r="E687" s="2">
        <v>37644</v>
      </c>
      <c r="F687" s="2">
        <v>19777</v>
      </c>
      <c r="G687" s="2">
        <v>20448</v>
      </c>
      <c r="H687" s="2">
        <v>8830</v>
      </c>
      <c r="I687" s="2">
        <v>0</v>
      </c>
      <c r="K687" s="2">
        <v>6442</v>
      </c>
      <c r="L687" s="2">
        <v>6060</v>
      </c>
      <c r="M687" s="2">
        <v>5431</v>
      </c>
      <c r="N687" s="2">
        <v>2175</v>
      </c>
      <c r="O687" s="2">
        <v>0</v>
      </c>
      <c r="Q687" s="2">
        <v>6839</v>
      </c>
      <c r="R687" s="2">
        <v>-5883</v>
      </c>
      <c r="S687" s="2">
        <v>829</v>
      </c>
      <c r="T687" s="2">
        <v>1079</v>
      </c>
      <c r="U687" s="2">
        <v>0</v>
      </c>
      <c r="W687" s="2">
        <v>7704</v>
      </c>
      <c r="X687" s="2">
        <v>6311</v>
      </c>
      <c r="Y687" s="2">
        <v>5124</v>
      </c>
      <c r="Z687" s="2">
        <v>0</v>
      </c>
      <c r="AA687" s="2">
        <v>0</v>
      </c>
      <c r="AC687" s="2">
        <v>16659</v>
      </c>
      <c r="AD687" s="2">
        <v>13289</v>
      </c>
      <c r="AE687" s="2">
        <v>9064</v>
      </c>
      <c r="AF687" s="2">
        <v>5576</v>
      </c>
      <c r="AG687" s="2">
        <v>0</v>
      </c>
      <c r="AI687" s="2">
        <v>0</v>
      </c>
      <c r="AJ687" s="2">
        <v>0</v>
      </c>
      <c r="AK687" s="2">
        <v>0</v>
      </c>
      <c r="AL687" s="2">
        <v>0</v>
      </c>
      <c r="AM687" s="2">
        <v>0</v>
      </c>
    </row>
    <row r="688" spans="1:39">
      <c r="A688" s="335">
        <v>97431</v>
      </c>
      <c r="B688" s="328" t="s">
        <v>1380</v>
      </c>
      <c r="C688" s="239">
        <v>8.92E-5</v>
      </c>
      <c r="E688" s="2">
        <v>46384</v>
      </c>
      <c r="F688" s="2">
        <v>16011</v>
      </c>
      <c r="G688" s="2">
        <v>25052</v>
      </c>
      <c r="H688" s="2">
        <v>4971</v>
      </c>
      <c r="I688" s="2">
        <v>0</v>
      </c>
      <c r="K688" s="2">
        <v>13363</v>
      </c>
      <c r="L688" s="2">
        <v>12570</v>
      </c>
      <c r="M688" s="2">
        <v>11266</v>
      </c>
      <c r="N688" s="2">
        <v>4511</v>
      </c>
      <c r="O688" s="2">
        <v>0</v>
      </c>
      <c r="Q688" s="2">
        <v>14186</v>
      </c>
      <c r="R688" s="2">
        <v>-12203</v>
      </c>
      <c r="S688" s="2">
        <v>1720</v>
      </c>
      <c r="T688" s="2">
        <v>2238</v>
      </c>
      <c r="U688" s="2">
        <v>0</v>
      </c>
      <c r="W688" s="2">
        <v>15981</v>
      </c>
      <c r="X688" s="2">
        <v>13092</v>
      </c>
      <c r="Y688" s="2">
        <v>10629</v>
      </c>
      <c r="Z688" s="2">
        <v>0</v>
      </c>
      <c r="AA688" s="2">
        <v>0</v>
      </c>
      <c r="AC688" s="2">
        <v>4630</v>
      </c>
      <c r="AD688" s="2">
        <v>4328</v>
      </c>
      <c r="AE688" s="2">
        <v>3213</v>
      </c>
      <c r="AF688" s="2">
        <v>0</v>
      </c>
      <c r="AG688" s="2">
        <v>0</v>
      </c>
      <c r="AI688" s="2">
        <v>-1776</v>
      </c>
      <c r="AJ688" s="2">
        <v>-1776</v>
      </c>
      <c r="AK688" s="2">
        <v>-1776</v>
      </c>
      <c r="AL688" s="2">
        <v>-1778</v>
      </c>
      <c r="AM688" s="2">
        <v>0</v>
      </c>
    </row>
    <row r="689" spans="1:39">
      <c r="A689" s="335">
        <v>97441</v>
      </c>
      <c r="B689" s="328" t="s">
        <v>1381</v>
      </c>
      <c r="C689" s="239">
        <v>5.7899999999999998E-5</v>
      </c>
      <c r="E689" s="2">
        <v>20924</v>
      </c>
      <c r="F689" s="2">
        <v>2237</v>
      </c>
      <c r="G689" s="2">
        <v>9850</v>
      </c>
      <c r="H689" s="2">
        <v>3862</v>
      </c>
      <c r="I689" s="2">
        <v>0</v>
      </c>
      <c r="K689" s="2">
        <v>8674</v>
      </c>
      <c r="L689" s="2">
        <v>8159</v>
      </c>
      <c r="M689" s="2">
        <v>7313</v>
      </c>
      <c r="N689" s="2">
        <v>2928</v>
      </c>
      <c r="O689" s="2">
        <v>0</v>
      </c>
      <c r="Q689" s="2">
        <v>9208</v>
      </c>
      <c r="R689" s="2">
        <v>-7921</v>
      </c>
      <c r="S689" s="2">
        <v>1116</v>
      </c>
      <c r="T689" s="2">
        <v>1453</v>
      </c>
      <c r="U689" s="2">
        <v>0</v>
      </c>
      <c r="W689" s="2">
        <v>10373</v>
      </c>
      <c r="X689" s="2">
        <v>8498</v>
      </c>
      <c r="Y689" s="2">
        <v>6899</v>
      </c>
      <c r="Z689" s="2">
        <v>0</v>
      </c>
      <c r="AA689" s="2">
        <v>0</v>
      </c>
      <c r="AC689" s="2">
        <v>0</v>
      </c>
      <c r="AD689" s="2">
        <v>0</v>
      </c>
      <c r="AE689" s="2">
        <v>0</v>
      </c>
      <c r="AF689" s="2">
        <v>0</v>
      </c>
      <c r="AG689" s="2">
        <v>0</v>
      </c>
      <c r="AI689" s="2">
        <v>-7331</v>
      </c>
      <c r="AJ689" s="2">
        <v>-6499</v>
      </c>
      <c r="AK689" s="2">
        <v>-5478</v>
      </c>
      <c r="AL689" s="2">
        <v>-519</v>
      </c>
      <c r="AM689" s="2">
        <v>0</v>
      </c>
    </row>
    <row r="690" spans="1:39">
      <c r="A690" s="335">
        <v>97451</v>
      </c>
      <c r="B690" s="328" t="s">
        <v>1382</v>
      </c>
      <c r="C690" s="239">
        <v>6.6290000000000001E-4</v>
      </c>
      <c r="E690" s="2">
        <v>319392</v>
      </c>
      <c r="F690" s="2">
        <v>91502</v>
      </c>
      <c r="G690" s="2">
        <v>177933</v>
      </c>
      <c r="H690" s="2">
        <v>49690</v>
      </c>
      <c r="I690" s="2">
        <v>0</v>
      </c>
      <c r="K690" s="2">
        <v>99307</v>
      </c>
      <c r="L690" s="2">
        <v>93416</v>
      </c>
      <c r="M690" s="2">
        <v>83728</v>
      </c>
      <c r="N690" s="2">
        <v>33524</v>
      </c>
      <c r="O690" s="2">
        <v>0</v>
      </c>
      <c r="Q690" s="2">
        <v>105428</v>
      </c>
      <c r="R690" s="2">
        <v>-90688</v>
      </c>
      <c r="S690" s="2">
        <v>12781</v>
      </c>
      <c r="T690" s="2">
        <v>16635</v>
      </c>
      <c r="U690" s="2">
        <v>0</v>
      </c>
      <c r="W690" s="2">
        <v>118766</v>
      </c>
      <c r="X690" s="2">
        <v>97298</v>
      </c>
      <c r="Y690" s="2">
        <v>78989</v>
      </c>
      <c r="Z690" s="2">
        <v>0</v>
      </c>
      <c r="AA690" s="2">
        <v>0</v>
      </c>
      <c r="AC690" s="2">
        <v>7319</v>
      </c>
      <c r="AD690" s="2">
        <v>2904</v>
      </c>
      <c r="AE690" s="2">
        <v>2904</v>
      </c>
      <c r="AF690" s="2">
        <v>0</v>
      </c>
      <c r="AG690" s="2">
        <v>0</v>
      </c>
      <c r="AI690" s="2">
        <v>-11428</v>
      </c>
      <c r="AJ690" s="2">
        <v>-11428</v>
      </c>
      <c r="AK690" s="2">
        <v>-469</v>
      </c>
      <c r="AL690" s="2">
        <v>-469</v>
      </c>
      <c r="AM690" s="2">
        <v>0</v>
      </c>
    </row>
    <row r="691" spans="1:39">
      <c r="A691" s="335">
        <v>97471</v>
      </c>
      <c r="B691" s="328" t="s">
        <v>1385</v>
      </c>
      <c r="C691" s="239">
        <v>1.6399999999999999E-5</v>
      </c>
      <c r="E691" s="2">
        <v>11926</v>
      </c>
      <c r="F691" s="2">
        <v>5872</v>
      </c>
      <c r="G691" s="2">
        <v>6893</v>
      </c>
      <c r="H691" s="2">
        <v>2168</v>
      </c>
      <c r="I691" s="2">
        <v>0</v>
      </c>
      <c r="K691" s="2">
        <v>2457</v>
      </c>
      <c r="L691" s="2">
        <v>2311</v>
      </c>
      <c r="M691" s="2">
        <v>2071</v>
      </c>
      <c r="N691" s="2">
        <v>829</v>
      </c>
      <c r="O691" s="2">
        <v>0</v>
      </c>
      <c r="Q691" s="2">
        <v>2608</v>
      </c>
      <c r="R691" s="2">
        <v>-2244</v>
      </c>
      <c r="S691" s="2">
        <v>316</v>
      </c>
      <c r="T691" s="2">
        <v>412</v>
      </c>
      <c r="U691" s="2">
        <v>0</v>
      </c>
      <c r="W691" s="2">
        <v>2938</v>
      </c>
      <c r="X691" s="2">
        <v>2407</v>
      </c>
      <c r="Y691" s="2">
        <v>1954</v>
      </c>
      <c r="Z691" s="2">
        <v>0</v>
      </c>
      <c r="AA691" s="2">
        <v>0</v>
      </c>
      <c r="AC691" s="2">
        <v>3923</v>
      </c>
      <c r="AD691" s="2">
        <v>3398</v>
      </c>
      <c r="AE691" s="2">
        <v>2552</v>
      </c>
      <c r="AF691" s="2">
        <v>927</v>
      </c>
      <c r="AG691" s="2">
        <v>0</v>
      </c>
      <c r="AI691" s="2">
        <v>0</v>
      </c>
      <c r="AJ691" s="2">
        <v>0</v>
      </c>
      <c r="AK691" s="2">
        <v>0</v>
      </c>
      <c r="AL691" s="2">
        <v>0</v>
      </c>
      <c r="AM691" s="2">
        <v>0</v>
      </c>
    </row>
    <row r="692" spans="1:39">
      <c r="A692" s="335">
        <v>97481</v>
      </c>
      <c r="B692" s="328" t="s">
        <v>1386</v>
      </c>
      <c r="C692" s="239">
        <v>8.9999999999999996E-7</v>
      </c>
      <c r="E692" s="2">
        <v>-1887</v>
      </c>
      <c r="F692" s="2">
        <v>-2636</v>
      </c>
      <c r="G692" s="2">
        <v>-1756</v>
      </c>
      <c r="H692" s="2">
        <v>-2055</v>
      </c>
      <c r="I692" s="2">
        <v>0</v>
      </c>
      <c r="K692" s="2">
        <v>135</v>
      </c>
      <c r="L692" s="2">
        <v>127</v>
      </c>
      <c r="M692" s="2">
        <v>114</v>
      </c>
      <c r="N692" s="2">
        <v>46</v>
      </c>
      <c r="O692" s="2">
        <v>0</v>
      </c>
      <c r="Q692" s="2">
        <v>143</v>
      </c>
      <c r="R692" s="2">
        <v>-123</v>
      </c>
      <c r="S692" s="2">
        <v>17</v>
      </c>
      <c r="T692" s="2">
        <v>23</v>
      </c>
      <c r="U692" s="2">
        <v>0</v>
      </c>
      <c r="W692" s="2">
        <v>161</v>
      </c>
      <c r="X692" s="2">
        <v>132</v>
      </c>
      <c r="Y692" s="2">
        <v>107</v>
      </c>
      <c r="Z692" s="2">
        <v>0</v>
      </c>
      <c r="AA692" s="2">
        <v>0</v>
      </c>
      <c r="AC692" s="2">
        <v>578</v>
      </c>
      <c r="AD692" s="2">
        <v>131</v>
      </c>
      <c r="AE692" s="2">
        <v>131</v>
      </c>
      <c r="AF692" s="2">
        <v>0</v>
      </c>
      <c r="AG692" s="2">
        <v>0</v>
      </c>
      <c r="AI692" s="2">
        <v>-2904</v>
      </c>
      <c r="AJ692" s="2">
        <v>-2903</v>
      </c>
      <c r="AK692" s="2">
        <v>-2125</v>
      </c>
      <c r="AL692" s="2">
        <v>-2124</v>
      </c>
      <c r="AM692" s="2">
        <v>0</v>
      </c>
    </row>
    <row r="693" spans="1:39">
      <c r="A693" s="335">
        <v>97501</v>
      </c>
      <c r="B693" s="328" t="s">
        <v>1388</v>
      </c>
      <c r="C693" s="239">
        <v>1.1816999999999999E-3</v>
      </c>
      <c r="E693" s="2">
        <v>623360</v>
      </c>
      <c r="F693" s="2">
        <v>223266</v>
      </c>
      <c r="G693" s="2">
        <v>333049</v>
      </c>
      <c r="H693" s="2">
        <v>110436</v>
      </c>
      <c r="I693" s="2">
        <v>0</v>
      </c>
      <c r="K693" s="2">
        <v>177027</v>
      </c>
      <c r="L693" s="2">
        <v>166525</v>
      </c>
      <c r="M693" s="2">
        <v>149255</v>
      </c>
      <c r="N693" s="2">
        <v>59760</v>
      </c>
      <c r="O693" s="2">
        <v>0</v>
      </c>
      <c r="Q693" s="2">
        <v>187939</v>
      </c>
      <c r="R693" s="2">
        <v>-161662</v>
      </c>
      <c r="S693" s="2">
        <v>22784</v>
      </c>
      <c r="T693" s="2">
        <v>29654</v>
      </c>
      <c r="U693" s="2">
        <v>0</v>
      </c>
      <c r="W693" s="2">
        <v>211716</v>
      </c>
      <c r="X693" s="2">
        <v>173445</v>
      </c>
      <c r="Y693" s="2">
        <v>140808</v>
      </c>
      <c r="Z693" s="2">
        <v>0</v>
      </c>
      <c r="AA693" s="2">
        <v>0</v>
      </c>
      <c r="AC693" s="2">
        <v>47499</v>
      </c>
      <c r="AD693" s="2">
        <v>45779</v>
      </c>
      <c r="AE693" s="2">
        <v>21021</v>
      </c>
      <c r="AF693" s="2">
        <v>21022</v>
      </c>
      <c r="AG693" s="2">
        <v>0</v>
      </c>
      <c r="AI693" s="2">
        <v>-821</v>
      </c>
      <c r="AJ693" s="2">
        <v>-821</v>
      </c>
      <c r="AK693" s="2">
        <v>-819</v>
      </c>
      <c r="AL693" s="2">
        <v>0</v>
      </c>
      <c r="AM693" s="2">
        <v>0</v>
      </c>
    </row>
    <row r="694" spans="1:39">
      <c r="A694" s="335">
        <v>97511</v>
      </c>
      <c r="B694" s="328" t="s">
        <v>1389</v>
      </c>
      <c r="C694" s="239">
        <v>1.9120000000000001E-4</v>
      </c>
      <c r="E694" s="2">
        <v>94541</v>
      </c>
      <c r="F694" s="2">
        <v>27872</v>
      </c>
      <c r="G694" s="2">
        <v>48378</v>
      </c>
      <c r="H694" s="2">
        <v>19098</v>
      </c>
      <c r="I694" s="2">
        <v>0</v>
      </c>
      <c r="K694" s="2">
        <v>28643</v>
      </c>
      <c r="L694" s="2">
        <v>26944</v>
      </c>
      <c r="M694" s="2">
        <v>24150</v>
      </c>
      <c r="N694" s="2">
        <v>9669</v>
      </c>
      <c r="O694" s="2">
        <v>0</v>
      </c>
      <c r="Q694" s="2">
        <v>30409</v>
      </c>
      <c r="R694" s="2">
        <v>-26157</v>
      </c>
      <c r="S694" s="2">
        <v>3687</v>
      </c>
      <c r="T694" s="2">
        <v>4798</v>
      </c>
      <c r="U694" s="2">
        <v>0</v>
      </c>
      <c r="W694" s="2">
        <v>34256</v>
      </c>
      <c r="X694" s="2">
        <v>28064</v>
      </c>
      <c r="Y694" s="2">
        <v>22783</v>
      </c>
      <c r="Z694" s="2">
        <v>0</v>
      </c>
      <c r="AA694" s="2">
        <v>0</v>
      </c>
      <c r="AC694" s="2">
        <v>8109</v>
      </c>
      <c r="AD694" s="2">
        <v>5897</v>
      </c>
      <c r="AE694" s="2">
        <v>4632</v>
      </c>
      <c r="AF694" s="2">
        <v>4631</v>
      </c>
      <c r="AG694" s="2">
        <v>0</v>
      </c>
      <c r="AI694" s="2">
        <v>-6876</v>
      </c>
      <c r="AJ694" s="2">
        <v>-6876</v>
      </c>
      <c r="AK694" s="2">
        <v>-6874</v>
      </c>
      <c r="AL694" s="2">
        <v>0</v>
      </c>
      <c r="AM694" s="2">
        <v>0</v>
      </c>
    </row>
    <row r="695" spans="1:39">
      <c r="A695" s="335">
        <v>97521</v>
      </c>
      <c r="B695" s="328" t="s">
        <v>1390</v>
      </c>
      <c r="C695" s="239">
        <v>1.139E-4</v>
      </c>
      <c r="E695" s="2">
        <v>48699</v>
      </c>
      <c r="F695" s="2">
        <v>12532</v>
      </c>
      <c r="G695" s="2">
        <v>26078</v>
      </c>
      <c r="H695" s="2">
        <v>5657</v>
      </c>
      <c r="I695" s="2">
        <v>0</v>
      </c>
      <c r="K695" s="2">
        <v>17063</v>
      </c>
      <c r="L695" s="2">
        <v>16051</v>
      </c>
      <c r="M695" s="2">
        <v>14386</v>
      </c>
      <c r="N695" s="2">
        <v>5760</v>
      </c>
      <c r="O695" s="2">
        <v>0</v>
      </c>
      <c r="Q695" s="2">
        <v>18115</v>
      </c>
      <c r="R695" s="2">
        <v>-15582</v>
      </c>
      <c r="S695" s="2">
        <v>2196</v>
      </c>
      <c r="T695" s="2">
        <v>2858</v>
      </c>
      <c r="U695" s="2">
        <v>0</v>
      </c>
      <c r="W695" s="2">
        <v>20407</v>
      </c>
      <c r="X695" s="2">
        <v>16718</v>
      </c>
      <c r="Y695" s="2">
        <v>13572</v>
      </c>
      <c r="Z695" s="2">
        <v>0</v>
      </c>
      <c r="AA695" s="2">
        <v>0</v>
      </c>
      <c r="AC695" s="2">
        <v>0</v>
      </c>
      <c r="AD695" s="2">
        <v>0</v>
      </c>
      <c r="AE695" s="2">
        <v>0</v>
      </c>
      <c r="AF695" s="2">
        <v>0</v>
      </c>
      <c r="AG695" s="2">
        <v>0</v>
      </c>
      <c r="AI695" s="2">
        <v>-6886</v>
      </c>
      <c r="AJ695" s="2">
        <v>-4655</v>
      </c>
      <c r="AK695" s="2">
        <v>-4076</v>
      </c>
      <c r="AL695" s="2">
        <v>-2961</v>
      </c>
      <c r="AM695" s="2">
        <v>0</v>
      </c>
    </row>
    <row r="696" spans="1:39">
      <c r="A696" s="335">
        <v>97527</v>
      </c>
      <c r="B696" s="328" t="s">
        <v>1641</v>
      </c>
      <c r="C696" s="239">
        <v>1.7E-5</v>
      </c>
      <c r="E696" s="2">
        <v>11729</v>
      </c>
      <c r="F696" s="2">
        <v>5997</v>
      </c>
      <c r="G696" s="2">
        <v>7931</v>
      </c>
      <c r="H696" s="2">
        <v>3852</v>
      </c>
      <c r="I696" s="2">
        <v>0</v>
      </c>
      <c r="K696" s="2">
        <v>2547</v>
      </c>
      <c r="L696" s="2">
        <v>2396</v>
      </c>
      <c r="M696" s="2">
        <v>2147</v>
      </c>
      <c r="N696" s="2">
        <v>860</v>
      </c>
      <c r="O696" s="2">
        <v>0</v>
      </c>
      <c r="Q696" s="2">
        <v>2704</v>
      </c>
      <c r="R696" s="2">
        <v>-2326</v>
      </c>
      <c r="S696" s="2">
        <v>328</v>
      </c>
      <c r="T696" s="2">
        <v>427</v>
      </c>
      <c r="U696" s="2">
        <v>0</v>
      </c>
      <c r="W696" s="2">
        <v>3046</v>
      </c>
      <c r="X696" s="2">
        <v>2495</v>
      </c>
      <c r="Y696" s="2">
        <v>2026</v>
      </c>
      <c r="Z696" s="2">
        <v>0</v>
      </c>
      <c r="AA696" s="2">
        <v>0</v>
      </c>
      <c r="AC696" s="2">
        <v>3432</v>
      </c>
      <c r="AD696" s="2">
        <v>3432</v>
      </c>
      <c r="AE696" s="2">
        <v>3430</v>
      </c>
      <c r="AF696" s="2">
        <v>2565</v>
      </c>
      <c r="AG696" s="2">
        <v>0</v>
      </c>
      <c r="AI696" s="2">
        <v>0</v>
      </c>
      <c r="AJ696" s="2">
        <v>0</v>
      </c>
      <c r="AK696" s="2">
        <v>0</v>
      </c>
      <c r="AL696" s="2">
        <v>0</v>
      </c>
      <c r="AM696" s="2">
        <v>0</v>
      </c>
    </row>
    <row r="697" spans="1:39">
      <c r="A697" s="335">
        <v>97531</v>
      </c>
      <c r="B697" s="328" t="s">
        <v>1391</v>
      </c>
      <c r="C697" s="239">
        <v>8.1299999999999997E-5</v>
      </c>
      <c r="E697" s="2">
        <v>49991</v>
      </c>
      <c r="F697" s="2">
        <v>21865</v>
      </c>
      <c r="G697" s="2">
        <v>28924</v>
      </c>
      <c r="H697" s="2">
        <v>11012</v>
      </c>
      <c r="I697" s="2">
        <v>0</v>
      </c>
      <c r="K697" s="2">
        <v>12179</v>
      </c>
      <c r="L697" s="2">
        <v>11457</v>
      </c>
      <c r="M697" s="2">
        <v>10269</v>
      </c>
      <c r="N697" s="2">
        <v>4111</v>
      </c>
      <c r="O697" s="2">
        <v>0</v>
      </c>
      <c r="Q697" s="2">
        <v>12930</v>
      </c>
      <c r="R697" s="2">
        <v>-11122</v>
      </c>
      <c r="S697" s="2">
        <v>1568</v>
      </c>
      <c r="T697" s="2">
        <v>2040</v>
      </c>
      <c r="U697" s="2">
        <v>0</v>
      </c>
      <c r="W697" s="2">
        <v>14566</v>
      </c>
      <c r="X697" s="2">
        <v>11933</v>
      </c>
      <c r="Y697" s="2">
        <v>9687</v>
      </c>
      <c r="Z697" s="2">
        <v>0</v>
      </c>
      <c r="AA697" s="2">
        <v>0</v>
      </c>
      <c r="AC697" s="2">
        <v>10316</v>
      </c>
      <c r="AD697" s="2">
        <v>9597</v>
      </c>
      <c r="AE697" s="2">
        <v>7400</v>
      </c>
      <c r="AF697" s="2">
        <v>4861</v>
      </c>
      <c r="AG697" s="2">
        <v>0</v>
      </c>
      <c r="AI697" s="2">
        <v>0</v>
      </c>
      <c r="AJ697" s="2">
        <v>0</v>
      </c>
      <c r="AK697" s="2">
        <v>0</v>
      </c>
      <c r="AL697" s="2">
        <v>0</v>
      </c>
      <c r="AM697" s="2">
        <v>0</v>
      </c>
    </row>
    <row r="698" spans="1:39">
      <c r="A698" s="335">
        <v>97601</v>
      </c>
      <c r="B698" s="328" t="s">
        <v>1392</v>
      </c>
      <c r="C698" s="239">
        <v>5.2946E-3</v>
      </c>
      <c r="E698" s="2">
        <v>2597988</v>
      </c>
      <c r="F698" s="2">
        <v>827880</v>
      </c>
      <c r="G698" s="2">
        <v>1382948</v>
      </c>
      <c r="H698" s="2">
        <v>384546</v>
      </c>
      <c r="I698" s="2">
        <v>0</v>
      </c>
      <c r="K698" s="2">
        <v>793168</v>
      </c>
      <c r="L698" s="2">
        <v>746115</v>
      </c>
      <c r="M698" s="2">
        <v>668734</v>
      </c>
      <c r="N698" s="2">
        <v>267753</v>
      </c>
      <c r="O698" s="2">
        <v>0</v>
      </c>
      <c r="Q698" s="2">
        <v>842058</v>
      </c>
      <c r="R698" s="2">
        <v>-724328</v>
      </c>
      <c r="S698" s="2">
        <v>102085</v>
      </c>
      <c r="T698" s="2">
        <v>132863</v>
      </c>
      <c r="U698" s="2">
        <v>0</v>
      </c>
      <c r="W698" s="2">
        <v>948591</v>
      </c>
      <c r="X698" s="2">
        <v>777120</v>
      </c>
      <c r="Y698" s="2">
        <v>630889</v>
      </c>
      <c r="Z698" s="2">
        <v>0</v>
      </c>
      <c r="AA698" s="2">
        <v>0</v>
      </c>
      <c r="AC698" s="2">
        <v>47732</v>
      </c>
      <c r="AD698" s="2">
        <v>47731</v>
      </c>
      <c r="AE698" s="2">
        <v>0</v>
      </c>
      <c r="AF698" s="2">
        <v>0</v>
      </c>
      <c r="AG698" s="2">
        <v>0</v>
      </c>
      <c r="AI698" s="2">
        <v>-33561</v>
      </c>
      <c r="AJ698" s="2">
        <v>-18758</v>
      </c>
      <c r="AK698" s="2">
        <v>-18760</v>
      </c>
      <c r="AL698" s="2">
        <v>-16070</v>
      </c>
      <c r="AM698" s="2">
        <v>0</v>
      </c>
    </row>
    <row r="699" spans="1:39">
      <c r="A699" s="335">
        <v>97607</v>
      </c>
      <c r="B699" s="328" t="s">
        <v>1393</v>
      </c>
      <c r="C699" s="239">
        <v>2.0699999999999998E-5</v>
      </c>
      <c r="E699" s="2">
        <v>15569</v>
      </c>
      <c r="F699" s="2">
        <v>8071</v>
      </c>
      <c r="G699" s="2">
        <v>8437</v>
      </c>
      <c r="H699" s="2">
        <v>3091</v>
      </c>
      <c r="I699" s="2">
        <v>0</v>
      </c>
      <c r="K699" s="2">
        <v>3101</v>
      </c>
      <c r="L699" s="2">
        <v>2917</v>
      </c>
      <c r="M699" s="2">
        <v>2615</v>
      </c>
      <c r="N699" s="2">
        <v>1047</v>
      </c>
      <c r="O699" s="2">
        <v>0</v>
      </c>
      <c r="Q699" s="2">
        <v>3292</v>
      </c>
      <c r="R699" s="2">
        <v>-2832</v>
      </c>
      <c r="S699" s="2">
        <v>399</v>
      </c>
      <c r="T699" s="2">
        <v>519</v>
      </c>
      <c r="U699" s="2">
        <v>0</v>
      </c>
      <c r="W699" s="2">
        <v>3709</v>
      </c>
      <c r="X699" s="2">
        <v>3038</v>
      </c>
      <c r="Y699" s="2">
        <v>2467</v>
      </c>
      <c r="Z699" s="2">
        <v>0</v>
      </c>
      <c r="AA699" s="2">
        <v>0</v>
      </c>
      <c r="AC699" s="2">
        <v>5467</v>
      </c>
      <c r="AD699" s="2">
        <v>4948</v>
      </c>
      <c r="AE699" s="2">
        <v>2956</v>
      </c>
      <c r="AF699" s="2">
        <v>1525</v>
      </c>
      <c r="AG699" s="2">
        <v>0</v>
      </c>
      <c r="AI699" s="2">
        <v>0</v>
      </c>
      <c r="AJ699" s="2">
        <v>0</v>
      </c>
      <c r="AK699" s="2">
        <v>0</v>
      </c>
      <c r="AL699" s="2">
        <v>0</v>
      </c>
      <c r="AM699" s="2">
        <v>0</v>
      </c>
    </row>
    <row r="700" spans="1:39">
      <c r="A700" s="335">
        <v>97611</v>
      </c>
      <c r="B700" s="328" t="s">
        <v>1394</v>
      </c>
      <c r="C700" s="239">
        <v>2.3218000000000002E-3</v>
      </c>
      <c r="E700" s="2">
        <v>1047700</v>
      </c>
      <c r="F700" s="2">
        <v>300342</v>
      </c>
      <c r="G700" s="2">
        <v>586874</v>
      </c>
      <c r="H700" s="2">
        <v>173401</v>
      </c>
      <c r="I700" s="2">
        <v>0</v>
      </c>
      <c r="K700" s="2">
        <v>347822</v>
      </c>
      <c r="L700" s="2">
        <v>327188</v>
      </c>
      <c r="M700" s="2">
        <v>293255</v>
      </c>
      <c r="N700" s="2">
        <v>117416</v>
      </c>
      <c r="O700" s="2">
        <v>0</v>
      </c>
      <c r="Q700" s="2">
        <v>369261</v>
      </c>
      <c r="R700" s="2">
        <v>-317634</v>
      </c>
      <c r="S700" s="2">
        <v>44767</v>
      </c>
      <c r="T700" s="2">
        <v>58263</v>
      </c>
      <c r="U700" s="2">
        <v>0</v>
      </c>
      <c r="W700" s="2">
        <v>415978</v>
      </c>
      <c r="X700" s="2">
        <v>340785</v>
      </c>
      <c r="Y700" s="2">
        <v>276659</v>
      </c>
      <c r="Z700" s="2">
        <v>0</v>
      </c>
      <c r="AA700" s="2">
        <v>0</v>
      </c>
      <c r="AC700" s="2">
        <v>0</v>
      </c>
      <c r="AD700" s="2">
        <v>0</v>
      </c>
      <c r="AE700" s="2">
        <v>0</v>
      </c>
      <c r="AF700" s="2">
        <v>0</v>
      </c>
      <c r="AG700" s="2">
        <v>0</v>
      </c>
      <c r="AI700" s="2">
        <v>-85361</v>
      </c>
      <c r="AJ700" s="2">
        <v>-49997</v>
      </c>
      <c r="AK700" s="2">
        <v>-27807</v>
      </c>
      <c r="AL700" s="2">
        <v>-2278</v>
      </c>
      <c r="AM700" s="2">
        <v>0</v>
      </c>
    </row>
    <row r="701" spans="1:39">
      <c r="A701" s="335">
        <v>97613</v>
      </c>
      <c r="B701" s="328" t="s">
        <v>2753</v>
      </c>
      <c r="C701" s="239">
        <v>8.8599999999999999E-5</v>
      </c>
      <c r="E701" s="2">
        <v>43106</v>
      </c>
      <c r="F701" s="2">
        <v>12045</v>
      </c>
      <c r="G701" s="2">
        <v>22169</v>
      </c>
      <c r="H701" s="2">
        <v>4244</v>
      </c>
      <c r="I701" s="2">
        <v>0</v>
      </c>
      <c r="K701" s="2">
        <v>13273</v>
      </c>
      <c r="L701" s="2">
        <v>12486</v>
      </c>
      <c r="M701" s="2">
        <v>11191</v>
      </c>
      <c r="N701" s="2">
        <v>4481</v>
      </c>
      <c r="O701" s="2">
        <v>0</v>
      </c>
      <c r="Q701" s="2">
        <v>14091</v>
      </c>
      <c r="R701" s="2">
        <v>-12121</v>
      </c>
      <c r="S701" s="2">
        <v>1708</v>
      </c>
      <c r="T701" s="2">
        <v>2223</v>
      </c>
      <c r="U701" s="2">
        <v>0</v>
      </c>
      <c r="W701" s="2">
        <v>15874</v>
      </c>
      <c r="X701" s="2">
        <v>13004</v>
      </c>
      <c r="Y701" s="2">
        <v>10557</v>
      </c>
      <c r="Z701" s="2">
        <v>0</v>
      </c>
      <c r="AA701" s="2">
        <v>0</v>
      </c>
      <c r="AC701" s="2">
        <v>2367</v>
      </c>
      <c r="AD701" s="2">
        <v>1175</v>
      </c>
      <c r="AE701" s="2">
        <v>1174</v>
      </c>
      <c r="AF701" s="2">
        <v>0</v>
      </c>
      <c r="AG701" s="2">
        <v>0</v>
      </c>
      <c r="AI701" s="2">
        <v>-2499</v>
      </c>
      <c r="AJ701" s="2">
        <v>-2499</v>
      </c>
      <c r="AK701" s="2">
        <v>-2461</v>
      </c>
      <c r="AL701" s="2">
        <v>-2460</v>
      </c>
      <c r="AM701" s="2">
        <v>0</v>
      </c>
    </row>
    <row r="702" spans="1:39">
      <c r="A702" s="335">
        <v>97621</v>
      </c>
      <c r="B702" s="328" t="s">
        <v>1396</v>
      </c>
      <c r="C702" s="239">
        <v>4.3960000000000001E-4</v>
      </c>
      <c r="E702" s="2">
        <v>181434</v>
      </c>
      <c r="F702" s="2">
        <v>42932</v>
      </c>
      <c r="G702" s="2">
        <v>102425</v>
      </c>
      <c r="H702" s="2">
        <v>26399</v>
      </c>
      <c r="I702" s="2">
        <v>0</v>
      </c>
      <c r="K702" s="2">
        <v>65855</v>
      </c>
      <c r="L702" s="2">
        <v>61948</v>
      </c>
      <c r="M702" s="2">
        <v>55524</v>
      </c>
      <c r="N702" s="2">
        <v>22231</v>
      </c>
      <c r="O702" s="2">
        <v>0</v>
      </c>
      <c r="Q702" s="2">
        <v>69914</v>
      </c>
      <c r="R702" s="2">
        <v>-60139</v>
      </c>
      <c r="S702" s="2">
        <v>8476</v>
      </c>
      <c r="T702" s="2">
        <v>11031</v>
      </c>
      <c r="U702" s="2">
        <v>0</v>
      </c>
      <c r="W702" s="2">
        <v>78760</v>
      </c>
      <c r="X702" s="2">
        <v>64523</v>
      </c>
      <c r="Y702" s="2">
        <v>52381</v>
      </c>
      <c r="Z702" s="2">
        <v>0</v>
      </c>
      <c r="AA702" s="2">
        <v>0</v>
      </c>
      <c r="AC702" s="2">
        <v>0</v>
      </c>
      <c r="AD702" s="2">
        <v>0</v>
      </c>
      <c r="AE702" s="2">
        <v>0</v>
      </c>
      <c r="AF702" s="2">
        <v>0</v>
      </c>
      <c r="AG702" s="2">
        <v>0</v>
      </c>
      <c r="AI702" s="2">
        <v>-33095</v>
      </c>
      <c r="AJ702" s="2">
        <v>-23400</v>
      </c>
      <c r="AK702" s="2">
        <v>-13956</v>
      </c>
      <c r="AL702" s="2">
        <v>-6863</v>
      </c>
      <c r="AM702" s="2">
        <v>0</v>
      </c>
    </row>
    <row r="703" spans="1:39">
      <c r="A703" s="335">
        <v>97623</v>
      </c>
      <c r="B703" s="328" t="s">
        <v>1397</v>
      </c>
      <c r="C703" s="239">
        <v>2.5400000000000001E-5</v>
      </c>
      <c r="E703" s="2">
        <v>11343</v>
      </c>
      <c r="F703" s="2">
        <v>2517</v>
      </c>
      <c r="G703" s="2">
        <v>5843</v>
      </c>
      <c r="H703" s="2">
        <v>2093</v>
      </c>
      <c r="I703" s="2">
        <v>0</v>
      </c>
      <c r="K703" s="2">
        <v>3805</v>
      </c>
      <c r="L703" s="2">
        <v>3579</v>
      </c>
      <c r="M703" s="2">
        <v>3208</v>
      </c>
      <c r="N703" s="2">
        <v>1285</v>
      </c>
      <c r="O703" s="2">
        <v>0</v>
      </c>
      <c r="Q703" s="2">
        <v>4040</v>
      </c>
      <c r="R703" s="2">
        <v>-3475</v>
      </c>
      <c r="S703" s="2">
        <v>490</v>
      </c>
      <c r="T703" s="2">
        <v>637</v>
      </c>
      <c r="U703" s="2">
        <v>0</v>
      </c>
      <c r="W703" s="2">
        <v>4551</v>
      </c>
      <c r="X703" s="2">
        <v>3728</v>
      </c>
      <c r="Y703" s="2">
        <v>3027</v>
      </c>
      <c r="Z703" s="2">
        <v>0</v>
      </c>
      <c r="AA703" s="2">
        <v>0</v>
      </c>
      <c r="AC703" s="2">
        <v>433</v>
      </c>
      <c r="AD703" s="2">
        <v>170</v>
      </c>
      <c r="AE703" s="2">
        <v>170</v>
      </c>
      <c r="AF703" s="2">
        <v>171</v>
      </c>
      <c r="AG703" s="2">
        <v>0</v>
      </c>
      <c r="AI703" s="2">
        <v>-1486</v>
      </c>
      <c r="AJ703" s="2">
        <v>-1485</v>
      </c>
      <c r="AK703" s="2">
        <v>-1052</v>
      </c>
      <c r="AL703" s="2">
        <v>0</v>
      </c>
      <c r="AM703" s="2">
        <v>0</v>
      </c>
    </row>
    <row r="704" spans="1:39">
      <c r="A704" s="335">
        <v>97627</v>
      </c>
      <c r="B704" s="328" t="s">
        <v>1398</v>
      </c>
      <c r="C704" s="239">
        <v>9.3000000000000007E-6</v>
      </c>
      <c r="E704" s="2">
        <v>4964</v>
      </c>
      <c r="F704" s="2">
        <v>1706</v>
      </c>
      <c r="G704" s="2">
        <v>2736</v>
      </c>
      <c r="H704" s="2">
        <v>850</v>
      </c>
      <c r="I704" s="2">
        <v>0</v>
      </c>
      <c r="K704" s="2">
        <v>1393</v>
      </c>
      <c r="L704" s="2">
        <v>1311</v>
      </c>
      <c r="M704" s="2">
        <v>1175</v>
      </c>
      <c r="N704" s="2">
        <v>470</v>
      </c>
      <c r="O704" s="2">
        <v>0</v>
      </c>
      <c r="Q704" s="2">
        <v>1479</v>
      </c>
      <c r="R704" s="2">
        <v>-1272</v>
      </c>
      <c r="S704" s="2">
        <v>179</v>
      </c>
      <c r="T704" s="2">
        <v>233</v>
      </c>
      <c r="U704" s="2">
        <v>0</v>
      </c>
      <c r="W704" s="2">
        <v>1666</v>
      </c>
      <c r="X704" s="2">
        <v>1365</v>
      </c>
      <c r="Y704" s="2">
        <v>1108</v>
      </c>
      <c r="Z704" s="2">
        <v>0</v>
      </c>
      <c r="AA704" s="2">
        <v>0</v>
      </c>
      <c r="AC704" s="2">
        <v>426</v>
      </c>
      <c r="AD704" s="2">
        <v>302</v>
      </c>
      <c r="AE704" s="2">
        <v>274</v>
      </c>
      <c r="AF704" s="2">
        <v>147</v>
      </c>
      <c r="AG704" s="2">
        <v>0</v>
      </c>
      <c r="AI704" s="2">
        <v>0</v>
      </c>
      <c r="AJ704" s="2">
        <v>0</v>
      </c>
      <c r="AK704" s="2">
        <v>0</v>
      </c>
      <c r="AL704" s="2">
        <v>0</v>
      </c>
      <c r="AM704" s="2">
        <v>0</v>
      </c>
    </row>
    <row r="705" spans="1:39">
      <c r="A705" s="335">
        <v>97631</v>
      </c>
      <c r="B705" s="328" t="s">
        <v>1399</v>
      </c>
      <c r="C705" s="239">
        <v>1.972E-4</v>
      </c>
      <c r="E705" s="2">
        <v>91769</v>
      </c>
      <c r="F705" s="2">
        <v>24109</v>
      </c>
      <c r="G705" s="2">
        <v>47489</v>
      </c>
      <c r="H705" s="2">
        <v>11478</v>
      </c>
      <c r="I705" s="2">
        <v>0</v>
      </c>
      <c r="K705" s="2">
        <v>29542</v>
      </c>
      <c r="L705" s="2">
        <v>27789</v>
      </c>
      <c r="M705" s="2">
        <v>24907</v>
      </c>
      <c r="N705" s="2">
        <v>9973</v>
      </c>
      <c r="O705" s="2">
        <v>0</v>
      </c>
      <c r="Q705" s="2">
        <v>31363</v>
      </c>
      <c r="R705" s="2">
        <v>-26978</v>
      </c>
      <c r="S705" s="2">
        <v>3802</v>
      </c>
      <c r="T705" s="2">
        <v>4949</v>
      </c>
      <c r="U705" s="2">
        <v>0</v>
      </c>
      <c r="W705" s="2">
        <v>35331</v>
      </c>
      <c r="X705" s="2">
        <v>28944</v>
      </c>
      <c r="Y705" s="2">
        <v>23498</v>
      </c>
      <c r="Z705" s="2">
        <v>0</v>
      </c>
      <c r="AA705" s="2">
        <v>0</v>
      </c>
      <c r="AC705" s="2">
        <v>1180</v>
      </c>
      <c r="AD705" s="2">
        <v>0</v>
      </c>
      <c r="AE705" s="2">
        <v>0</v>
      </c>
      <c r="AF705" s="2">
        <v>0</v>
      </c>
      <c r="AG705" s="2">
        <v>0</v>
      </c>
      <c r="AI705" s="2">
        <v>-5647</v>
      </c>
      <c r="AJ705" s="2">
        <v>-5646</v>
      </c>
      <c r="AK705" s="2">
        <v>-4718</v>
      </c>
      <c r="AL705" s="2">
        <v>-3444</v>
      </c>
      <c r="AM705" s="2">
        <v>0</v>
      </c>
    </row>
    <row r="706" spans="1:39">
      <c r="A706" s="335">
        <v>97637</v>
      </c>
      <c r="B706" s="328" t="s">
        <v>1400</v>
      </c>
      <c r="C706" s="239">
        <v>3.1999999999999999E-6</v>
      </c>
      <c r="E706" s="2">
        <v>2118</v>
      </c>
      <c r="F706" s="2">
        <v>1049</v>
      </c>
      <c r="G706" s="2">
        <v>1279</v>
      </c>
      <c r="H706" s="2">
        <v>481</v>
      </c>
      <c r="I706" s="2">
        <v>0</v>
      </c>
      <c r="K706" s="2">
        <v>479</v>
      </c>
      <c r="L706" s="2">
        <v>451</v>
      </c>
      <c r="M706" s="2">
        <v>404</v>
      </c>
      <c r="N706" s="2">
        <v>162</v>
      </c>
      <c r="O706" s="2">
        <v>0</v>
      </c>
      <c r="Q706" s="2">
        <v>509</v>
      </c>
      <c r="R706" s="2">
        <v>-438</v>
      </c>
      <c r="S706" s="2">
        <v>62</v>
      </c>
      <c r="T706" s="2">
        <v>80</v>
      </c>
      <c r="U706" s="2">
        <v>0</v>
      </c>
      <c r="W706" s="2">
        <v>573</v>
      </c>
      <c r="X706" s="2">
        <v>470</v>
      </c>
      <c r="Y706" s="2">
        <v>381</v>
      </c>
      <c r="Z706" s="2">
        <v>0</v>
      </c>
      <c r="AA706" s="2">
        <v>0</v>
      </c>
      <c r="AC706" s="2">
        <v>567</v>
      </c>
      <c r="AD706" s="2">
        <v>566</v>
      </c>
      <c r="AE706" s="2">
        <v>432</v>
      </c>
      <c r="AF706" s="2">
        <v>239</v>
      </c>
      <c r="AG706" s="2">
        <v>0</v>
      </c>
      <c r="AI706" s="2">
        <v>-10</v>
      </c>
      <c r="AJ706" s="2">
        <v>0</v>
      </c>
      <c r="AK706" s="2">
        <v>0</v>
      </c>
      <c r="AL706" s="2">
        <v>0</v>
      </c>
      <c r="AM706" s="2">
        <v>0</v>
      </c>
    </row>
    <row r="707" spans="1:39">
      <c r="A707" s="335">
        <v>97641</v>
      </c>
      <c r="B707" s="328" t="s">
        <v>1401</v>
      </c>
      <c r="C707" s="239">
        <v>4.5399999999999999E-5</v>
      </c>
      <c r="E707" s="2">
        <v>23390</v>
      </c>
      <c r="F707" s="2">
        <v>5638</v>
      </c>
      <c r="G707" s="2">
        <v>10311</v>
      </c>
      <c r="H707" s="2">
        <v>3798</v>
      </c>
      <c r="I707" s="2">
        <v>0</v>
      </c>
      <c r="K707" s="2">
        <v>6801</v>
      </c>
      <c r="L707" s="2">
        <v>6398</v>
      </c>
      <c r="M707" s="2">
        <v>5734</v>
      </c>
      <c r="N707" s="2">
        <v>2296</v>
      </c>
      <c r="O707" s="2">
        <v>0</v>
      </c>
      <c r="Q707" s="2">
        <v>7220</v>
      </c>
      <c r="R707" s="2">
        <v>-6211</v>
      </c>
      <c r="S707" s="2">
        <v>875</v>
      </c>
      <c r="T707" s="2">
        <v>1139</v>
      </c>
      <c r="U707" s="2">
        <v>0</v>
      </c>
      <c r="W707" s="2">
        <v>8134</v>
      </c>
      <c r="X707" s="2">
        <v>6664</v>
      </c>
      <c r="Y707" s="2">
        <v>5410</v>
      </c>
      <c r="Z707" s="2">
        <v>0</v>
      </c>
      <c r="AA707" s="2">
        <v>0</v>
      </c>
      <c r="AC707" s="2">
        <v>3306</v>
      </c>
      <c r="AD707" s="2">
        <v>858</v>
      </c>
      <c r="AE707" s="2">
        <v>365</v>
      </c>
      <c r="AF707" s="2">
        <v>363</v>
      </c>
      <c r="AG707" s="2">
        <v>0</v>
      </c>
      <c r="AI707" s="2">
        <v>-2071</v>
      </c>
      <c r="AJ707" s="2">
        <v>-2071</v>
      </c>
      <c r="AK707" s="2">
        <v>-2073</v>
      </c>
      <c r="AL707" s="2">
        <v>0</v>
      </c>
      <c r="AM707" s="2">
        <v>0</v>
      </c>
    </row>
    <row r="708" spans="1:39">
      <c r="A708" s="335">
        <v>97651</v>
      </c>
      <c r="B708" s="328" t="s">
        <v>1402</v>
      </c>
      <c r="C708" s="239">
        <v>5.2329999999999998E-4</v>
      </c>
      <c r="E708" s="2">
        <v>236642</v>
      </c>
      <c r="F708" s="2">
        <v>67128</v>
      </c>
      <c r="G708" s="2">
        <v>129271</v>
      </c>
      <c r="H708" s="2">
        <v>34704</v>
      </c>
      <c r="I708" s="2">
        <v>0</v>
      </c>
      <c r="K708" s="2">
        <v>78394</v>
      </c>
      <c r="L708" s="2">
        <v>73743</v>
      </c>
      <c r="M708" s="2">
        <v>66095</v>
      </c>
      <c r="N708" s="2">
        <v>26464</v>
      </c>
      <c r="O708" s="2">
        <v>0</v>
      </c>
      <c r="Q708" s="2">
        <v>83226</v>
      </c>
      <c r="R708" s="2">
        <v>-71590</v>
      </c>
      <c r="S708" s="2">
        <v>10090</v>
      </c>
      <c r="T708" s="2">
        <v>13132</v>
      </c>
      <c r="U708" s="2">
        <v>0</v>
      </c>
      <c r="W708" s="2">
        <v>93755</v>
      </c>
      <c r="X708" s="2">
        <v>76808</v>
      </c>
      <c r="Y708" s="2">
        <v>62355</v>
      </c>
      <c r="Z708" s="2">
        <v>0</v>
      </c>
      <c r="AA708" s="2">
        <v>0</v>
      </c>
      <c r="AC708" s="2">
        <v>0</v>
      </c>
      <c r="AD708" s="2">
        <v>0</v>
      </c>
      <c r="AE708" s="2">
        <v>0</v>
      </c>
      <c r="AF708" s="2">
        <v>0</v>
      </c>
      <c r="AG708" s="2">
        <v>0</v>
      </c>
      <c r="AI708" s="2">
        <v>-18733</v>
      </c>
      <c r="AJ708" s="2">
        <v>-11833</v>
      </c>
      <c r="AK708" s="2">
        <v>-9269</v>
      </c>
      <c r="AL708" s="2">
        <v>-4892</v>
      </c>
      <c r="AM708" s="2">
        <v>0</v>
      </c>
    </row>
    <row r="709" spans="1:39">
      <c r="A709" s="335">
        <v>97661</v>
      </c>
      <c r="B709" s="328" t="s">
        <v>1403</v>
      </c>
      <c r="C709" s="239">
        <v>5.3300000000000001E-5</v>
      </c>
      <c r="E709" s="2">
        <v>30365</v>
      </c>
      <c r="F709" s="2">
        <v>10817</v>
      </c>
      <c r="G709" s="2">
        <v>15460</v>
      </c>
      <c r="H709" s="2">
        <v>5866</v>
      </c>
      <c r="I709" s="2">
        <v>0</v>
      </c>
      <c r="K709" s="2">
        <v>7985</v>
      </c>
      <c r="L709" s="2">
        <v>7511</v>
      </c>
      <c r="M709" s="2">
        <v>6732</v>
      </c>
      <c r="N709" s="2">
        <v>2695</v>
      </c>
      <c r="O709" s="2">
        <v>0</v>
      </c>
      <c r="Q709" s="2">
        <v>8477</v>
      </c>
      <c r="R709" s="2">
        <v>-7292</v>
      </c>
      <c r="S709" s="2">
        <v>1028</v>
      </c>
      <c r="T709" s="2">
        <v>1338</v>
      </c>
      <c r="U709" s="2">
        <v>0</v>
      </c>
      <c r="W709" s="2">
        <v>9549</v>
      </c>
      <c r="X709" s="2">
        <v>7823</v>
      </c>
      <c r="Y709" s="2">
        <v>6351</v>
      </c>
      <c r="Z709" s="2">
        <v>0</v>
      </c>
      <c r="AA709" s="2">
        <v>0</v>
      </c>
      <c r="AC709" s="2">
        <v>4839</v>
      </c>
      <c r="AD709" s="2">
        <v>3260</v>
      </c>
      <c r="AE709" s="2">
        <v>1834</v>
      </c>
      <c r="AF709" s="2">
        <v>1833</v>
      </c>
      <c r="AG709" s="2">
        <v>0</v>
      </c>
      <c r="AI709" s="2">
        <v>-485</v>
      </c>
      <c r="AJ709" s="2">
        <v>-485</v>
      </c>
      <c r="AK709" s="2">
        <v>-485</v>
      </c>
      <c r="AL709" s="2">
        <v>0</v>
      </c>
      <c r="AM709" s="2">
        <v>0</v>
      </c>
    </row>
    <row r="710" spans="1:39">
      <c r="A710" s="335">
        <v>97701</v>
      </c>
      <c r="B710" s="328" t="s">
        <v>1404</v>
      </c>
      <c r="C710" s="239">
        <v>2.4578E-3</v>
      </c>
      <c r="E710" s="2">
        <v>1192282</v>
      </c>
      <c r="F710" s="2">
        <v>359369</v>
      </c>
      <c r="G710" s="2">
        <v>639050</v>
      </c>
      <c r="H710" s="2">
        <v>164842</v>
      </c>
      <c r="I710" s="2">
        <v>0</v>
      </c>
      <c r="K710" s="2">
        <v>368196</v>
      </c>
      <c r="L710" s="2">
        <v>346353</v>
      </c>
      <c r="M710" s="2">
        <v>310432</v>
      </c>
      <c r="N710" s="2">
        <v>124293</v>
      </c>
      <c r="O710" s="2">
        <v>0</v>
      </c>
      <c r="Q710" s="2">
        <v>390891</v>
      </c>
      <c r="R710" s="2">
        <v>-336239</v>
      </c>
      <c r="S710" s="2">
        <v>47389</v>
      </c>
      <c r="T710" s="2">
        <v>61676</v>
      </c>
      <c r="U710" s="2">
        <v>0</v>
      </c>
      <c r="W710" s="2">
        <v>440344</v>
      </c>
      <c r="X710" s="2">
        <v>360746</v>
      </c>
      <c r="Y710" s="2">
        <v>292864</v>
      </c>
      <c r="Z710" s="2">
        <v>0</v>
      </c>
      <c r="AA710" s="2">
        <v>0</v>
      </c>
      <c r="AC710" s="2">
        <v>13976</v>
      </c>
      <c r="AD710" s="2">
        <v>9634</v>
      </c>
      <c r="AE710" s="2">
        <v>9490</v>
      </c>
      <c r="AF710" s="2">
        <v>0</v>
      </c>
      <c r="AG710" s="2">
        <v>0</v>
      </c>
      <c r="AI710" s="2">
        <v>-21125</v>
      </c>
      <c r="AJ710" s="2">
        <v>-21125</v>
      </c>
      <c r="AK710" s="2">
        <v>-21125</v>
      </c>
      <c r="AL710" s="2">
        <v>-21127</v>
      </c>
      <c r="AM710" s="2">
        <v>0</v>
      </c>
    </row>
    <row r="711" spans="1:39">
      <c r="A711" s="335">
        <v>97705</v>
      </c>
      <c r="B711" s="328" t="s">
        <v>1405</v>
      </c>
      <c r="C711" s="239">
        <v>3.1699999999999998E-5</v>
      </c>
      <c r="E711" s="2">
        <v>11766</v>
      </c>
      <c r="F711" s="2">
        <v>365</v>
      </c>
      <c r="G711" s="2">
        <v>6662</v>
      </c>
      <c r="H711" s="2">
        <v>795</v>
      </c>
      <c r="I711" s="2">
        <v>0</v>
      </c>
      <c r="K711" s="2">
        <v>4749</v>
      </c>
      <c r="L711" s="2">
        <v>4467</v>
      </c>
      <c r="M711" s="2">
        <v>4004</v>
      </c>
      <c r="N711" s="2">
        <v>1603</v>
      </c>
      <c r="O711" s="2">
        <v>0</v>
      </c>
      <c r="Q711" s="2">
        <v>5042</v>
      </c>
      <c r="R711" s="2">
        <v>-4337</v>
      </c>
      <c r="S711" s="2">
        <v>611</v>
      </c>
      <c r="T711" s="2">
        <v>795</v>
      </c>
      <c r="U711" s="2">
        <v>0</v>
      </c>
      <c r="W711" s="2">
        <v>5679</v>
      </c>
      <c r="X711" s="2">
        <v>4653</v>
      </c>
      <c r="Y711" s="2">
        <v>3777</v>
      </c>
      <c r="Z711" s="2">
        <v>0</v>
      </c>
      <c r="AA711" s="2">
        <v>0</v>
      </c>
      <c r="AC711" s="2">
        <v>715</v>
      </c>
      <c r="AD711" s="2">
        <v>0</v>
      </c>
      <c r="AE711" s="2">
        <v>0</v>
      </c>
      <c r="AF711" s="2">
        <v>0</v>
      </c>
      <c r="AG711" s="2">
        <v>0</v>
      </c>
      <c r="AI711" s="2">
        <v>-4419</v>
      </c>
      <c r="AJ711" s="2">
        <v>-4418</v>
      </c>
      <c r="AK711" s="2">
        <v>-1730</v>
      </c>
      <c r="AL711" s="2">
        <v>-1603</v>
      </c>
      <c r="AM711" s="2">
        <v>0</v>
      </c>
    </row>
    <row r="712" spans="1:39">
      <c r="A712" s="335">
        <v>97711</v>
      </c>
      <c r="B712" s="328" t="s">
        <v>1406</v>
      </c>
      <c r="C712" s="239">
        <v>8.5930000000000002E-4</v>
      </c>
      <c r="E712" s="2">
        <v>405260</v>
      </c>
      <c r="F712" s="2">
        <v>121012</v>
      </c>
      <c r="G712" s="2">
        <v>222302</v>
      </c>
      <c r="H712" s="2">
        <v>57081</v>
      </c>
      <c r="I712" s="2">
        <v>0</v>
      </c>
      <c r="K712" s="2">
        <v>128729</v>
      </c>
      <c r="L712" s="2">
        <v>121093</v>
      </c>
      <c r="M712" s="2">
        <v>108534</v>
      </c>
      <c r="N712" s="2">
        <v>43456</v>
      </c>
      <c r="O712" s="2">
        <v>0</v>
      </c>
      <c r="Q712" s="2">
        <v>136664</v>
      </c>
      <c r="R712" s="2">
        <v>-117557</v>
      </c>
      <c r="S712" s="2">
        <v>16568</v>
      </c>
      <c r="T712" s="2">
        <v>21563</v>
      </c>
      <c r="U712" s="2">
        <v>0</v>
      </c>
      <c r="W712" s="2">
        <v>153954</v>
      </c>
      <c r="X712" s="2">
        <v>126125</v>
      </c>
      <c r="Y712" s="2">
        <v>102392</v>
      </c>
      <c r="Z712" s="2">
        <v>0</v>
      </c>
      <c r="AA712" s="2">
        <v>0</v>
      </c>
      <c r="AC712" s="2">
        <v>2745</v>
      </c>
      <c r="AD712" s="2">
        <v>2745</v>
      </c>
      <c r="AE712" s="2">
        <v>2747</v>
      </c>
      <c r="AF712" s="2">
        <v>0</v>
      </c>
      <c r="AG712" s="2">
        <v>0</v>
      </c>
      <c r="AI712" s="2">
        <v>-16832</v>
      </c>
      <c r="AJ712" s="2">
        <v>-11394</v>
      </c>
      <c r="AK712" s="2">
        <v>-7939</v>
      </c>
      <c r="AL712" s="2">
        <v>-7938</v>
      </c>
      <c r="AM712" s="2">
        <v>0</v>
      </c>
    </row>
    <row r="713" spans="1:39">
      <c r="A713" s="335">
        <v>97713</v>
      </c>
      <c r="B713" s="328" t="s">
        <v>1407</v>
      </c>
      <c r="C713" s="239">
        <v>5.0399999999999999E-5</v>
      </c>
      <c r="E713" s="2">
        <v>22105</v>
      </c>
      <c r="F713" s="2">
        <v>6128</v>
      </c>
      <c r="G713" s="2">
        <v>14279</v>
      </c>
      <c r="H713" s="2">
        <v>3642</v>
      </c>
      <c r="I713" s="2">
        <v>0</v>
      </c>
      <c r="K713" s="2">
        <v>7550</v>
      </c>
      <c r="L713" s="2">
        <v>7102</v>
      </c>
      <c r="M713" s="2">
        <v>6366</v>
      </c>
      <c r="N713" s="2">
        <v>2549</v>
      </c>
      <c r="O713" s="2">
        <v>0</v>
      </c>
      <c r="Q713" s="2">
        <v>8016</v>
      </c>
      <c r="R713" s="2">
        <v>-6895</v>
      </c>
      <c r="S713" s="2">
        <v>972</v>
      </c>
      <c r="T713" s="2">
        <v>1265</v>
      </c>
      <c r="U713" s="2">
        <v>0</v>
      </c>
      <c r="W713" s="2">
        <v>9030</v>
      </c>
      <c r="X713" s="2">
        <v>7398</v>
      </c>
      <c r="Y713" s="2">
        <v>6006</v>
      </c>
      <c r="Z713" s="2">
        <v>0</v>
      </c>
      <c r="AA713" s="2">
        <v>0</v>
      </c>
      <c r="AC713" s="2">
        <v>1109</v>
      </c>
      <c r="AD713" s="2">
        <v>1109</v>
      </c>
      <c r="AE713" s="2">
        <v>1107</v>
      </c>
      <c r="AF713" s="2">
        <v>0</v>
      </c>
      <c r="AG713" s="2">
        <v>0</v>
      </c>
      <c r="AI713" s="2">
        <v>-3600</v>
      </c>
      <c r="AJ713" s="2">
        <v>-2586</v>
      </c>
      <c r="AK713" s="2">
        <v>-172</v>
      </c>
      <c r="AL713" s="2">
        <v>-172</v>
      </c>
      <c r="AM713" s="2">
        <v>0</v>
      </c>
    </row>
    <row r="714" spans="1:39">
      <c r="A714" s="335">
        <v>97717</v>
      </c>
      <c r="B714" s="328" t="s">
        <v>1408</v>
      </c>
      <c r="C714" s="239">
        <v>5.4E-6</v>
      </c>
      <c r="E714" s="2">
        <v>2619</v>
      </c>
      <c r="F714" s="2">
        <v>473</v>
      </c>
      <c r="G714" s="2">
        <v>1494</v>
      </c>
      <c r="H714" s="2">
        <v>389</v>
      </c>
      <c r="I714" s="2">
        <v>0</v>
      </c>
      <c r="K714" s="2">
        <v>809</v>
      </c>
      <c r="L714" s="2">
        <v>761</v>
      </c>
      <c r="M714" s="2">
        <v>682</v>
      </c>
      <c r="N714" s="2">
        <v>273</v>
      </c>
      <c r="O714" s="2">
        <v>0</v>
      </c>
      <c r="Q714" s="2">
        <v>859</v>
      </c>
      <c r="R714" s="2">
        <v>-739</v>
      </c>
      <c r="S714" s="2">
        <v>104</v>
      </c>
      <c r="T714" s="2">
        <v>136</v>
      </c>
      <c r="U714" s="2">
        <v>0</v>
      </c>
      <c r="W714" s="2">
        <v>967</v>
      </c>
      <c r="X714" s="2">
        <v>793</v>
      </c>
      <c r="Y714" s="2">
        <v>643</v>
      </c>
      <c r="Z714" s="2">
        <v>0</v>
      </c>
      <c r="AA714" s="2">
        <v>0</v>
      </c>
      <c r="AC714" s="2">
        <v>407</v>
      </c>
      <c r="AD714" s="2">
        <v>83</v>
      </c>
      <c r="AE714" s="2">
        <v>83</v>
      </c>
      <c r="AF714" s="2">
        <v>0</v>
      </c>
      <c r="AG714" s="2">
        <v>0</v>
      </c>
      <c r="AI714" s="2">
        <v>-423</v>
      </c>
      <c r="AJ714" s="2">
        <v>-425</v>
      </c>
      <c r="AK714" s="2">
        <v>-18</v>
      </c>
      <c r="AL714" s="2">
        <v>-20</v>
      </c>
      <c r="AM714" s="2">
        <v>0</v>
      </c>
    </row>
    <row r="715" spans="1:39">
      <c r="A715" s="335">
        <v>97721</v>
      </c>
      <c r="B715" s="328" t="s">
        <v>1409</v>
      </c>
      <c r="C715" s="239">
        <v>5.5699999999999999E-4</v>
      </c>
      <c r="E715" s="2">
        <v>263407</v>
      </c>
      <c r="F715" s="2">
        <v>72060</v>
      </c>
      <c r="G715" s="2">
        <v>137378</v>
      </c>
      <c r="H715" s="2">
        <v>31194</v>
      </c>
      <c r="I715" s="2">
        <v>0</v>
      </c>
      <c r="K715" s="2">
        <v>83442</v>
      </c>
      <c r="L715" s="2">
        <v>78492</v>
      </c>
      <c r="M715" s="2">
        <v>70352</v>
      </c>
      <c r="N715" s="2">
        <v>28168</v>
      </c>
      <c r="O715" s="2">
        <v>0</v>
      </c>
      <c r="Q715" s="2">
        <v>88586</v>
      </c>
      <c r="R715" s="2">
        <v>-76200</v>
      </c>
      <c r="S715" s="2">
        <v>10740</v>
      </c>
      <c r="T715" s="2">
        <v>13977</v>
      </c>
      <c r="U715" s="2">
        <v>0</v>
      </c>
      <c r="W715" s="2">
        <v>99793</v>
      </c>
      <c r="X715" s="2">
        <v>81754</v>
      </c>
      <c r="Y715" s="2">
        <v>66370</v>
      </c>
      <c r="Z715" s="2">
        <v>0</v>
      </c>
      <c r="AA715" s="2">
        <v>0</v>
      </c>
      <c r="AC715" s="2">
        <v>4439</v>
      </c>
      <c r="AD715" s="2">
        <v>866</v>
      </c>
      <c r="AE715" s="2">
        <v>868</v>
      </c>
      <c r="AF715" s="2">
        <v>0</v>
      </c>
      <c r="AG715" s="2">
        <v>0</v>
      </c>
      <c r="AI715" s="2">
        <v>-12853</v>
      </c>
      <c r="AJ715" s="2">
        <v>-12852</v>
      </c>
      <c r="AK715" s="2">
        <v>-10952</v>
      </c>
      <c r="AL715" s="2">
        <v>-10951</v>
      </c>
      <c r="AM715" s="2">
        <v>0</v>
      </c>
    </row>
    <row r="716" spans="1:39">
      <c r="A716" s="335">
        <v>97727</v>
      </c>
      <c r="B716" s="328" t="s">
        <v>1410</v>
      </c>
      <c r="C716" s="239">
        <v>1.8600000000000001E-5</v>
      </c>
      <c r="E716" s="2">
        <v>8595</v>
      </c>
      <c r="F716" s="2">
        <v>2583</v>
      </c>
      <c r="G716" s="2">
        <v>4757</v>
      </c>
      <c r="H716" s="2">
        <v>1398</v>
      </c>
      <c r="I716" s="2">
        <v>0</v>
      </c>
      <c r="K716" s="2">
        <v>2786</v>
      </c>
      <c r="L716" s="2">
        <v>2621</v>
      </c>
      <c r="M716" s="2">
        <v>2349</v>
      </c>
      <c r="N716" s="2">
        <v>941</v>
      </c>
      <c r="O716" s="2">
        <v>0</v>
      </c>
      <c r="Q716" s="2">
        <v>2958</v>
      </c>
      <c r="R716" s="2">
        <v>-2545</v>
      </c>
      <c r="S716" s="2">
        <v>359</v>
      </c>
      <c r="T716" s="2">
        <v>467</v>
      </c>
      <c r="U716" s="2">
        <v>0</v>
      </c>
      <c r="W716" s="2">
        <v>3332</v>
      </c>
      <c r="X716" s="2">
        <v>2730</v>
      </c>
      <c r="Y716" s="2">
        <v>2216</v>
      </c>
      <c r="Z716" s="2">
        <v>0</v>
      </c>
      <c r="AA716" s="2">
        <v>0</v>
      </c>
      <c r="AC716" s="2">
        <v>0</v>
      </c>
      <c r="AD716" s="2">
        <v>0</v>
      </c>
      <c r="AE716" s="2">
        <v>0</v>
      </c>
      <c r="AF716" s="2">
        <v>0</v>
      </c>
      <c r="AG716" s="2">
        <v>0</v>
      </c>
      <c r="AI716" s="2">
        <v>-481</v>
      </c>
      <c r="AJ716" s="2">
        <v>-223</v>
      </c>
      <c r="AK716" s="2">
        <v>-167</v>
      </c>
      <c r="AL716" s="2">
        <v>-10</v>
      </c>
      <c r="AM716" s="2">
        <v>0</v>
      </c>
    </row>
    <row r="717" spans="1:39">
      <c r="A717" s="335">
        <v>97731</v>
      </c>
      <c r="B717" s="328" t="s">
        <v>1411</v>
      </c>
      <c r="C717" s="239">
        <v>3.82E-5</v>
      </c>
      <c r="E717" s="2">
        <v>21356</v>
      </c>
      <c r="F717" s="2">
        <v>7708</v>
      </c>
      <c r="G717" s="2">
        <v>11890</v>
      </c>
      <c r="H717" s="2">
        <v>4345</v>
      </c>
      <c r="I717" s="2">
        <v>0</v>
      </c>
      <c r="K717" s="2">
        <v>5723</v>
      </c>
      <c r="L717" s="2">
        <v>5383</v>
      </c>
      <c r="M717" s="2">
        <v>4825</v>
      </c>
      <c r="N717" s="2">
        <v>1932</v>
      </c>
      <c r="O717" s="2">
        <v>0</v>
      </c>
      <c r="Q717" s="2">
        <v>6075</v>
      </c>
      <c r="R717" s="2">
        <v>-5226</v>
      </c>
      <c r="S717" s="2">
        <v>737</v>
      </c>
      <c r="T717" s="2">
        <v>959</v>
      </c>
      <c r="U717" s="2">
        <v>0</v>
      </c>
      <c r="W717" s="2">
        <v>6844</v>
      </c>
      <c r="X717" s="2">
        <v>5607</v>
      </c>
      <c r="Y717" s="2">
        <v>4552</v>
      </c>
      <c r="Z717" s="2">
        <v>0</v>
      </c>
      <c r="AA717" s="2">
        <v>0</v>
      </c>
      <c r="AC717" s="2">
        <v>2714</v>
      </c>
      <c r="AD717" s="2">
        <v>1944</v>
      </c>
      <c r="AE717" s="2">
        <v>1776</v>
      </c>
      <c r="AF717" s="2">
        <v>1454</v>
      </c>
      <c r="AG717" s="2">
        <v>0</v>
      </c>
      <c r="AI717" s="2">
        <v>0</v>
      </c>
      <c r="AJ717" s="2">
        <v>0</v>
      </c>
      <c r="AK717" s="2">
        <v>0</v>
      </c>
      <c r="AL717" s="2">
        <v>0</v>
      </c>
      <c r="AM717" s="2">
        <v>0</v>
      </c>
    </row>
    <row r="718" spans="1:39">
      <c r="A718" s="335">
        <v>97801</v>
      </c>
      <c r="B718" s="328" t="s">
        <v>1412</v>
      </c>
      <c r="C718" s="239">
        <v>6.0489000000000003E-3</v>
      </c>
      <c r="E718" s="2">
        <v>2724652</v>
      </c>
      <c r="F718" s="2">
        <v>710002</v>
      </c>
      <c r="G718" s="2">
        <v>1466794</v>
      </c>
      <c r="H718" s="2">
        <v>380025</v>
      </c>
      <c r="I718" s="2">
        <v>0</v>
      </c>
      <c r="K718" s="2">
        <v>906168</v>
      </c>
      <c r="L718" s="2">
        <v>852411</v>
      </c>
      <c r="M718" s="2">
        <v>764006</v>
      </c>
      <c r="N718" s="2">
        <v>305899</v>
      </c>
      <c r="O718" s="2">
        <v>0</v>
      </c>
      <c r="Q718" s="2">
        <v>962023</v>
      </c>
      <c r="R718" s="2">
        <v>-827520</v>
      </c>
      <c r="S718" s="2">
        <v>116629</v>
      </c>
      <c r="T718" s="2">
        <v>151791</v>
      </c>
      <c r="U718" s="2">
        <v>0</v>
      </c>
      <c r="W718" s="2">
        <v>1083733</v>
      </c>
      <c r="X718" s="2">
        <v>887833</v>
      </c>
      <c r="Y718" s="2">
        <v>720769</v>
      </c>
      <c r="Z718" s="2">
        <v>0</v>
      </c>
      <c r="AA718" s="2">
        <v>0</v>
      </c>
      <c r="AC718" s="2">
        <v>0</v>
      </c>
      <c r="AD718" s="2">
        <v>0</v>
      </c>
      <c r="AE718" s="2">
        <v>0</v>
      </c>
      <c r="AF718" s="2">
        <v>0</v>
      </c>
      <c r="AG718" s="2">
        <v>0</v>
      </c>
      <c r="AI718" s="2">
        <v>-227272</v>
      </c>
      <c r="AJ718" s="2">
        <v>-202722</v>
      </c>
      <c r="AK718" s="2">
        <v>-134610</v>
      </c>
      <c r="AL718" s="2">
        <v>-77665</v>
      </c>
      <c r="AM718" s="2">
        <v>0</v>
      </c>
    </row>
    <row r="719" spans="1:39">
      <c r="A719" s="335">
        <v>97802</v>
      </c>
      <c r="B719" s="328" t="s">
        <v>1413</v>
      </c>
      <c r="C719" s="239">
        <v>1.9029999999999999E-4</v>
      </c>
      <c r="E719" s="2">
        <v>95198</v>
      </c>
      <c r="F719" s="2">
        <v>31695</v>
      </c>
      <c r="G719" s="2">
        <v>56791</v>
      </c>
      <c r="H719" s="2">
        <v>17624</v>
      </c>
      <c r="I719" s="2">
        <v>0</v>
      </c>
      <c r="K719" s="2">
        <v>28508</v>
      </c>
      <c r="L719" s="2">
        <v>26817</v>
      </c>
      <c r="M719" s="2">
        <v>24036</v>
      </c>
      <c r="N719" s="2">
        <v>9624</v>
      </c>
      <c r="O719" s="2">
        <v>0</v>
      </c>
      <c r="Q719" s="2">
        <v>30266</v>
      </c>
      <c r="R719" s="2">
        <v>-26034</v>
      </c>
      <c r="S719" s="2">
        <v>3669</v>
      </c>
      <c r="T719" s="2">
        <v>4775</v>
      </c>
      <c r="U719" s="2">
        <v>0</v>
      </c>
      <c r="W719" s="2">
        <v>34095</v>
      </c>
      <c r="X719" s="2">
        <v>27931</v>
      </c>
      <c r="Y719" s="2">
        <v>22676</v>
      </c>
      <c r="Z719" s="2">
        <v>0</v>
      </c>
      <c r="AA719" s="2">
        <v>0</v>
      </c>
      <c r="AC719" s="2">
        <v>6412</v>
      </c>
      <c r="AD719" s="2">
        <v>6412</v>
      </c>
      <c r="AE719" s="2">
        <v>6410</v>
      </c>
      <c r="AF719" s="2">
        <v>3225</v>
      </c>
      <c r="AG719" s="2">
        <v>0</v>
      </c>
      <c r="AI719" s="2">
        <v>-4083</v>
      </c>
      <c r="AJ719" s="2">
        <v>-3431</v>
      </c>
      <c r="AK719" s="2">
        <v>0</v>
      </c>
      <c r="AL719" s="2">
        <v>0</v>
      </c>
      <c r="AM719" s="2">
        <v>0</v>
      </c>
    </row>
    <row r="720" spans="1:39">
      <c r="A720" s="335">
        <v>97803</v>
      </c>
      <c r="B720" s="328" t="s">
        <v>1414</v>
      </c>
      <c r="C720" s="239">
        <v>7.7899999999999996E-5</v>
      </c>
      <c r="E720" s="2">
        <v>38770</v>
      </c>
      <c r="F720" s="2">
        <v>12017</v>
      </c>
      <c r="G720" s="2">
        <v>20786</v>
      </c>
      <c r="H720" s="2">
        <v>5054</v>
      </c>
      <c r="I720" s="2">
        <v>0</v>
      </c>
      <c r="K720" s="2">
        <v>11670</v>
      </c>
      <c r="L720" s="2">
        <v>10978</v>
      </c>
      <c r="M720" s="2">
        <v>9839</v>
      </c>
      <c r="N720" s="2">
        <v>3939</v>
      </c>
      <c r="O720" s="2">
        <v>0</v>
      </c>
      <c r="Q720" s="2">
        <v>12389</v>
      </c>
      <c r="R720" s="2">
        <v>-10657</v>
      </c>
      <c r="S720" s="2">
        <v>1502</v>
      </c>
      <c r="T720" s="2">
        <v>1955</v>
      </c>
      <c r="U720" s="2">
        <v>0</v>
      </c>
      <c r="W720" s="2">
        <v>13957</v>
      </c>
      <c r="X720" s="2">
        <v>11434</v>
      </c>
      <c r="Y720" s="2">
        <v>9282</v>
      </c>
      <c r="Z720" s="2">
        <v>0</v>
      </c>
      <c r="AA720" s="2">
        <v>0</v>
      </c>
      <c r="AC720" s="2">
        <v>1592</v>
      </c>
      <c r="AD720" s="2">
        <v>1100</v>
      </c>
      <c r="AE720" s="2">
        <v>1001</v>
      </c>
      <c r="AF720" s="2">
        <v>0</v>
      </c>
      <c r="AG720" s="2">
        <v>0</v>
      </c>
      <c r="AI720" s="2">
        <v>-838</v>
      </c>
      <c r="AJ720" s="2">
        <v>-838</v>
      </c>
      <c r="AK720" s="2">
        <v>-838</v>
      </c>
      <c r="AL720" s="2">
        <v>-840</v>
      </c>
      <c r="AM720" s="2">
        <v>0</v>
      </c>
    </row>
    <row r="721" spans="1:39">
      <c r="A721" s="335">
        <v>97805</v>
      </c>
      <c r="B721" s="328" t="s">
        <v>1415</v>
      </c>
      <c r="C721" s="239">
        <v>8.6500000000000002E-5</v>
      </c>
      <c r="E721" s="2">
        <v>45840</v>
      </c>
      <c r="F721" s="2">
        <v>14866</v>
      </c>
      <c r="G721" s="2">
        <v>24647</v>
      </c>
      <c r="H721" s="2">
        <v>7364</v>
      </c>
      <c r="I721" s="2">
        <v>0</v>
      </c>
      <c r="K721" s="2">
        <v>12958</v>
      </c>
      <c r="L721" s="2">
        <v>12190</v>
      </c>
      <c r="M721" s="2">
        <v>10925</v>
      </c>
      <c r="N721" s="2">
        <v>4374</v>
      </c>
      <c r="O721" s="2">
        <v>0</v>
      </c>
      <c r="Q721" s="2">
        <v>13757</v>
      </c>
      <c r="R721" s="2">
        <v>-11834</v>
      </c>
      <c r="S721" s="2">
        <v>1668</v>
      </c>
      <c r="T721" s="2">
        <v>2171</v>
      </c>
      <c r="U721" s="2">
        <v>0</v>
      </c>
      <c r="W721" s="2">
        <v>15498</v>
      </c>
      <c r="X721" s="2">
        <v>12696</v>
      </c>
      <c r="Y721" s="2">
        <v>10307</v>
      </c>
      <c r="Z721" s="2">
        <v>0</v>
      </c>
      <c r="AA721" s="2">
        <v>0</v>
      </c>
      <c r="AC721" s="2">
        <v>3627</v>
      </c>
      <c r="AD721" s="2">
        <v>1814</v>
      </c>
      <c r="AE721" s="2">
        <v>1747</v>
      </c>
      <c r="AF721" s="2">
        <v>819</v>
      </c>
      <c r="AG721" s="2">
        <v>0</v>
      </c>
      <c r="AI721" s="2">
        <v>0</v>
      </c>
      <c r="AJ721" s="2">
        <v>0</v>
      </c>
      <c r="AK721" s="2">
        <v>0</v>
      </c>
      <c r="AL721" s="2">
        <v>0</v>
      </c>
      <c r="AM721" s="2">
        <v>0</v>
      </c>
    </row>
    <row r="722" spans="1:39">
      <c r="A722" s="335">
        <v>97811</v>
      </c>
      <c r="B722" s="328" t="s">
        <v>1416</v>
      </c>
      <c r="C722" s="239">
        <v>2.4080999999999998E-3</v>
      </c>
      <c r="E722" s="2">
        <v>1140769</v>
      </c>
      <c r="F722" s="2">
        <v>356618</v>
      </c>
      <c r="G722" s="2">
        <v>631066</v>
      </c>
      <c r="H722" s="2">
        <v>176881</v>
      </c>
      <c r="I722" s="2">
        <v>0</v>
      </c>
      <c r="K722" s="2">
        <v>360750</v>
      </c>
      <c r="L722" s="2">
        <v>339349</v>
      </c>
      <c r="M722" s="2">
        <v>304155</v>
      </c>
      <c r="N722" s="2">
        <v>121780</v>
      </c>
      <c r="O722" s="2">
        <v>0</v>
      </c>
      <c r="Q722" s="2">
        <v>382987</v>
      </c>
      <c r="R722" s="2">
        <v>-329440</v>
      </c>
      <c r="S722" s="2">
        <v>46431</v>
      </c>
      <c r="T722" s="2">
        <v>60429</v>
      </c>
      <c r="U722" s="2">
        <v>0</v>
      </c>
      <c r="W722" s="2">
        <v>431440</v>
      </c>
      <c r="X722" s="2">
        <v>353451</v>
      </c>
      <c r="Y722" s="2">
        <v>286942</v>
      </c>
      <c r="Z722" s="2">
        <v>0</v>
      </c>
      <c r="AA722" s="2">
        <v>0</v>
      </c>
      <c r="AC722" s="2">
        <v>0</v>
      </c>
      <c r="AD722" s="2">
        <v>0</v>
      </c>
      <c r="AE722" s="2">
        <v>0</v>
      </c>
      <c r="AF722" s="2">
        <v>0</v>
      </c>
      <c r="AG722" s="2">
        <v>0</v>
      </c>
      <c r="AI722" s="2">
        <v>-34408</v>
      </c>
      <c r="AJ722" s="2">
        <v>-6742</v>
      </c>
      <c r="AK722" s="2">
        <v>-6462</v>
      </c>
      <c r="AL722" s="2">
        <v>-5328</v>
      </c>
      <c r="AM722" s="2">
        <v>0</v>
      </c>
    </row>
    <row r="723" spans="1:39">
      <c r="A723" s="335">
        <v>97817</v>
      </c>
      <c r="B723" s="328" t="s">
        <v>1417</v>
      </c>
      <c r="C723" s="239">
        <v>1.7499999999999998E-5</v>
      </c>
      <c r="E723" s="2">
        <v>14226</v>
      </c>
      <c r="F723" s="2">
        <v>7701</v>
      </c>
      <c r="G723" s="2">
        <v>5854</v>
      </c>
      <c r="H723" s="2">
        <v>2284</v>
      </c>
      <c r="I723" s="2">
        <v>0</v>
      </c>
      <c r="K723" s="2">
        <v>2622</v>
      </c>
      <c r="L723" s="2">
        <v>2466</v>
      </c>
      <c r="M723" s="2">
        <v>2210</v>
      </c>
      <c r="N723" s="2">
        <v>885</v>
      </c>
      <c r="O723" s="2">
        <v>0</v>
      </c>
      <c r="Q723" s="2">
        <v>2783</v>
      </c>
      <c r="R723" s="2">
        <v>-2394</v>
      </c>
      <c r="S723" s="2">
        <v>337</v>
      </c>
      <c r="T723" s="2">
        <v>439</v>
      </c>
      <c r="U723" s="2">
        <v>0</v>
      </c>
      <c r="W723" s="2">
        <v>3135</v>
      </c>
      <c r="X723" s="2">
        <v>2569</v>
      </c>
      <c r="Y723" s="2">
        <v>2085</v>
      </c>
      <c r="Z723" s="2">
        <v>0</v>
      </c>
      <c r="AA723" s="2">
        <v>0</v>
      </c>
      <c r="AC723" s="2">
        <v>5686</v>
      </c>
      <c r="AD723" s="2">
        <v>5060</v>
      </c>
      <c r="AE723" s="2">
        <v>1222</v>
      </c>
      <c r="AF723" s="2">
        <v>960</v>
      </c>
      <c r="AG723" s="2">
        <v>0</v>
      </c>
      <c r="AI723" s="2">
        <v>0</v>
      </c>
      <c r="AJ723" s="2">
        <v>0</v>
      </c>
      <c r="AK723" s="2">
        <v>0</v>
      </c>
      <c r="AL723" s="2">
        <v>0</v>
      </c>
      <c r="AM723" s="2">
        <v>0</v>
      </c>
    </row>
    <row r="724" spans="1:39">
      <c r="A724" s="335">
        <v>97818</v>
      </c>
      <c r="B724" s="328" t="s">
        <v>2804</v>
      </c>
      <c r="C724" s="239">
        <v>2.4899999999999999E-5</v>
      </c>
      <c r="E724" s="2">
        <v>14464</v>
      </c>
      <c r="F724" s="2">
        <v>4531</v>
      </c>
      <c r="G724" s="2">
        <v>7291</v>
      </c>
      <c r="H724" s="2">
        <v>2830</v>
      </c>
      <c r="I724" s="2">
        <v>0</v>
      </c>
      <c r="K724" s="2">
        <v>3730</v>
      </c>
      <c r="L724" s="2">
        <v>3509</v>
      </c>
      <c r="M724" s="2">
        <v>3145</v>
      </c>
      <c r="N724" s="2">
        <v>1259</v>
      </c>
      <c r="O724" s="2">
        <v>0</v>
      </c>
      <c r="Q724" s="2">
        <v>3960</v>
      </c>
      <c r="R724" s="2">
        <v>-3406</v>
      </c>
      <c r="S724" s="2">
        <v>480</v>
      </c>
      <c r="T724" s="2">
        <v>625</v>
      </c>
      <c r="U724" s="2">
        <v>0</v>
      </c>
      <c r="W724" s="2">
        <v>4461</v>
      </c>
      <c r="X724" s="2">
        <v>3655</v>
      </c>
      <c r="Y724" s="2">
        <v>2967</v>
      </c>
      <c r="Z724" s="2">
        <v>0</v>
      </c>
      <c r="AA724" s="2">
        <v>0</v>
      </c>
      <c r="AC724" s="2">
        <v>2559</v>
      </c>
      <c r="AD724" s="2">
        <v>1019</v>
      </c>
      <c r="AE724" s="2">
        <v>944</v>
      </c>
      <c r="AF724" s="2">
        <v>946</v>
      </c>
      <c r="AG724" s="2">
        <v>0</v>
      </c>
      <c r="AI724" s="2">
        <v>-246</v>
      </c>
      <c r="AJ724" s="2">
        <v>-246</v>
      </c>
      <c r="AK724" s="2">
        <v>-245</v>
      </c>
      <c r="AL724" s="2">
        <v>0</v>
      </c>
      <c r="AM724" s="2">
        <v>0</v>
      </c>
    </row>
    <row r="725" spans="1:39">
      <c r="A725" s="335">
        <v>97821</v>
      </c>
      <c r="B725" s="328" t="s">
        <v>1419</v>
      </c>
      <c r="C725" s="239">
        <v>1.329E-4</v>
      </c>
      <c r="E725" s="2">
        <v>72896</v>
      </c>
      <c r="F725" s="2">
        <v>29407</v>
      </c>
      <c r="G725" s="2">
        <v>43201</v>
      </c>
      <c r="H725" s="2">
        <v>15926</v>
      </c>
      <c r="I725" s="2">
        <v>0</v>
      </c>
      <c r="K725" s="2">
        <v>19909</v>
      </c>
      <c r="L725" s="2">
        <v>18728</v>
      </c>
      <c r="M725" s="2">
        <v>16786</v>
      </c>
      <c r="N725" s="2">
        <v>6721</v>
      </c>
      <c r="O725" s="2">
        <v>0</v>
      </c>
      <c r="Q725" s="2">
        <v>21137</v>
      </c>
      <c r="R725" s="2">
        <v>-18181</v>
      </c>
      <c r="S725" s="2">
        <v>2562</v>
      </c>
      <c r="T725" s="2">
        <v>3335</v>
      </c>
      <c r="U725" s="2">
        <v>0</v>
      </c>
      <c r="W725" s="2">
        <v>23811</v>
      </c>
      <c r="X725" s="2">
        <v>19507</v>
      </c>
      <c r="Y725" s="2">
        <v>15836</v>
      </c>
      <c r="Z725" s="2">
        <v>0</v>
      </c>
      <c r="AA725" s="2">
        <v>0</v>
      </c>
      <c r="AC725" s="2">
        <v>9354</v>
      </c>
      <c r="AD725" s="2">
        <v>9353</v>
      </c>
      <c r="AE725" s="2">
        <v>8017</v>
      </c>
      <c r="AF725" s="2">
        <v>5870</v>
      </c>
      <c r="AG725" s="2">
        <v>0</v>
      </c>
      <c r="AI725" s="2">
        <v>-1315</v>
      </c>
      <c r="AJ725" s="2">
        <v>0</v>
      </c>
      <c r="AK725" s="2">
        <v>0</v>
      </c>
      <c r="AL725" s="2">
        <v>0</v>
      </c>
      <c r="AM725" s="2">
        <v>0</v>
      </c>
    </row>
    <row r="726" spans="1:39">
      <c r="A726" s="335">
        <v>97823</v>
      </c>
      <c r="B726" s="328" t="s">
        <v>1420</v>
      </c>
      <c r="C726" s="239">
        <v>1.5400000000000002E-5</v>
      </c>
      <c r="E726" s="2">
        <v>7985</v>
      </c>
      <c r="F726" s="2">
        <v>2632</v>
      </c>
      <c r="G726" s="2">
        <v>4127</v>
      </c>
      <c r="H726" s="2">
        <v>1738</v>
      </c>
      <c r="I726" s="2">
        <v>0</v>
      </c>
      <c r="K726" s="2">
        <v>2307</v>
      </c>
      <c r="L726" s="2">
        <v>2170</v>
      </c>
      <c r="M726" s="2">
        <v>1945</v>
      </c>
      <c r="N726" s="2">
        <v>779</v>
      </c>
      <c r="O726" s="2">
        <v>0</v>
      </c>
      <c r="Q726" s="2">
        <v>2449</v>
      </c>
      <c r="R726" s="2">
        <v>-2107</v>
      </c>
      <c r="S726" s="2">
        <v>297</v>
      </c>
      <c r="T726" s="2">
        <v>386</v>
      </c>
      <c r="U726" s="2">
        <v>0</v>
      </c>
      <c r="W726" s="2">
        <v>2759</v>
      </c>
      <c r="X726" s="2">
        <v>2260</v>
      </c>
      <c r="Y726" s="2">
        <v>1835</v>
      </c>
      <c r="Z726" s="2">
        <v>0</v>
      </c>
      <c r="AA726" s="2">
        <v>0</v>
      </c>
      <c r="AC726" s="2">
        <v>997</v>
      </c>
      <c r="AD726" s="2">
        <v>836</v>
      </c>
      <c r="AE726" s="2">
        <v>575</v>
      </c>
      <c r="AF726" s="2">
        <v>573</v>
      </c>
      <c r="AG726" s="2">
        <v>0</v>
      </c>
      <c r="AI726" s="2">
        <v>-527</v>
      </c>
      <c r="AJ726" s="2">
        <v>-527</v>
      </c>
      <c r="AK726" s="2">
        <v>-525</v>
      </c>
      <c r="AL726" s="2">
        <v>0</v>
      </c>
      <c r="AM726" s="2">
        <v>0</v>
      </c>
    </row>
    <row r="727" spans="1:39">
      <c r="A727" s="335">
        <v>97831</v>
      </c>
      <c r="B727" s="328" t="s">
        <v>1421</v>
      </c>
      <c r="C727" s="239">
        <v>1.6359999999999999E-4</v>
      </c>
      <c r="E727" s="2">
        <v>86798</v>
      </c>
      <c r="F727" s="2">
        <v>31929</v>
      </c>
      <c r="G727" s="2">
        <v>46736</v>
      </c>
      <c r="H727" s="2">
        <v>16628</v>
      </c>
      <c r="I727" s="2">
        <v>0</v>
      </c>
      <c r="K727" s="2">
        <v>24508</v>
      </c>
      <c r="L727" s="2">
        <v>23055</v>
      </c>
      <c r="M727" s="2">
        <v>20663</v>
      </c>
      <c r="N727" s="2">
        <v>8273</v>
      </c>
      <c r="O727" s="2">
        <v>0</v>
      </c>
      <c r="Q727" s="2">
        <v>26019</v>
      </c>
      <c r="R727" s="2">
        <v>-22381</v>
      </c>
      <c r="S727" s="2">
        <v>3154</v>
      </c>
      <c r="T727" s="2">
        <v>4105</v>
      </c>
      <c r="U727" s="2">
        <v>0</v>
      </c>
      <c r="W727" s="2">
        <v>29311</v>
      </c>
      <c r="X727" s="2">
        <v>24013</v>
      </c>
      <c r="Y727" s="2">
        <v>19494</v>
      </c>
      <c r="Z727" s="2">
        <v>0</v>
      </c>
      <c r="AA727" s="2">
        <v>0</v>
      </c>
      <c r="AC727" s="2">
        <v>8066</v>
      </c>
      <c r="AD727" s="2">
        <v>8068</v>
      </c>
      <c r="AE727" s="2">
        <v>4251</v>
      </c>
      <c r="AF727" s="2">
        <v>4250</v>
      </c>
      <c r="AG727" s="2">
        <v>0</v>
      </c>
      <c r="AI727" s="2">
        <v>-1106</v>
      </c>
      <c r="AJ727" s="2">
        <v>-826</v>
      </c>
      <c r="AK727" s="2">
        <v>-826</v>
      </c>
      <c r="AL727" s="2">
        <v>0</v>
      </c>
      <c r="AM727" s="2">
        <v>0</v>
      </c>
    </row>
    <row r="728" spans="1:39">
      <c r="A728" s="335">
        <v>97837</v>
      </c>
      <c r="B728" s="328" t="s">
        <v>3717</v>
      </c>
      <c r="C728" s="239">
        <v>1.0000000000000001E-5</v>
      </c>
      <c r="E728" s="2">
        <v>5826</v>
      </c>
      <c r="F728" s="2">
        <v>2517</v>
      </c>
      <c r="G728" s="2">
        <v>3147</v>
      </c>
      <c r="H728" s="2">
        <v>905</v>
      </c>
      <c r="I728" s="2">
        <v>0</v>
      </c>
      <c r="K728" s="2">
        <v>1498</v>
      </c>
      <c r="L728" s="2">
        <v>1409</v>
      </c>
      <c r="M728" s="2">
        <v>1263</v>
      </c>
      <c r="N728" s="2">
        <v>506</v>
      </c>
      <c r="O728" s="2">
        <v>0</v>
      </c>
      <c r="Q728" s="2">
        <v>1590</v>
      </c>
      <c r="R728" s="2">
        <v>-1368</v>
      </c>
      <c r="S728" s="2">
        <v>193</v>
      </c>
      <c r="T728" s="2">
        <v>251</v>
      </c>
      <c r="U728" s="2">
        <v>0</v>
      </c>
      <c r="W728" s="2">
        <v>1792</v>
      </c>
      <c r="X728" s="2">
        <v>1468</v>
      </c>
      <c r="Y728" s="2">
        <v>1192</v>
      </c>
      <c r="Z728" s="2">
        <v>0</v>
      </c>
      <c r="AA728" s="2">
        <v>0</v>
      </c>
      <c r="AC728" s="2">
        <v>1010</v>
      </c>
      <c r="AD728" s="2">
        <v>1008</v>
      </c>
      <c r="AE728" s="2">
        <v>499</v>
      </c>
      <c r="AF728" s="2">
        <v>148</v>
      </c>
      <c r="AG728" s="2">
        <v>0</v>
      </c>
      <c r="AI728" s="2">
        <v>-64</v>
      </c>
      <c r="AJ728" s="2">
        <v>0</v>
      </c>
      <c r="AK728" s="2">
        <v>0</v>
      </c>
      <c r="AL728" s="2">
        <v>0</v>
      </c>
      <c r="AM728" s="2">
        <v>0</v>
      </c>
    </row>
    <row r="729" spans="1:39">
      <c r="A729" s="335">
        <v>97840</v>
      </c>
      <c r="B729" s="328" t="s">
        <v>1423</v>
      </c>
      <c r="C729" s="239">
        <v>1.0560000000000001E-4</v>
      </c>
      <c r="E729" s="2">
        <v>81482</v>
      </c>
      <c r="F729" s="2">
        <v>39548</v>
      </c>
      <c r="G729" s="2">
        <v>43530</v>
      </c>
      <c r="H729" s="2">
        <v>12977</v>
      </c>
      <c r="I729" s="2">
        <v>0</v>
      </c>
      <c r="K729" s="2">
        <v>15820</v>
      </c>
      <c r="L729" s="2">
        <v>14881</v>
      </c>
      <c r="M729" s="2">
        <v>13338</v>
      </c>
      <c r="N729" s="2">
        <v>5340</v>
      </c>
      <c r="O729" s="2">
        <v>0</v>
      </c>
      <c r="Q729" s="2">
        <v>16795</v>
      </c>
      <c r="R729" s="2">
        <v>-14447</v>
      </c>
      <c r="S729" s="2">
        <v>2036</v>
      </c>
      <c r="T729" s="2">
        <v>2650</v>
      </c>
      <c r="U729" s="2">
        <v>0</v>
      </c>
      <c r="W729" s="2">
        <v>18920</v>
      </c>
      <c r="X729" s="2">
        <v>15500</v>
      </c>
      <c r="Y729" s="2">
        <v>12583</v>
      </c>
      <c r="Z729" s="2">
        <v>0</v>
      </c>
      <c r="AA729" s="2">
        <v>0</v>
      </c>
      <c r="AC729" s="2">
        <v>29947</v>
      </c>
      <c r="AD729" s="2">
        <v>23614</v>
      </c>
      <c r="AE729" s="2">
        <v>15573</v>
      </c>
      <c r="AF729" s="2">
        <v>4987</v>
      </c>
      <c r="AG729" s="2">
        <v>0</v>
      </c>
      <c r="AI729" s="2">
        <v>0</v>
      </c>
      <c r="AJ729" s="2">
        <v>0</v>
      </c>
      <c r="AK729" s="2">
        <v>0</v>
      </c>
      <c r="AL729" s="2">
        <v>0</v>
      </c>
      <c r="AM729" s="2">
        <v>0</v>
      </c>
    </row>
    <row r="730" spans="1:39">
      <c r="A730" s="335">
        <v>97841</v>
      </c>
      <c r="B730" s="328" t="s">
        <v>1424</v>
      </c>
      <c r="C730" s="239">
        <v>1.2099999999999999E-5</v>
      </c>
      <c r="E730" s="2">
        <v>5662</v>
      </c>
      <c r="F730" s="2">
        <v>1703</v>
      </c>
      <c r="G730" s="2">
        <v>3233</v>
      </c>
      <c r="H730" s="2">
        <v>964</v>
      </c>
      <c r="I730" s="2">
        <v>0</v>
      </c>
      <c r="K730" s="2">
        <v>1813</v>
      </c>
      <c r="L730" s="2">
        <v>1705</v>
      </c>
      <c r="M730" s="2">
        <v>1528</v>
      </c>
      <c r="N730" s="2">
        <v>612</v>
      </c>
      <c r="O730" s="2">
        <v>0</v>
      </c>
      <c r="Q730" s="2">
        <v>1924</v>
      </c>
      <c r="R730" s="2">
        <v>-1655</v>
      </c>
      <c r="S730" s="2">
        <v>233</v>
      </c>
      <c r="T730" s="2">
        <v>304</v>
      </c>
      <c r="U730" s="2">
        <v>0</v>
      </c>
      <c r="W730" s="2">
        <v>2168</v>
      </c>
      <c r="X730" s="2">
        <v>1776</v>
      </c>
      <c r="Y730" s="2">
        <v>1442</v>
      </c>
      <c r="Z730" s="2">
        <v>0</v>
      </c>
      <c r="AA730" s="2">
        <v>0</v>
      </c>
      <c r="AC730" s="2">
        <v>46</v>
      </c>
      <c r="AD730" s="2">
        <v>46</v>
      </c>
      <c r="AE730" s="2">
        <v>46</v>
      </c>
      <c r="AF730" s="2">
        <v>48</v>
      </c>
      <c r="AG730" s="2">
        <v>0</v>
      </c>
      <c r="AI730" s="2">
        <v>-289</v>
      </c>
      <c r="AJ730" s="2">
        <v>-169</v>
      </c>
      <c r="AK730" s="2">
        <v>-16</v>
      </c>
      <c r="AL730" s="2">
        <v>0</v>
      </c>
      <c r="AM730" s="2">
        <v>0</v>
      </c>
    </row>
    <row r="731" spans="1:39">
      <c r="A731" s="335">
        <v>97847</v>
      </c>
      <c r="B731" s="328" t="s">
        <v>1425</v>
      </c>
      <c r="C731" s="239">
        <v>1.7E-6</v>
      </c>
      <c r="E731" s="2">
        <v>1711</v>
      </c>
      <c r="F731" s="2">
        <v>1035</v>
      </c>
      <c r="G731" s="2">
        <v>985</v>
      </c>
      <c r="H731" s="2">
        <v>408</v>
      </c>
      <c r="I731" s="2">
        <v>0</v>
      </c>
      <c r="K731" s="2">
        <v>255</v>
      </c>
      <c r="L731" s="2">
        <v>240</v>
      </c>
      <c r="M731" s="2">
        <v>215</v>
      </c>
      <c r="N731" s="2">
        <v>86</v>
      </c>
      <c r="O731" s="2">
        <v>0</v>
      </c>
      <c r="Q731" s="2">
        <v>270</v>
      </c>
      <c r="R731" s="2">
        <v>-233</v>
      </c>
      <c r="S731" s="2">
        <v>33</v>
      </c>
      <c r="T731" s="2">
        <v>43</v>
      </c>
      <c r="U731" s="2">
        <v>0</v>
      </c>
      <c r="W731" s="2">
        <v>305</v>
      </c>
      <c r="X731" s="2">
        <v>250</v>
      </c>
      <c r="Y731" s="2">
        <v>203</v>
      </c>
      <c r="Z731" s="2">
        <v>0</v>
      </c>
      <c r="AA731" s="2">
        <v>0</v>
      </c>
      <c r="AC731" s="2">
        <v>881</v>
      </c>
      <c r="AD731" s="2">
        <v>778</v>
      </c>
      <c r="AE731" s="2">
        <v>534</v>
      </c>
      <c r="AF731" s="2">
        <v>279</v>
      </c>
      <c r="AG731" s="2">
        <v>0</v>
      </c>
      <c r="AI731" s="2">
        <v>0</v>
      </c>
      <c r="AJ731" s="2">
        <v>0</v>
      </c>
      <c r="AK731" s="2">
        <v>0</v>
      </c>
      <c r="AL731" s="2">
        <v>0</v>
      </c>
      <c r="AM731" s="2">
        <v>0</v>
      </c>
    </row>
    <row r="732" spans="1:39">
      <c r="A732" s="335">
        <v>97851</v>
      </c>
      <c r="B732" s="328" t="s">
        <v>1426</v>
      </c>
      <c r="C732" s="239">
        <v>2.7540000000000003E-4</v>
      </c>
      <c r="E732" s="2">
        <v>123436</v>
      </c>
      <c r="F732" s="2">
        <v>32106</v>
      </c>
      <c r="G732" s="2">
        <v>65133</v>
      </c>
      <c r="H732" s="2">
        <v>17209</v>
      </c>
      <c r="I732" s="2">
        <v>0</v>
      </c>
      <c r="K732" s="2">
        <v>41257</v>
      </c>
      <c r="L732" s="2">
        <v>38809</v>
      </c>
      <c r="M732" s="2">
        <v>34784</v>
      </c>
      <c r="N732" s="2">
        <v>13927</v>
      </c>
      <c r="O732" s="2">
        <v>0</v>
      </c>
      <c r="Q732" s="2">
        <v>43800</v>
      </c>
      <c r="R732" s="2">
        <v>-37676</v>
      </c>
      <c r="S732" s="2">
        <v>5310</v>
      </c>
      <c r="T732" s="2">
        <v>6911</v>
      </c>
      <c r="U732" s="2">
        <v>0</v>
      </c>
      <c r="W732" s="2">
        <v>49341</v>
      </c>
      <c r="X732" s="2">
        <v>40422</v>
      </c>
      <c r="Y732" s="2">
        <v>32816</v>
      </c>
      <c r="Z732" s="2">
        <v>0</v>
      </c>
      <c r="AA732" s="2">
        <v>0</v>
      </c>
      <c r="AC732" s="2">
        <v>0</v>
      </c>
      <c r="AD732" s="2">
        <v>0</v>
      </c>
      <c r="AE732" s="2">
        <v>0</v>
      </c>
      <c r="AF732" s="2">
        <v>0</v>
      </c>
      <c r="AG732" s="2">
        <v>0</v>
      </c>
      <c r="AI732" s="2">
        <v>-10962</v>
      </c>
      <c r="AJ732" s="2">
        <v>-9449</v>
      </c>
      <c r="AK732" s="2">
        <v>-7777</v>
      </c>
      <c r="AL732" s="2">
        <v>-3629</v>
      </c>
      <c r="AM732" s="2">
        <v>0</v>
      </c>
    </row>
    <row r="733" spans="1:39">
      <c r="A733" s="335">
        <v>97853</v>
      </c>
      <c r="B733" s="328" t="s">
        <v>1427</v>
      </c>
      <c r="C733" s="239">
        <v>7.9900000000000004E-5</v>
      </c>
      <c r="E733" s="2">
        <v>31691</v>
      </c>
      <c r="F733" s="2">
        <v>7685</v>
      </c>
      <c r="G733" s="2">
        <v>15529</v>
      </c>
      <c r="H733" s="2">
        <v>3338</v>
      </c>
      <c r="I733" s="2">
        <v>0</v>
      </c>
      <c r="K733" s="2">
        <v>11970</v>
      </c>
      <c r="L733" s="2">
        <v>11260</v>
      </c>
      <c r="M733" s="2">
        <v>10092</v>
      </c>
      <c r="N733" s="2">
        <v>4041</v>
      </c>
      <c r="O733" s="2">
        <v>0</v>
      </c>
      <c r="Q733" s="2">
        <v>12707</v>
      </c>
      <c r="R733" s="2">
        <v>-10931</v>
      </c>
      <c r="S733" s="2">
        <v>1541</v>
      </c>
      <c r="T733" s="2">
        <v>2005</v>
      </c>
      <c r="U733" s="2">
        <v>0</v>
      </c>
      <c r="W733" s="2">
        <v>14315</v>
      </c>
      <c r="X733" s="2">
        <v>11727</v>
      </c>
      <c r="Y733" s="2">
        <v>9521</v>
      </c>
      <c r="Z733" s="2">
        <v>0</v>
      </c>
      <c r="AA733" s="2">
        <v>0</v>
      </c>
      <c r="AC733" s="2">
        <v>1255</v>
      </c>
      <c r="AD733" s="2">
        <v>1253</v>
      </c>
      <c r="AE733" s="2">
        <v>0</v>
      </c>
      <c r="AF733" s="2">
        <v>0</v>
      </c>
      <c r="AG733" s="2">
        <v>0</v>
      </c>
      <c r="AI733" s="2">
        <v>-8556</v>
      </c>
      <c r="AJ733" s="2">
        <v>-5624</v>
      </c>
      <c r="AK733" s="2">
        <v>-5625</v>
      </c>
      <c r="AL733" s="2">
        <v>-2708</v>
      </c>
      <c r="AM733" s="2">
        <v>0</v>
      </c>
    </row>
    <row r="734" spans="1:39">
      <c r="A734" s="335">
        <v>97861</v>
      </c>
      <c r="B734" s="328" t="s">
        <v>1428</v>
      </c>
      <c r="C734" s="239">
        <v>4.5500000000000001E-5</v>
      </c>
      <c r="E734" s="2">
        <v>19600</v>
      </c>
      <c r="F734" s="2">
        <v>4535</v>
      </c>
      <c r="G734" s="2">
        <v>10613</v>
      </c>
      <c r="H734" s="2">
        <v>5141</v>
      </c>
      <c r="I734" s="2">
        <v>0</v>
      </c>
      <c r="K734" s="2">
        <v>6816</v>
      </c>
      <c r="L734" s="2">
        <v>6412</v>
      </c>
      <c r="M734" s="2">
        <v>5747</v>
      </c>
      <c r="N734" s="2">
        <v>2301</v>
      </c>
      <c r="O734" s="2">
        <v>0</v>
      </c>
      <c r="Q734" s="2">
        <v>7236</v>
      </c>
      <c r="R734" s="2">
        <v>-6225</v>
      </c>
      <c r="S734" s="2">
        <v>877</v>
      </c>
      <c r="T734" s="2">
        <v>1142</v>
      </c>
      <c r="U734" s="2">
        <v>0</v>
      </c>
      <c r="W734" s="2">
        <v>8152</v>
      </c>
      <c r="X734" s="2">
        <v>6678</v>
      </c>
      <c r="Y734" s="2">
        <v>5422</v>
      </c>
      <c r="Z734" s="2">
        <v>0</v>
      </c>
      <c r="AA734" s="2">
        <v>0</v>
      </c>
      <c r="AC734" s="2">
        <v>1700</v>
      </c>
      <c r="AD734" s="2">
        <v>1700</v>
      </c>
      <c r="AE734" s="2">
        <v>1700</v>
      </c>
      <c r="AF734" s="2">
        <v>1698</v>
      </c>
      <c r="AG734" s="2">
        <v>0</v>
      </c>
      <c r="AI734" s="2">
        <v>-4304</v>
      </c>
      <c r="AJ734" s="2">
        <v>-4030</v>
      </c>
      <c r="AK734" s="2">
        <v>-3133</v>
      </c>
      <c r="AL734" s="2">
        <v>0</v>
      </c>
      <c r="AM734" s="2">
        <v>0</v>
      </c>
    </row>
    <row r="735" spans="1:39">
      <c r="A735" s="335">
        <v>97871</v>
      </c>
      <c r="B735" s="328" t="s">
        <v>1429</v>
      </c>
      <c r="C735" s="239">
        <v>3.0079999999999999E-4</v>
      </c>
      <c r="E735" s="2">
        <v>249954</v>
      </c>
      <c r="F735" s="2">
        <v>127667</v>
      </c>
      <c r="G735" s="2">
        <v>137293</v>
      </c>
      <c r="H735" s="2">
        <v>49759</v>
      </c>
      <c r="I735" s="2">
        <v>0</v>
      </c>
      <c r="K735" s="2">
        <v>45062</v>
      </c>
      <c r="L735" s="2">
        <v>42389</v>
      </c>
      <c r="M735" s="2">
        <v>37993</v>
      </c>
      <c r="N735" s="2">
        <v>15212</v>
      </c>
      <c r="O735" s="2">
        <v>0</v>
      </c>
      <c r="Q735" s="2">
        <v>47840</v>
      </c>
      <c r="R735" s="2">
        <v>-41151</v>
      </c>
      <c r="S735" s="2">
        <v>5800</v>
      </c>
      <c r="T735" s="2">
        <v>7548</v>
      </c>
      <c r="U735" s="2">
        <v>0</v>
      </c>
      <c r="W735" s="2">
        <v>53892</v>
      </c>
      <c r="X735" s="2">
        <v>44150</v>
      </c>
      <c r="Y735" s="2">
        <v>35842</v>
      </c>
      <c r="Z735" s="2">
        <v>0</v>
      </c>
      <c r="AA735" s="2">
        <v>0</v>
      </c>
      <c r="AC735" s="2">
        <v>103160</v>
      </c>
      <c r="AD735" s="2">
        <v>82279</v>
      </c>
      <c r="AE735" s="2">
        <v>57658</v>
      </c>
      <c r="AF735" s="2">
        <v>26999</v>
      </c>
      <c r="AG735" s="2">
        <v>0</v>
      </c>
      <c r="AI735" s="2">
        <v>0</v>
      </c>
      <c r="AJ735" s="2">
        <v>0</v>
      </c>
      <c r="AK735" s="2">
        <v>0</v>
      </c>
      <c r="AL735" s="2">
        <v>0</v>
      </c>
      <c r="AM735" s="2">
        <v>0</v>
      </c>
    </row>
    <row r="736" spans="1:39">
      <c r="A736" s="335">
        <v>97877</v>
      </c>
      <c r="B736" s="328" t="s">
        <v>1430</v>
      </c>
      <c r="C736" s="239">
        <v>7.6000000000000001E-6</v>
      </c>
      <c r="E736" s="2">
        <v>5804</v>
      </c>
      <c r="F736" s="2">
        <v>3110</v>
      </c>
      <c r="G736" s="2">
        <v>3780</v>
      </c>
      <c r="H736" s="2">
        <v>1982</v>
      </c>
      <c r="I736" s="2">
        <v>0</v>
      </c>
      <c r="K736" s="2">
        <v>1139</v>
      </c>
      <c r="L736" s="2">
        <v>1071</v>
      </c>
      <c r="M736" s="2">
        <v>960</v>
      </c>
      <c r="N736" s="2">
        <v>384</v>
      </c>
      <c r="O736" s="2">
        <v>0</v>
      </c>
      <c r="Q736" s="2">
        <v>1209</v>
      </c>
      <c r="R736" s="2">
        <v>-1040</v>
      </c>
      <c r="S736" s="2">
        <v>147</v>
      </c>
      <c r="T736" s="2">
        <v>191</v>
      </c>
      <c r="U736" s="2">
        <v>0</v>
      </c>
      <c r="W736" s="2">
        <v>1362</v>
      </c>
      <c r="X736" s="2">
        <v>1115</v>
      </c>
      <c r="Y736" s="2">
        <v>906</v>
      </c>
      <c r="Z736" s="2">
        <v>0</v>
      </c>
      <c r="AA736" s="2">
        <v>0</v>
      </c>
      <c r="AC736" s="2">
        <v>2094</v>
      </c>
      <c r="AD736" s="2">
        <v>1964</v>
      </c>
      <c r="AE736" s="2">
        <v>1767</v>
      </c>
      <c r="AF736" s="2">
        <v>1407</v>
      </c>
      <c r="AG736" s="2">
        <v>0</v>
      </c>
      <c r="AI736" s="2">
        <v>0</v>
      </c>
      <c r="AJ736" s="2">
        <v>0</v>
      </c>
      <c r="AK736" s="2">
        <v>0</v>
      </c>
      <c r="AL736" s="2">
        <v>0</v>
      </c>
      <c r="AM736" s="2">
        <v>0</v>
      </c>
    </row>
    <row r="737" spans="1:39">
      <c r="A737" s="335">
        <v>97901</v>
      </c>
      <c r="B737" s="328" t="s">
        <v>1431</v>
      </c>
      <c r="C737" s="239">
        <v>4.0067999999999996E-3</v>
      </c>
      <c r="E737" s="2">
        <v>1888293</v>
      </c>
      <c r="F737" s="2">
        <v>541997</v>
      </c>
      <c r="G737" s="2">
        <v>987719</v>
      </c>
      <c r="H737" s="2">
        <v>234782</v>
      </c>
      <c r="I737" s="2">
        <v>0</v>
      </c>
      <c r="K737" s="2">
        <v>600247</v>
      </c>
      <c r="L737" s="2">
        <v>564638</v>
      </c>
      <c r="M737" s="2">
        <v>506079</v>
      </c>
      <c r="N737" s="2">
        <v>202628</v>
      </c>
      <c r="O737" s="2">
        <v>0</v>
      </c>
      <c r="Q737" s="2">
        <v>637245</v>
      </c>
      <c r="R737" s="2">
        <v>-548150</v>
      </c>
      <c r="S737" s="2">
        <v>77255</v>
      </c>
      <c r="T737" s="2">
        <v>100547</v>
      </c>
      <c r="U737" s="2">
        <v>0</v>
      </c>
      <c r="W737" s="2">
        <v>717866</v>
      </c>
      <c r="X737" s="2">
        <v>588102</v>
      </c>
      <c r="Y737" s="2">
        <v>477438</v>
      </c>
      <c r="Z737" s="2">
        <v>0</v>
      </c>
      <c r="AA737" s="2">
        <v>0</v>
      </c>
      <c r="AC737" s="2">
        <v>10458</v>
      </c>
      <c r="AD737" s="2">
        <v>10460</v>
      </c>
      <c r="AE737" s="2">
        <v>0</v>
      </c>
      <c r="AF737" s="2">
        <v>0</v>
      </c>
      <c r="AG737" s="2">
        <v>0</v>
      </c>
      <c r="AI737" s="2">
        <v>-77523</v>
      </c>
      <c r="AJ737" s="2">
        <v>-73053</v>
      </c>
      <c r="AK737" s="2">
        <v>-73053</v>
      </c>
      <c r="AL737" s="2">
        <v>-68393</v>
      </c>
      <c r="AM737" s="2">
        <v>0</v>
      </c>
    </row>
    <row r="738" spans="1:39">
      <c r="A738" s="335">
        <v>97911</v>
      </c>
      <c r="B738" s="328" t="s">
        <v>1432</v>
      </c>
      <c r="C738" s="239">
        <v>1.2121E-3</v>
      </c>
      <c r="E738" s="2">
        <v>577297</v>
      </c>
      <c r="F738" s="2">
        <v>177228</v>
      </c>
      <c r="G738" s="2">
        <v>315083</v>
      </c>
      <c r="H738" s="2">
        <v>85760</v>
      </c>
      <c r="I738" s="2">
        <v>0</v>
      </c>
      <c r="K738" s="2">
        <v>181581</v>
      </c>
      <c r="L738" s="2">
        <v>170809</v>
      </c>
      <c r="M738" s="2">
        <v>153094</v>
      </c>
      <c r="N738" s="2">
        <v>61297</v>
      </c>
      <c r="O738" s="2">
        <v>0</v>
      </c>
      <c r="Q738" s="2">
        <v>192774</v>
      </c>
      <c r="R738" s="2">
        <v>-165821</v>
      </c>
      <c r="S738" s="2">
        <v>23371</v>
      </c>
      <c r="T738" s="2">
        <v>30416</v>
      </c>
      <c r="U738" s="2">
        <v>0</v>
      </c>
      <c r="W738" s="2">
        <v>217162</v>
      </c>
      <c r="X738" s="2">
        <v>177907</v>
      </c>
      <c r="Y738" s="2">
        <v>144430</v>
      </c>
      <c r="Z738" s="2">
        <v>0</v>
      </c>
      <c r="AA738" s="2">
        <v>0</v>
      </c>
      <c r="AC738" s="2">
        <v>285</v>
      </c>
      <c r="AD738" s="2">
        <v>287</v>
      </c>
      <c r="AE738" s="2">
        <v>142</v>
      </c>
      <c r="AF738" s="2">
        <v>0</v>
      </c>
      <c r="AG738" s="2">
        <v>0</v>
      </c>
      <c r="AI738" s="2">
        <v>-14505</v>
      </c>
      <c r="AJ738" s="2">
        <v>-5954</v>
      </c>
      <c r="AK738" s="2">
        <v>-5954</v>
      </c>
      <c r="AL738" s="2">
        <v>-5953</v>
      </c>
      <c r="AM738" s="2">
        <v>0</v>
      </c>
    </row>
    <row r="739" spans="1:39">
      <c r="A739" s="335">
        <v>97913</v>
      </c>
      <c r="B739" s="328" t="s">
        <v>2770</v>
      </c>
      <c r="C739" s="239">
        <v>2.8600000000000001E-5</v>
      </c>
      <c r="E739" s="2">
        <v>20051</v>
      </c>
      <c r="F739" s="2">
        <v>8921</v>
      </c>
      <c r="G739" s="2">
        <v>10213</v>
      </c>
      <c r="H739" s="2">
        <v>3040</v>
      </c>
      <c r="I739" s="2">
        <v>0</v>
      </c>
      <c r="K739" s="2">
        <v>4284</v>
      </c>
      <c r="L739" s="2">
        <v>4030</v>
      </c>
      <c r="M739" s="2">
        <v>3612</v>
      </c>
      <c r="N739" s="2">
        <v>1446</v>
      </c>
      <c r="O739" s="2">
        <v>0</v>
      </c>
      <c r="Q739" s="2">
        <v>4549</v>
      </c>
      <c r="R739" s="2">
        <v>-3913</v>
      </c>
      <c r="S739" s="2">
        <v>551</v>
      </c>
      <c r="T739" s="2">
        <v>718</v>
      </c>
      <c r="U739" s="2">
        <v>0</v>
      </c>
      <c r="W739" s="2">
        <v>5124</v>
      </c>
      <c r="X739" s="2">
        <v>4198</v>
      </c>
      <c r="Y739" s="2">
        <v>3408</v>
      </c>
      <c r="Z739" s="2">
        <v>0</v>
      </c>
      <c r="AA739" s="2">
        <v>0</v>
      </c>
      <c r="AC739" s="2">
        <v>6094</v>
      </c>
      <c r="AD739" s="2">
        <v>4606</v>
      </c>
      <c r="AE739" s="2">
        <v>2642</v>
      </c>
      <c r="AF739" s="2">
        <v>876</v>
      </c>
      <c r="AG739" s="2">
        <v>0</v>
      </c>
      <c r="AI739" s="2">
        <v>0</v>
      </c>
      <c r="AJ739" s="2">
        <v>0</v>
      </c>
      <c r="AK739" s="2">
        <v>0</v>
      </c>
      <c r="AL739" s="2">
        <v>0</v>
      </c>
      <c r="AM739" s="2">
        <v>0</v>
      </c>
    </row>
    <row r="740" spans="1:39">
      <c r="A740" s="335">
        <v>97917</v>
      </c>
      <c r="B740" s="328" t="s">
        <v>1434</v>
      </c>
      <c r="C740" s="239">
        <v>1.84E-5</v>
      </c>
      <c r="E740" s="2">
        <v>11868</v>
      </c>
      <c r="F740" s="2">
        <v>5088</v>
      </c>
      <c r="G740" s="2">
        <v>6227</v>
      </c>
      <c r="H740" s="2">
        <v>2154</v>
      </c>
      <c r="I740" s="2">
        <v>0</v>
      </c>
      <c r="K740" s="2">
        <v>2756</v>
      </c>
      <c r="L740" s="2">
        <v>2593</v>
      </c>
      <c r="M740" s="2">
        <v>2324</v>
      </c>
      <c r="N740" s="2">
        <v>931</v>
      </c>
      <c r="O740" s="2">
        <v>0</v>
      </c>
      <c r="Q740" s="2">
        <v>2926</v>
      </c>
      <c r="R740" s="2">
        <v>-2517</v>
      </c>
      <c r="S740" s="2">
        <v>355</v>
      </c>
      <c r="T740" s="2">
        <v>462</v>
      </c>
      <c r="U740" s="2">
        <v>0</v>
      </c>
      <c r="W740" s="2">
        <v>3297</v>
      </c>
      <c r="X740" s="2">
        <v>2701</v>
      </c>
      <c r="Y740" s="2">
        <v>2192</v>
      </c>
      <c r="Z740" s="2">
        <v>0</v>
      </c>
      <c r="AA740" s="2">
        <v>0</v>
      </c>
      <c r="AC740" s="2">
        <v>2889</v>
      </c>
      <c r="AD740" s="2">
        <v>2311</v>
      </c>
      <c r="AE740" s="2">
        <v>1356</v>
      </c>
      <c r="AF740" s="2">
        <v>761</v>
      </c>
      <c r="AG740" s="2">
        <v>0</v>
      </c>
      <c r="AI740" s="2">
        <v>0</v>
      </c>
      <c r="AJ740" s="2">
        <v>0</v>
      </c>
      <c r="AK740" s="2">
        <v>0</v>
      </c>
      <c r="AL740" s="2">
        <v>0</v>
      </c>
      <c r="AM740" s="2">
        <v>0</v>
      </c>
    </row>
    <row r="741" spans="1:39">
      <c r="A741" s="335">
        <v>97921</v>
      </c>
      <c r="B741" s="328" t="s">
        <v>1435</v>
      </c>
      <c r="C741" s="239">
        <v>2.073E-4</v>
      </c>
      <c r="E741" s="2">
        <v>98470</v>
      </c>
      <c r="F741" s="2">
        <v>29814</v>
      </c>
      <c r="G741" s="2">
        <v>53494</v>
      </c>
      <c r="H741" s="2">
        <v>12399</v>
      </c>
      <c r="I741" s="2">
        <v>0</v>
      </c>
      <c r="K741" s="2">
        <v>31055</v>
      </c>
      <c r="L741" s="2">
        <v>29213</v>
      </c>
      <c r="M741" s="2">
        <v>26183</v>
      </c>
      <c r="N741" s="2">
        <v>10483</v>
      </c>
      <c r="O741" s="2">
        <v>0</v>
      </c>
      <c r="Q741" s="2">
        <v>32969</v>
      </c>
      <c r="R741" s="2">
        <v>-28360</v>
      </c>
      <c r="S741" s="2">
        <v>3997</v>
      </c>
      <c r="T741" s="2">
        <v>5202</v>
      </c>
      <c r="U741" s="2">
        <v>0</v>
      </c>
      <c r="W741" s="2">
        <v>37140</v>
      </c>
      <c r="X741" s="2">
        <v>30427</v>
      </c>
      <c r="Y741" s="2">
        <v>24701</v>
      </c>
      <c r="Z741" s="2">
        <v>0</v>
      </c>
      <c r="AA741" s="2">
        <v>0</v>
      </c>
      <c r="AC741" s="2">
        <v>1899</v>
      </c>
      <c r="AD741" s="2">
        <v>1899</v>
      </c>
      <c r="AE741" s="2">
        <v>1897</v>
      </c>
      <c r="AF741" s="2">
        <v>0</v>
      </c>
      <c r="AG741" s="2">
        <v>0</v>
      </c>
      <c r="AI741" s="2">
        <v>-4593</v>
      </c>
      <c r="AJ741" s="2">
        <v>-3365</v>
      </c>
      <c r="AK741" s="2">
        <v>-3284</v>
      </c>
      <c r="AL741" s="2">
        <v>-3286</v>
      </c>
      <c r="AM741" s="2">
        <v>0</v>
      </c>
    </row>
    <row r="742" spans="1:39">
      <c r="A742" s="335">
        <v>97931</v>
      </c>
      <c r="B742" s="328" t="s">
        <v>1436</v>
      </c>
      <c r="C742" s="239">
        <v>6.6699999999999995E-5</v>
      </c>
      <c r="E742" s="2">
        <v>33104</v>
      </c>
      <c r="F742" s="2">
        <v>11237</v>
      </c>
      <c r="G742" s="2">
        <v>17450</v>
      </c>
      <c r="H742" s="2">
        <v>5277</v>
      </c>
      <c r="I742" s="2">
        <v>0</v>
      </c>
      <c r="K742" s="2">
        <v>9992</v>
      </c>
      <c r="L742" s="2">
        <v>9399</v>
      </c>
      <c r="M742" s="2">
        <v>8425</v>
      </c>
      <c r="N742" s="2">
        <v>3373</v>
      </c>
      <c r="O742" s="2">
        <v>0</v>
      </c>
      <c r="Q742" s="2">
        <v>10608</v>
      </c>
      <c r="R742" s="2">
        <v>-9125</v>
      </c>
      <c r="S742" s="2">
        <v>1286</v>
      </c>
      <c r="T742" s="2">
        <v>1674</v>
      </c>
      <c r="U742" s="2">
        <v>0</v>
      </c>
      <c r="W742" s="2">
        <v>11950</v>
      </c>
      <c r="X742" s="2">
        <v>9790</v>
      </c>
      <c r="Y742" s="2">
        <v>7948</v>
      </c>
      <c r="Z742" s="2">
        <v>0</v>
      </c>
      <c r="AA742" s="2">
        <v>0</v>
      </c>
      <c r="AC742" s="2">
        <v>1616</v>
      </c>
      <c r="AD742" s="2">
        <v>1615</v>
      </c>
      <c r="AE742" s="2">
        <v>232</v>
      </c>
      <c r="AF742" s="2">
        <v>230</v>
      </c>
      <c r="AG742" s="2">
        <v>0</v>
      </c>
      <c r="AI742" s="2">
        <v>-1062</v>
      </c>
      <c r="AJ742" s="2">
        <v>-442</v>
      </c>
      <c r="AK742" s="2">
        <v>-441</v>
      </c>
      <c r="AL742" s="2">
        <v>0</v>
      </c>
      <c r="AM742" s="2">
        <v>0</v>
      </c>
    </row>
    <row r="743" spans="1:39">
      <c r="A743" s="335">
        <v>97941</v>
      </c>
      <c r="B743" s="328" t="s">
        <v>1437</v>
      </c>
      <c r="C743" s="239">
        <v>2.143E-4</v>
      </c>
      <c r="E743" s="2">
        <v>111055</v>
      </c>
      <c r="F743" s="2">
        <v>37981</v>
      </c>
      <c r="G743" s="2">
        <v>64568</v>
      </c>
      <c r="H743" s="2">
        <v>21334</v>
      </c>
      <c r="I743" s="2">
        <v>0</v>
      </c>
      <c r="K743" s="2">
        <v>32104</v>
      </c>
      <c r="L743" s="2">
        <v>30199</v>
      </c>
      <c r="M743" s="2">
        <v>27067</v>
      </c>
      <c r="N743" s="2">
        <v>10837</v>
      </c>
      <c r="O743" s="2">
        <v>0</v>
      </c>
      <c r="Q743" s="2">
        <v>34082</v>
      </c>
      <c r="R743" s="2">
        <v>-29317</v>
      </c>
      <c r="S743" s="2">
        <v>4132</v>
      </c>
      <c r="T743" s="2">
        <v>5378</v>
      </c>
      <c r="U743" s="2">
        <v>0</v>
      </c>
      <c r="W743" s="2">
        <v>38394</v>
      </c>
      <c r="X743" s="2">
        <v>31454</v>
      </c>
      <c r="Y743" s="2">
        <v>25535</v>
      </c>
      <c r="Z743" s="2">
        <v>0</v>
      </c>
      <c r="AA743" s="2">
        <v>0</v>
      </c>
      <c r="AC743" s="2">
        <v>8662</v>
      </c>
      <c r="AD743" s="2">
        <v>7832</v>
      </c>
      <c r="AE743" s="2">
        <v>7834</v>
      </c>
      <c r="AF743" s="2">
        <v>5119</v>
      </c>
      <c r="AG743" s="2">
        <v>0</v>
      </c>
      <c r="AI743" s="2">
        <v>-2187</v>
      </c>
      <c r="AJ743" s="2">
        <v>-2187</v>
      </c>
      <c r="AK743" s="2">
        <v>0</v>
      </c>
      <c r="AL743" s="2">
        <v>0</v>
      </c>
      <c r="AM743" s="2">
        <v>0</v>
      </c>
    </row>
    <row r="744" spans="1:39">
      <c r="A744" s="335">
        <v>97947</v>
      </c>
      <c r="B744" s="328" t="s">
        <v>1438</v>
      </c>
      <c r="C744" s="239">
        <v>1.52E-5</v>
      </c>
      <c r="E744" s="2">
        <v>12157</v>
      </c>
      <c r="F744" s="2">
        <v>5667</v>
      </c>
      <c r="G744" s="2">
        <v>6648</v>
      </c>
      <c r="H744" s="2">
        <v>2441</v>
      </c>
      <c r="I744" s="2">
        <v>0</v>
      </c>
      <c r="K744" s="2">
        <v>2277</v>
      </c>
      <c r="L744" s="2">
        <v>2142</v>
      </c>
      <c r="M744" s="2">
        <v>1920</v>
      </c>
      <c r="N744" s="2">
        <v>769</v>
      </c>
      <c r="O744" s="2">
        <v>0</v>
      </c>
      <c r="Q744" s="2">
        <v>2417</v>
      </c>
      <c r="R744" s="2">
        <v>-2079</v>
      </c>
      <c r="S744" s="2">
        <v>293</v>
      </c>
      <c r="T744" s="2">
        <v>381</v>
      </c>
      <c r="U744" s="2">
        <v>0</v>
      </c>
      <c r="W744" s="2">
        <v>2723</v>
      </c>
      <c r="X744" s="2">
        <v>2231</v>
      </c>
      <c r="Y744" s="2">
        <v>1811</v>
      </c>
      <c r="Z744" s="2">
        <v>0</v>
      </c>
      <c r="AA744" s="2">
        <v>0</v>
      </c>
      <c r="AC744" s="2">
        <v>4740</v>
      </c>
      <c r="AD744" s="2">
        <v>3373</v>
      </c>
      <c r="AE744" s="2">
        <v>2624</v>
      </c>
      <c r="AF744" s="2">
        <v>1291</v>
      </c>
      <c r="AG744" s="2">
        <v>0</v>
      </c>
      <c r="AI744" s="2">
        <v>0</v>
      </c>
      <c r="AJ744" s="2">
        <v>0</v>
      </c>
      <c r="AK744" s="2">
        <v>0</v>
      </c>
      <c r="AL744" s="2">
        <v>0</v>
      </c>
      <c r="AM744" s="2">
        <v>0</v>
      </c>
    </row>
    <row r="745" spans="1:39">
      <c r="A745" s="335">
        <v>97948</v>
      </c>
      <c r="B745" s="328" t="s">
        <v>3718</v>
      </c>
      <c r="C745" s="239">
        <v>2.6100000000000001E-5</v>
      </c>
      <c r="E745" s="2">
        <v>11716</v>
      </c>
      <c r="F745" s="2">
        <v>2947</v>
      </c>
      <c r="G745" s="2">
        <v>7974</v>
      </c>
      <c r="H745" s="2">
        <v>2945</v>
      </c>
      <c r="I745" s="2">
        <v>0</v>
      </c>
      <c r="K745" s="2">
        <v>3910</v>
      </c>
      <c r="L745" s="2">
        <v>3678</v>
      </c>
      <c r="M745" s="2">
        <v>3297</v>
      </c>
      <c r="N745" s="2">
        <v>1320</v>
      </c>
      <c r="O745" s="2">
        <v>0</v>
      </c>
      <c r="Q745" s="2">
        <v>4151</v>
      </c>
      <c r="R745" s="2">
        <v>-3571</v>
      </c>
      <c r="S745" s="2">
        <v>503</v>
      </c>
      <c r="T745" s="2">
        <v>655</v>
      </c>
      <c r="U745" s="2">
        <v>0</v>
      </c>
      <c r="W745" s="2">
        <v>4676</v>
      </c>
      <c r="X745" s="2">
        <v>3831</v>
      </c>
      <c r="Y745" s="2">
        <v>3110</v>
      </c>
      <c r="Z745" s="2">
        <v>0</v>
      </c>
      <c r="AA745" s="2">
        <v>0</v>
      </c>
      <c r="AC745" s="2">
        <v>1066</v>
      </c>
      <c r="AD745" s="2">
        <v>1066</v>
      </c>
      <c r="AE745" s="2">
        <v>1064</v>
      </c>
      <c r="AF745" s="2">
        <v>970</v>
      </c>
      <c r="AG745" s="2">
        <v>0</v>
      </c>
      <c r="AI745" s="2">
        <v>-2087</v>
      </c>
      <c r="AJ745" s="2">
        <v>-2057</v>
      </c>
      <c r="AK745" s="2">
        <v>0</v>
      </c>
      <c r="AL745" s="2">
        <v>0</v>
      </c>
      <c r="AM745" s="2">
        <v>0</v>
      </c>
    </row>
    <row r="746" spans="1:39">
      <c r="A746" s="335">
        <v>97951</v>
      </c>
      <c r="B746" s="328" t="s">
        <v>1440</v>
      </c>
      <c r="C746" s="239">
        <v>1.1746E-3</v>
      </c>
      <c r="E746" s="2">
        <v>587505</v>
      </c>
      <c r="F746" s="2">
        <v>190310</v>
      </c>
      <c r="G746" s="2">
        <v>319643</v>
      </c>
      <c r="H746" s="2">
        <v>97579</v>
      </c>
      <c r="I746" s="2">
        <v>0</v>
      </c>
      <c r="K746" s="2">
        <v>175963</v>
      </c>
      <c r="L746" s="2">
        <v>165525</v>
      </c>
      <c r="M746" s="2">
        <v>148358</v>
      </c>
      <c r="N746" s="2">
        <v>59401</v>
      </c>
      <c r="O746" s="2">
        <v>0</v>
      </c>
      <c r="Q746" s="2">
        <v>186810</v>
      </c>
      <c r="R746" s="2">
        <v>-160691</v>
      </c>
      <c r="S746" s="2">
        <v>22647</v>
      </c>
      <c r="T746" s="2">
        <v>29475</v>
      </c>
      <c r="U746" s="2">
        <v>0</v>
      </c>
      <c r="W746" s="2">
        <v>210444</v>
      </c>
      <c r="X746" s="2">
        <v>172403</v>
      </c>
      <c r="Y746" s="2">
        <v>139962</v>
      </c>
      <c r="Z746" s="2">
        <v>0</v>
      </c>
      <c r="AA746" s="2">
        <v>0</v>
      </c>
      <c r="AC746" s="2">
        <v>14313</v>
      </c>
      <c r="AD746" s="2">
        <v>13098</v>
      </c>
      <c r="AE746" s="2">
        <v>8701</v>
      </c>
      <c r="AF746" s="2">
        <v>8703</v>
      </c>
      <c r="AG746" s="2">
        <v>0</v>
      </c>
      <c r="AI746" s="2">
        <v>-25</v>
      </c>
      <c r="AJ746" s="2">
        <v>-25</v>
      </c>
      <c r="AK746" s="2">
        <v>-25</v>
      </c>
      <c r="AL746" s="2">
        <v>0</v>
      </c>
      <c r="AM746" s="2">
        <v>0</v>
      </c>
    </row>
    <row r="747" spans="1:39">
      <c r="A747" s="335">
        <v>97957</v>
      </c>
      <c r="B747" s="328" t="s">
        <v>1441</v>
      </c>
      <c r="C747" s="239">
        <v>1.49E-5</v>
      </c>
      <c r="E747" s="2">
        <v>9808</v>
      </c>
      <c r="F747" s="2">
        <v>4290</v>
      </c>
      <c r="G747" s="2">
        <v>5283</v>
      </c>
      <c r="H747" s="2">
        <v>1808</v>
      </c>
      <c r="I747" s="2">
        <v>0</v>
      </c>
      <c r="K747" s="2">
        <v>2232</v>
      </c>
      <c r="L747" s="2">
        <v>2100</v>
      </c>
      <c r="M747" s="2">
        <v>1882</v>
      </c>
      <c r="N747" s="2">
        <v>754</v>
      </c>
      <c r="O747" s="2">
        <v>0</v>
      </c>
      <c r="Q747" s="2">
        <v>2370</v>
      </c>
      <c r="R747" s="2">
        <v>-2038</v>
      </c>
      <c r="S747" s="2">
        <v>287</v>
      </c>
      <c r="T747" s="2">
        <v>374</v>
      </c>
      <c r="U747" s="2">
        <v>0</v>
      </c>
      <c r="W747" s="2">
        <v>2670</v>
      </c>
      <c r="X747" s="2">
        <v>2187</v>
      </c>
      <c r="Y747" s="2">
        <v>1775</v>
      </c>
      <c r="Z747" s="2">
        <v>0</v>
      </c>
      <c r="AA747" s="2">
        <v>0</v>
      </c>
      <c r="AC747" s="2">
        <v>2536</v>
      </c>
      <c r="AD747" s="2">
        <v>2041</v>
      </c>
      <c r="AE747" s="2">
        <v>1339</v>
      </c>
      <c r="AF747" s="2">
        <v>680</v>
      </c>
      <c r="AG747" s="2">
        <v>0</v>
      </c>
      <c r="AI747" s="2">
        <v>0</v>
      </c>
      <c r="AJ747" s="2">
        <v>0</v>
      </c>
      <c r="AK747" s="2">
        <v>0</v>
      </c>
      <c r="AL747" s="2">
        <v>0</v>
      </c>
      <c r="AM747" s="2">
        <v>0</v>
      </c>
    </row>
    <row r="748" spans="1:39">
      <c r="A748" s="335">
        <v>98001</v>
      </c>
      <c r="B748" s="328" t="s">
        <v>1442</v>
      </c>
      <c r="C748" s="239">
        <v>5.3171E-3</v>
      </c>
      <c r="E748" s="2">
        <v>2654189</v>
      </c>
      <c r="F748" s="2">
        <v>860968</v>
      </c>
      <c r="G748" s="2">
        <v>1437607</v>
      </c>
      <c r="H748" s="2">
        <v>388620</v>
      </c>
      <c r="I748" s="2">
        <v>0</v>
      </c>
      <c r="K748" s="2">
        <v>796539</v>
      </c>
      <c r="L748" s="2">
        <v>749286</v>
      </c>
      <c r="M748" s="2">
        <v>671576</v>
      </c>
      <c r="N748" s="2">
        <v>268891</v>
      </c>
      <c r="O748" s="2">
        <v>0</v>
      </c>
      <c r="Q748" s="2">
        <v>845637</v>
      </c>
      <c r="R748" s="2">
        <v>-727406</v>
      </c>
      <c r="S748" s="2">
        <v>102519</v>
      </c>
      <c r="T748" s="2">
        <v>133427</v>
      </c>
      <c r="U748" s="2">
        <v>0</v>
      </c>
      <c r="W748" s="2">
        <v>952622</v>
      </c>
      <c r="X748" s="2">
        <v>780423</v>
      </c>
      <c r="Y748" s="2">
        <v>633570</v>
      </c>
      <c r="Z748" s="2">
        <v>0</v>
      </c>
      <c r="AA748" s="2">
        <v>0</v>
      </c>
      <c r="AC748" s="2">
        <v>73087</v>
      </c>
      <c r="AD748" s="2">
        <v>72361</v>
      </c>
      <c r="AE748" s="2">
        <v>43638</v>
      </c>
      <c r="AF748" s="2">
        <v>0</v>
      </c>
      <c r="AG748" s="2">
        <v>0</v>
      </c>
      <c r="AI748" s="2">
        <v>-13696</v>
      </c>
      <c r="AJ748" s="2">
        <v>-13696</v>
      </c>
      <c r="AK748" s="2">
        <v>-13696</v>
      </c>
      <c r="AL748" s="2">
        <v>-13698</v>
      </c>
      <c r="AM748" s="2">
        <v>0</v>
      </c>
    </row>
    <row r="749" spans="1:39">
      <c r="A749" s="335">
        <v>98002</v>
      </c>
      <c r="B749" s="328" t="s">
        <v>1443</v>
      </c>
      <c r="C749" s="239">
        <v>6.1999999999999999E-6</v>
      </c>
      <c r="E749" s="2">
        <v>3914</v>
      </c>
      <c r="F749" s="2">
        <v>1699</v>
      </c>
      <c r="G749" s="2">
        <v>2296</v>
      </c>
      <c r="H749" s="2">
        <v>848</v>
      </c>
      <c r="I749" s="2">
        <v>0</v>
      </c>
      <c r="K749" s="2">
        <v>929</v>
      </c>
      <c r="L749" s="2">
        <v>874</v>
      </c>
      <c r="M749" s="2">
        <v>783</v>
      </c>
      <c r="N749" s="2">
        <v>314</v>
      </c>
      <c r="O749" s="2">
        <v>0</v>
      </c>
      <c r="Q749" s="2">
        <v>986</v>
      </c>
      <c r="R749" s="2">
        <v>-848</v>
      </c>
      <c r="S749" s="2">
        <v>120</v>
      </c>
      <c r="T749" s="2">
        <v>156</v>
      </c>
      <c r="U749" s="2">
        <v>0</v>
      </c>
      <c r="W749" s="2">
        <v>1111</v>
      </c>
      <c r="X749" s="2">
        <v>910</v>
      </c>
      <c r="Y749" s="2">
        <v>739</v>
      </c>
      <c r="Z749" s="2">
        <v>0</v>
      </c>
      <c r="AA749" s="2">
        <v>0</v>
      </c>
      <c r="AC749" s="2">
        <v>888</v>
      </c>
      <c r="AD749" s="2">
        <v>763</v>
      </c>
      <c r="AE749" s="2">
        <v>654</v>
      </c>
      <c r="AF749" s="2">
        <v>378</v>
      </c>
      <c r="AG749" s="2">
        <v>0</v>
      </c>
      <c r="AI749" s="2">
        <v>0</v>
      </c>
      <c r="AJ749" s="2">
        <v>0</v>
      </c>
      <c r="AK749" s="2">
        <v>0</v>
      </c>
      <c r="AL749" s="2">
        <v>0</v>
      </c>
      <c r="AM749" s="2">
        <v>0</v>
      </c>
    </row>
    <row r="750" spans="1:39">
      <c r="A750" s="335">
        <v>98003</v>
      </c>
      <c r="B750" s="328" t="s">
        <v>3719</v>
      </c>
      <c r="C750" s="239">
        <v>6.9499999999999995E-5</v>
      </c>
      <c r="E750" s="2">
        <v>59347</v>
      </c>
      <c r="F750" s="2">
        <v>29494</v>
      </c>
      <c r="G750" s="2">
        <v>30997</v>
      </c>
      <c r="H750" s="2">
        <v>11283</v>
      </c>
      <c r="I750" s="2">
        <v>0</v>
      </c>
      <c r="K750" s="2">
        <v>10412</v>
      </c>
      <c r="L750" s="2">
        <v>9794</v>
      </c>
      <c r="M750" s="2">
        <v>8778</v>
      </c>
      <c r="N750" s="2">
        <v>3515</v>
      </c>
      <c r="O750" s="2">
        <v>0</v>
      </c>
      <c r="Q750" s="2">
        <v>11053</v>
      </c>
      <c r="R750" s="2">
        <v>-9508</v>
      </c>
      <c r="S750" s="2">
        <v>1340</v>
      </c>
      <c r="T750" s="2">
        <v>1744</v>
      </c>
      <c r="U750" s="2">
        <v>0</v>
      </c>
      <c r="W750" s="2">
        <v>12452</v>
      </c>
      <c r="X750" s="2">
        <v>10201</v>
      </c>
      <c r="Y750" s="2">
        <v>8281</v>
      </c>
      <c r="Z750" s="2">
        <v>0</v>
      </c>
      <c r="AA750" s="2">
        <v>0</v>
      </c>
      <c r="AC750" s="2">
        <v>25430</v>
      </c>
      <c r="AD750" s="2">
        <v>19007</v>
      </c>
      <c r="AE750" s="2">
        <v>12598</v>
      </c>
      <c r="AF750" s="2">
        <v>6024</v>
      </c>
      <c r="AG750" s="2">
        <v>0</v>
      </c>
      <c r="AI750" s="2">
        <v>0</v>
      </c>
      <c r="AJ750" s="2">
        <v>0</v>
      </c>
      <c r="AK750" s="2">
        <v>0</v>
      </c>
      <c r="AL750" s="2">
        <v>0</v>
      </c>
      <c r="AM750" s="2">
        <v>0</v>
      </c>
    </row>
    <row r="751" spans="1:39">
      <c r="A751" s="335">
        <v>98004</v>
      </c>
      <c r="B751" s="328" t="s">
        <v>1445</v>
      </c>
      <c r="C751" s="239">
        <v>1.2530000000000001E-4</v>
      </c>
      <c r="E751" s="2">
        <v>80345</v>
      </c>
      <c r="F751" s="2">
        <v>34865</v>
      </c>
      <c r="G751" s="2">
        <v>44828</v>
      </c>
      <c r="H751" s="2">
        <v>16274</v>
      </c>
      <c r="I751" s="2">
        <v>0</v>
      </c>
      <c r="K751" s="2">
        <v>18771</v>
      </c>
      <c r="L751" s="2">
        <v>17657</v>
      </c>
      <c r="M751" s="2">
        <v>15826</v>
      </c>
      <c r="N751" s="2">
        <v>6337</v>
      </c>
      <c r="O751" s="2">
        <v>0</v>
      </c>
      <c r="Q751" s="2">
        <v>19928</v>
      </c>
      <c r="R751" s="2">
        <v>-17142</v>
      </c>
      <c r="S751" s="2">
        <v>2416</v>
      </c>
      <c r="T751" s="2">
        <v>3144</v>
      </c>
      <c r="U751" s="2">
        <v>0</v>
      </c>
      <c r="W751" s="2">
        <v>22449</v>
      </c>
      <c r="X751" s="2">
        <v>18391</v>
      </c>
      <c r="Y751" s="2">
        <v>14930</v>
      </c>
      <c r="Z751" s="2">
        <v>0</v>
      </c>
      <c r="AA751" s="2">
        <v>0</v>
      </c>
      <c r="AC751" s="2">
        <v>19197</v>
      </c>
      <c r="AD751" s="2">
        <v>15959</v>
      </c>
      <c r="AE751" s="2">
        <v>11656</v>
      </c>
      <c r="AF751" s="2">
        <v>6793</v>
      </c>
      <c r="AG751" s="2">
        <v>0</v>
      </c>
      <c r="AI751" s="2">
        <v>0</v>
      </c>
      <c r="AJ751" s="2">
        <v>0</v>
      </c>
      <c r="AK751" s="2">
        <v>0</v>
      </c>
      <c r="AL751" s="2">
        <v>0</v>
      </c>
      <c r="AM751" s="2">
        <v>0</v>
      </c>
    </row>
    <row r="752" spans="1:39">
      <c r="A752" s="335">
        <v>98008</v>
      </c>
      <c r="B752" s="328" t="s">
        <v>3720</v>
      </c>
      <c r="C752" s="239">
        <v>7.1999999999999997E-6</v>
      </c>
      <c r="E752" s="2">
        <v>3284</v>
      </c>
      <c r="F752" s="2">
        <v>954</v>
      </c>
      <c r="G752" s="2">
        <v>1765</v>
      </c>
      <c r="H752" s="2">
        <v>465</v>
      </c>
      <c r="I752" s="2">
        <v>0</v>
      </c>
      <c r="K752" s="2">
        <v>1079</v>
      </c>
      <c r="L752" s="2">
        <v>1015</v>
      </c>
      <c r="M752" s="2">
        <v>909</v>
      </c>
      <c r="N752" s="2">
        <v>364</v>
      </c>
      <c r="O752" s="2">
        <v>0</v>
      </c>
      <c r="Q752" s="2">
        <v>1145</v>
      </c>
      <c r="R752" s="2">
        <v>-985</v>
      </c>
      <c r="S752" s="2">
        <v>139</v>
      </c>
      <c r="T752" s="2">
        <v>181</v>
      </c>
      <c r="U752" s="2">
        <v>0</v>
      </c>
      <c r="W752" s="2">
        <v>1290</v>
      </c>
      <c r="X752" s="2">
        <v>1057</v>
      </c>
      <c r="Y752" s="2">
        <v>858</v>
      </c>
      <c r="Z752" s="2">
        <v>0</v>
      </c>
      <c r="AA752" s="2">
        <v>0</v>
      </c>
      <c r="AC752" s="2">
        <v>6</v>
      </c>
      <c r="AD752" s="2">
        <v>8</v>
      </c>
      <c r="AE752" s="2">
        <v>0</v>
      </c>
      <c r="AF752" s="2">
        <v>0</v>
      </c>
      <c r="AG752" s="2">
        <v>0</v>
      </c>
      <c r="AI752" s="2">
        <v>-236</v>
      </c>
      <c r="AJ752" s="2">
        <v>-141</v>
      </c>
      <c r="AK752" s="2">
        <v>-141</v>
      </c>
      <c r="AL752" s="2">
        <v>-80</v>
      </c>
      <c r="AM752" s="2">
        <v>0</v>
      </c>
    </row>
    <row r="753" spans="1:39">
      <c r="A753" s="335">
        <v>98011</v>
      </c>
      <c r="B753" s="328" t="s">
        <v>1447</v>
      </c>
      <c r="C753" s="239">
        <v>3.4512000000000002E-3</v>
      </c>
      <c r="E753" s="2">
        <v>1645808</v>
      </c>
      <c r="F753" s="2">
        <v>542164</v>
      </c>
      <c r="G753" s="2">
        <v>942646</v>
      </c>
      <c r="H753" s="2">
        <v>269777</v>
      </c>
      <c r="I753" s="2">
        <v>0</v>
      </c>
      <c r="K753" s="2">
        <v>517014</v>
      </c>
      <c r="L753" s="2">
        <v>486343</v>
      </c>
      <c r="M753" s="2">
        <v>435904</v>
      </c>
      <c r="N753" s="2">
        <v>174531</v>
      </c>
      <c r="O753" s="2">
        <v>0</v>
      </c>
      <c r="Q753" s="2">
        <v>548882</v>
      </c>
      <c r="R753" s="2">
        <v>-472141</v>
      </c>
      <c r="S753" s="2">
        <v>66543</v>
      </c>
      <c r="T753" s="2">
        <v>86604</v>
      </c>
      <c r="U753" s="2">
        <v>0</v>
      </c>
      <c r="W753" s="2">
        <v>618324</v>
      </c>
      <c r="X753" s="2">
        <v>506553</v>
      </c>
      <c r="Y753" s="2">
        <v>411235</v>
      </c>
      <c r="Z753" s="2">
        <v>0</v>
      </c>
      <c r="AA753" s="2">
        <v>0</v>
      </c>
      <c r="AC753" s="2">
        <v>28962</v>
      </c>
      <c r="AD753" s="2">
        <v>28962</v>
      </c>
      <c r="AE753" s="2">
        <v>28964</v>
      </c>
      <c r="AF753" s="2">
        <v>8642</v>
      </c>
      <c r="AG753" s="2">
        <v>0</v>
      </c>
      <c r="AI753" s="2">
        <v>-67374</v>
      </c>
      <c r="AJ753" s="2">
        <v>-7553</v>
      </c>
      <c r="AK753" s="2">
        <v>0</v>
      </c>
      <c r="AL753" s="2">
        <v>0</v>
      </c>
      <c r="AM753" s="2">
        <v>0</v>
      </c>
    </row>
    <row r="754" spans="1:39">
      <c r="A754" s="335">
        <v>98013</v>
      </c>
      <c r="B754" s="328" t="s">
        <v>3721</v>
      </c>
      <c r="C754" s="239">
        <v>1.3990000000000001E-4</v>
      </c>
      <c r="E754" s="2">
        <v>124479</v>
      </c>
      <c r="F754" s="2">
        <v>65264</v>
      </c>
      <c r="G754" s="2">
        <v>66664</v>
      </c>
      <c r="H754" s="2">
        <v>26285</v>
      </c>
      <c r="I754" s="2">
        <v>0</v>
      </c>
      <c r="K754" s="2">
        <v>20958</v>
      </c>
      <c r="L754" s="2">
        <v>19715</v>
      </c>
      <c r="M754" s="2">
        <v>17670</v>
      </c>
      <c r="N754" s="2">
        <v>7075</v>
      </c>
      <c r="O754" s="2">
        <v>0</v>
      </c>
      <c r="Q754" s="2">
        <v>22250</v>
      </c>
      <c r="R754" s="2">
        <v>-19139</v>
      </c>
      <c r="S754" s="2">
        <v>2697</v>
      </c>
      <c r="T754" s="2">
        <v>3511</v>
      </c>
      <c r="U754" s="2">
        <v>0</v>
      </c>
      <c r="W754" s="2">
        <v>25065</v>
      </c>
      <c r="X754" s="2">
        <v>20534</v>
      </c>
      <c r="Y754" s="2">
        <v>16670</v>
      </c>
      <c r="Z754" s="2">
        <v>0</v>
      </c>
      <c r="AA754" s="2">
        <v>0</v>
      </c>
      <c r="AC754" s="2">
        <v>56206</v>
      </c>
      <c r="AD754" s="2">
        <v>44154</v>
      </c>
      <c r="AE754" s="2">
        <v>29627</v>
      </c>
      <c r="AF754" s="2">
        <v>15699</v>
      </c>
      <c r="AG754" s="2">
        <v>0</v>
      </c>
      <c r="AI754" s="2">
        <v>0</v>
      </c>
      <c r="AJ754" s="2">
        <v>0</v>
      </c>
      <c r="AK754" s="2">
        <v>0</v>
      </c>
      <c r="AL754" s="2">
        <v>0</v>
      </c>
      <c r="AM754" s="2">
        <v>0</v>
      </c>
    </row>
    <row r="755" spans="1:39">
      <c r="A755" s="335">
        <v>98021</v>
      </c>
      <c r="B755" s="328" t="s">
        <v>1449</v>
      </c>
      <c r="C755" s="239">
        <v>4.2400000000000001E-5</v>
      </c>
      <c r="E755" s="2">
        <v>15491</v>
      </c>
      <c r="F755" s="2">
        <v>1545</v>
      </c>
      <c r="G755" s="2">
        <v>6721</v>
      </c>
      <c r="H755" s="2">
        <v>5742</v>
      </c>
      <c r="I755" s="2">
        <v>0</v>
      </c>
      <c r="K755" s="2">
        <v>6352</v>
      </c>
      <c r="L755" s="2">
        <v>5975</v>
      </c>
      <c r="M755" s="2">
        <v>5355</v>
      </c>
      <c r="N755" s="2">
        <v>2144</v>
      </c>
      <c r="O755" s="2">
        <v>0</v>
      </c>
      <c r="Q755" s="2">
        <v>6743</v>
      </c>
      <c r="R755" s="2">
        <v>-5801</v>
      </c>
      <c r="S755" s="2">
        <v>818</v>
      </c>
      <c r="T755" s="2">
        <v>1064</v>
      </c>
      <c r="U755" s="2">
        <v>0</v>
      </c>
      <c r="W755" s="2">
        <v>7596</v>
      </c>
      <c r="X755" s="2">
        <v>6223</v>
      </c>
      <c r="Y755" s="2">
        <v>5052</v>
      </c>
      <c r="Z755" s="2">
        <v>0</v>
      </c>
      <c r="AA755" s="2">
        <v>0</v>
      </c>
      <c r="AC755" s="2">
        <v>2535</v>
      </c>
      <c r="AD755" s="2">
        <v>2535</v>
      </c>
      <c r="AE755" s="2">
        <v>2535</v>
      </c>
      <c r="AF755" s="2">
        <v>2534</v>
      </c>
      <c r="AG755" s="2">
        <v>0</v>
      </c>
      <c r="AI755" s="2">
        <v>-7735</v>
      </c>
      <c r="AJ755" s="2">
        <v>-7387</v>
      </c>
      <c r="AK755" s="2">
        <v>-7039</v>
      </c>
      <c r="AL755" s="2">
        <v>0</v>
      </c>
      <c r="AM755" s="2">
        <v>0</v>
      </c>
    </row>
    <row r="756" spans="1:39">
      <c r="A756" s="335">
        <v>98023</v>
      </c>
      <c r="B756" s="328" t="s">
        <v>1450</v>
      </c>
      <c r="C756" s="239">
        <v>8.8000000000000004E-6</v>
      </c>
      <c r="E756" s="2">
        <v>1780</v>
      </c>
      <c r="F756" s="2">
        <v>-384</v>
      </c>
      <c r="G756" s="2">
        <v>592</v>
      </c>
      <c r="H756" s="2">
        <v>-1480</v>
      </c>
      <c r="I756" s="2">
        <v>0</v>
      </c>
      <c r="K756" s="2">
        <v>1318</v>
      </c>
      <c r="L756" s="2">
        <v>1240</v>
      </c>
      <c r="M756" s="2">
        <v>1111</v>
      </c>
      <c r="N756" s="2">
        <v>445</v>
      </c>
      <c r="O756" s="2">
        <v>0</v>
      </c>
      <c r="Q756" s="2">
        <v>1400</v>
      </c>
      <c r="R756" s="2">
        <v>-1204</v>
      </c>
      <c r="S756" s="2">
        <v>170</v>
      </c>
      <c r="T756" s="2">
        <v>221</v>
      </c>
      <c r="U756" s="2">
        <v>0</v>
      </c>
      <c r="W756" s="2">
        <v>1577</v>
      </c>
      <c r="X756" s="2">
        <v>1292</v>
      </c>
      <c r="Y756" s="2">
        <v>1049</v>
      </c>
      <c r="Z756" s="2">
        <v>0</v>
      </c>
      <c r="AA756" s="2">
        <v>0</v>
      </c>
      <c r="AC756" s="2">
        <v>431</v>
      </c>
      <c r="AD756" s="2">
        <v>432</v>
      </c>
      <c r="AE756" s="2">
        <v>406</v>
      </c>
      <c r="AF756" s="2">
        <v>0</v>
      </c>
      <c r="AG756" s="2">
        <v>0</v>
      </c>
      <c r="AI756" s="2">
        <v>-2946</v>
      </c>
      <c r="AJ756" s="2">
        <v>-2144</v>
      </c>
      <c r="AK756" s="2">
        <v>-2144</v>
      </c>
      <c r="AL756" s="2">
        <v>-2146</v>
      </c>
      <c r="AM756" s="2">
        <v>0</v>
      </c>
    </row>
    <row r="757" spans="1:39">
      <c r="A757" s="335">
        <v>98031</v>
      </c>
      <c r="B757" s="328" t="s">
        <v>1451</v>
      </c>
      <c r="C757" s="239">
        <v>1.5410000000000001E-4</v>
      </c>
      <c r="E757" s="2">
        <v>69400</v>
      </c>
      <c r="F757" s="2">
        <v>18719</v>
      </c>
      <c r="G757" s="2">
        <v>37097</v>
      </c>
      <c r="H757" s="2">
        <v>6668</v>
      </c>
      <c r="I757" s="2">
        <v>0</v>
      </c>
      <c r="K757" s="2">
        <v>23085</v>
      </c>
      <c r="L757" s="2">
        <v>21716</v>
      </c>
      <c r="M757" s="2">
        <v>19464</v>
      </c>
      <c r="N757" s="2">
        <v>7793</v>
      </c>
      <c r="O757" s="2">
        <v>0</v>
      </c>
      <c r="Q757" s="2">
        <v>24508</v>
      </c>
      <c r="R757" s="2">
        <v>-21082</v>
      </c>
      <c r="S757" s="2">
        <v>2971</v>
      </c>
      <c r="T757" s="2">
        <v>3867</v>
      </c>
      <c r="U757" s="2">
        <v>0</v>
      </c>
      <c r="W757" s="2">
        <v>27609</v>
      </c>
      <c r="X757" s="2">
        <v>22618</v>
      </c>
      <c r="Y757" s="2">
        <v>18362</v>
      </c>
      <c r="Z757" s="2">
        <v>0</v>
      </c>
      <c r="AA757" s="2">
        <v>0</v>
      </c>
      <c r="AC757" s="2">
        <v>1293</v>
      </c>
      <c r="AD757" s="2">
        <v>1293</v>
      </c>
      <c r="AE757" s="2">
        <v>1292</v>
      </c>
      <c r="AF757" s="2">
        <v>0</v>
      </c>
      <c r="AG757" s="2">
        <v>0</v>
      </c>
      <c r="AI757" s="2">
        <v>-7095</v>
      </c>
      <c r="AJ757" s="2">
        <v>-5826</v>
      </c>
      <c r="AK757" s="2">
        <v>-4992</v>
      </c>
      <c r="AL757" s="2">
        <v>-4992</v>
      </c>
      <c r="AM757" s="2">
        <v>0</v>
      </c>
    </row>
    <row r="758" spans="1:39">
      <c r="A758" s="335">
        <v>98041</v>
      </c>
      <c r="B758" s="328" t="s">
        <v>1452</v>
      </c>
      <c r="C758" s="239">
        <v>2.3560000000000001E-4</v>
      </c>
      <c r="E758" s="2">
        <v>121794</v>
      </c>
      <c r="F758" s="2">
        <v>40714</v>
      </c>
      <c r="G758" s="2">
        <v>64624</v>
      </c>
      <c r="H758" s="2">
        <v>17196</v>
      </c>
      <c r="I758" s="2">
        <v>0</v>
      </c>
      <c r="K758" s="2">
        <v>35295</v>
      </c>
      <c r="L758" s="2">
        <v>33201</v>
      </c>
      <c r="M758" s="2">
        <v>29757</v>
      </c>
      <c r="N758" s="2">
        <v>11915</v>
      </c>
      <c r="O758" s="2">
        <v>0</v>
      </c>
      <c r="Q758" s="2">
        <v>37470</v>
      </c>
      <c r="R758" s="2">
        <v>-32231</v>
      </c>
      <c r="S758" s="2">
        <v>4543</v>
      </c>
      <c r="T758" s="2">
        <v>5912</v>
      </c>
      <c r="U758" s="2">
        <v>0</v>
      </c>
      <c r="W758" s="2">
        <v>42211</v>
      </c>
      <c r="X758" s="2">
        <v>34580</v>
      </c>
      <c r="Y758" s="2">
        <v>28073</v>
      </c>
      <c r="Z758" s="2">
        <v>0</v>
      </c>
      <c r="AA758" s="2">
        <v>0</v>
      </c>
      <c r="AC758" s="2">
        <v>7447</v>
      </c>
      <c r="AD758" s="2">
        <v>5793</v>
      </c>
      <c r="AE758" s="2">
        <v>2880</v>
      </c>
      <c r="AF758" s="2">
        <v>0</v>
      </c>
      <c r="AG758" s="2">
        <v>0</v>
      </c>
      <c r="AI758" s="2">
        <v>-629</v>
      </c>
      <c r="AJ758" s="2">
        <v>-629</v>
      </c>
      <c r="AK758" s="2">
        <v>-629</v>
      </c>
      <c r="AL758" s="2">
        <v>-631</v>
      </c>
      <c r="AM758" s="2">
        <v>0</v>
      </c>
    </row>
    <row r="759" spans="1:39">
      <c r="A759" s="335">
        <v>98051</v>
      </c>
      <c r="B759" s="328" t="s">
        <v>1453</v>
      </c>
      <c r="C759" s="239">
        <v>2.9750000000000002E-4</v>
      </c>
      <c r="E759" s="2">
        <v>151383</v>
      </c>
      <c r="F759" s="2">
        <v>47495</v>
      </c>
      <c r="G759" s="2">
        <v>83216</v>
      </c>
      <c r="H759" s="2">
        <v>26902</v>
      </c>
      <c r="I759" s="2">
        <v>0</v>
      </c>
      <c r="K759" s="2">
        <v>44568</v>
      </c>
      <c r="L759" s="2">
        <v>41924</v>
      </c>
      <c r="M759" s="2">
        <v>37576</v>
      </c>
      <c r="N759" s="2">
        <v>15045</v>
      </c>
      <c r="O759" s="2">
        <v>0</v>
      </c>
      <c r="Q759" s="2">
        <v>47315</v>
      </c>
      <c r="R759" s="2">
        <v>-40699</v>
      </c>
      <c r="S759" s="2">
        <v>5736</v>
      </c>
      <c r="T759" s="2">
        <v>7465</v>
      </c>
      <c r="U759" s="2">
        <v>0</v>
      </c>
      <c r="W759" s="2">
        <v>53301</v>
      </c>
      <c r="X759" s="2">
        <v>43666</v>
      </c>
      <c r="Y759" s="2">
        <v>35449</v>
      </c>
      <c r="Z759" s="2">
        <v>0</v>
      </c>
      <c r="AA759" s="2">
        <v>0</v>
      </c>
      <c r="AC759" s="2">
        <v>8049</v>
      </c>
      <c r="AD759" s="2">
        <v>4456</v>
      </c>
      <c r="AE759" s="2">
        <v>4455</v>
      </c>
      <c r="AF759" s="2">
        <v>4392</v>
      </c>
      <c r="AG759" s="2">
        <v>0</v>
      </c>
      <c r="AI759" s="2">
        <v>-1850</v>
      </c>
      <c r="AJ759" s="2">
        <v>-1852</v>
      </c>
      <c r="AK759" s="2">
        <v>0</v>
      </c>
      <c r="AL759" s="2">
        <v>0</v>
      </c>
      <c r="AM759" s="2">
        <v>0</v>
      </c>
    </row>
    <row r="760" spans="1:39">
      <c r="A760" s="335">
        <v>98061</v>
      </c>
      <c r="B760" s="328" t="s">
        <v>1454</v>
      </c>
      <c r="C760" s="239">
        <v>1.208E-4</v>
      </c>
      <c r="E760" s="2">
        <v>54820</v>
      </c>
      <c r="F760" s="2">
        <v>18006</v>
      </c>
      <c r="G760" s="2">
        <v>30805</v>
      </c>
      <c r="H760" s="2">
        <v>5123</v>
      </c>
      <c r="I760" s="2">
        <v>0</v>
      </c>
      <c r="K760" s="2">
        <v>18097</v>
      </c>
      <c r="L760" s="2">
        <v>17023</v>
      </c>
      <c r="M760" s="2">
        <v>15258</v>
      </c>
      <c r="N760" s="2">
        <v>6109</v>
      </c>
      <c r="O760" s="2">
        <v>0</v>
      </c>
      <c r="Q760" s="2">
        <v>19212</v>
      </c>
      <c r="R760" s="2">
        <v>-16526</v>
      </c>
      <c r="S760" s="2">
        <v>2329</v>
      </c>
      <c r="T760" s="2">
        <v>3031</v>
      </c>
      <c r="U760" s="2">
        <v>0</v>
      </c>
      <c r="W760" s="2">
        <v>21643</v>
      </c>
      <c r="X760" s="2">
        <v>17731</v>
      </c>
      <c r="Y760" s="2">
        <v>14394</v>
      </c>
      <c r="Z760" s="2">
        <v>0</v>
      </c>
      <c r="AA760" s="2">
        <v>0</v>
      </c>
      <c r="AC760" s="2">
        <v>3797</v>
      </c>
      <c r="AD760" s="2">
        <v>3797</v>
      </c>
      <c r="AE760" s="2">
        <v>2843</v>
      </c>
      <c r="AF760" s="2">
        <v>0</v>
      </c>
      <c r="AG760" s="2">
        <v>0</v>
      </c>
      <c r="AI760" s="2">
        <v>-7929</v>
      </c>
      <c r="AJ760" s="2">
        <v>-4019</v>
      </c>
      <c r="AK760" s="2">
        <v>-4019</v>
      </c>
      <c r="AL760" s="2">
        <v>-4017</v>
      </c>
      <c r="AM760" s="2">
        <v>0</v>
      </c>
    </row>
    <row r="761" spans="1:39">
      <c r="A761" s="335">
        <v>98071</v>
      </c>
      <c r="B761" s="328" t="s">
        <v>1455</v>
      </c>
      <c r="C761" s="239">
        <v>4.74E-5</v>
      </c>
      <c r="E761" s="2">
        <v>34491</v>
      </c>
      <c r="F761" s="2">
        <v>16464</v>
      </c>
      <c r="G761" s="2">
        <v>18941</v>
      </c>
      <c r="H761" s="2">
        <v>8155</v>
      </c>
      <c r="I761" s="2">
        <v>0</v>
      </c>
      <c r="K761" s="2">
        <v>7101</v>
      </c>
      <c r="L761" s="2">
        <v>6680</v>
      </c>
      <c r="M761" s="2">
        <v>5987</v>
      </c>
      <c r="N761" s="2">
        <v>2397</v>
      </c>
      <c r="O761" s="2">
        <v>0</v>
      </c>
      <c r="Q761" s="2">
        <v>7539</v>
      </c>
      <c r="R761" s="2">
        <v>-6485</v>
      </c>
      <c r="S761" s="2">
        <v>914</v>
      </c>
      <c r="T761" s="2">
        <v>1189</v>
      </c>
      <c r="U761" s="2">
        <v>0</v>
      </c>
      <c r="W761" s="2">
        <v>8492</v>
      </c>
      <c r="X761" s="2">
        <v>6957</v>
      </c>
      <c r="Y761" s="2">
        <v>5648</v>
      </c>
      <c r="Z761" s="2">
        <v>0</v>
      </c>
      <c r="AA761" s="2">
        <v>0</v>
      </c>
      <c r="AC761" s="2">
        <v>11359</v>
      </c>
      <c r="AD761" s="2">
        <v>9312</v>
      </c>
      <c r="AE761" s="2">
        <v>6392</v>
      </c>
      <c r="AF761" s="2">
        <v>4569</v>
      </c>
      <c r="AG761" s="2">
        <v>0</v>
      </c>
      <c r="AI761" s="2">
        <v>0</v>
      </c>
      <c r="AJ761" s="2">
        <v>0</v>
      </c>
      <c r="AK761" s="2">
        <v>0</v>
      </c>
      <c r="AL761" s="2">
        <v>0</v>
      </c>
      <c r="AM761" s="2">
        <v>0</v>
      </c>
    </row>
    <row r="762" spans="1:39">
      <c r="A762" s="335">
        <v>98081</v>
      </c>
      <c r="B762" s="328" t="s">
        <v>1456</v>
      </c>
      <c r="C762" s="239">
        <v>1.5800000000000001E-5</v>
      </c>
      <c r="E762" s="2">
        <v>6397</v>
      </c>
      <c r="F762" s="2">
        <v>1471</v>
      </c>
      <c r="G762" s="2">
        <v>3625</v>
      </c>
      <c r="H762" s="2">
        <v>915</v>
      </c>
      <c r="I762" s="2">
        <v>0</v>
      </c>
      <c r="K762" s="2">
        <v>2367</v>
      </c>
      <c r="L762" s="2">
        <v>2227</v>
      </c>
      <c r="M762" s="2">
        <v>1996</v>
      </c>
      <c r="N762" s="2">
        <v>799</v>
      </c>
      <c r="O762" s="2">
        <v>0</v>
      </c>
      <c r="Q762" s="2">
        <v>2513</v>
      </c>
      <c r="R762" s="2">
        <v>-2162</v>
      </c>
      <c r="S762" s="2">
        <v>305</v>
      </c>
      <c r="T762" s="2">
        <v>396</v>
      </c>
      <c r="U762" s="2">
        <v>0</v>
      </c>
      <c r="W762" s="2">
        <v>2831</v>
      </c>
      <c r="X762" s="2">
        <v>2319</v>
      </c>
      <c r="Y762" s="2">
        <v>1883</v>
      </c>
      <c r="Z762" s="2">
        <v>0</v>
      </c>
      <c r="AA762" s="2">
        <v>0</v>
      </c>
      <c r="AC762" s="2">
        <v>0</v>
      </c>
      <c r="AD762" s="2">
        <v>0</v>
      </c>
      <c r="AE762" s="2">
        <v>0</v>
      </c>
      <c r="AF762" s="2">
        <v>0</v>
      </c>
      <c r="AG762" s="2">
        <v>0</v>
      </c>
      <c r="AI762" s="2">
        <v>-1314</v>
      </c>
      <c r="AJ762" s="2">
        <v>-913</v>
      </c>
      <c r="AK762" s="2">
        <v>-559</v>
      </c>
      <c r="AL762" s="2">
        <v>-280</v>
      </c>
      <c r="AM762" s="2">
        <v>0</v>
      </c>
    </row>
    <row r="763" spans="1:39">
      <c r="A763" s="335">
        <v>98091</v>
      </c>
      <c r="B763" s="328" t="s">
        <v>1457</v>
      </c>
      <c r="C763" s="239">
        <v>6.7000000000000002E-5</v>
      </c>
      <c r="E763" s="2">
        <v>35943</v>
      </c>
      <c r="F763" s="2">
        <v>13308</v>
      </c>
      <c r="G763" s="2">
        <v>20820</v>
      </c>
      <c r="H763" s="2">
        <v>6887</v>
      </c>
      <c r="I763" s="2">
        <v>0</v>
      </c>
      <c r="K763" s="2">
        <v>10037</v>
      </c>
      <c r="L763" s="2">
        <v>9442</v>
      </c>
      <c r="M763" s="2">
        <v>8462</v>
      </c>
      <c r="N763" s="2">
        <v>3388</v>
      </c>
      <c r="O763" s="2">
        <v>0</v>
      </c>
      <c r="Q763" s="2">
        <v>10656</v>
      </c>
      <c r="R763" s="2">
        <v>-9166</v>
      </c>
      <c r="S763" s="2">
        <v>1292</v>
      </c>
      <c r="T763" s="2">
        <v>1681</v>
      </c>
      <c r="U763" s="2">
        <v>0</v>
      </c>
      <c r="W763" s="2">
        <v>12004</v>
      </c>
      <c r="X763" s="2">
        <v>9834</v>
      </c>
      <c r="Y763" s="2">
        <v>7984</v>
      </c>
      <c r="Z763" s="2">
        <v>0</v>
      </c>
      <c r="AA763" s="2">
        <v>0</v>
      </c>
      <c r="AC763" s="2">
        <v>3246</v>
      </c>
      <c r="AD763" s="2">
        <v>3198</v>
      </c>
      <c r="AE763" s="2">
        <v>3082</v>
      </c>
      <c r="AF763" s="2">
        <v>1818</v>
      </c>
      <c r="AG763" s="2">
        <v>0</v>
      </c>
      <c r="AI763" s="2">
        <v>0</v>
      </c>
      <c r="AJ763" s="2">
        <v>0</v>
      </c>
      <c r="AK763" s="2">
        <v>0</v>
      </c>
      <c r="AL763" s="2">
        <v>0</v>
      </c>
      <c r="AM763" s="2">
        <v>0</v>
      </c>
    </row>
    <row r="764" spans="1:39">
      <c r="A764" s="335">
        <v>98101</v>
      </c>
      <c r="B764" s="328" t="s">
        <v>1458</v>
      </c>
      <c r="C764" s="239">
        <v>2.6901E-3</v>
      </c>
      <c r="E764" s="2">
        <v>1284671</v>
      </c>
      <c r="F764" s="2">
        <v>383094</v>
      </c>
      <c r="G764" s="2">
        <v>693063</v>
      </c>
      <c r="H764" s="2">
        <v>230360</v>
      </c>
      <c r="I764" s="2">
        <v>0</v>
      </c>
      <c r="K764" s="2">
        <v>402996</v>
      </c>
      <c r="L764" s="2">
        <v>379089</v>
      </c>
      <c r="M764" s="2">
        <v>339773</v>
      </c>
      <c r="N764" s="2">
        <v>136041</v>
      </c>
      <c r="O764" s="2">
        <v>0</v>
      </c>
      <c r="Q764" s="2">
        <v>427836</v>
      </c>
      <c r="R764" s="2">
        <v>-368019</v>
      </c>
      <c r="S764" s="2">
        <v>51868</v>
      </c>
      <c r="T764" s="2">
        <v>67505</v>
      </c>
      <c r="U764" s="2">
        <v>0</v>
      </c>
      <c r="W764" s="2">
        <v>481964</v>
      </c>
      <c r="X764" s="2">
        <v>394842</v>
      </c>
      <c r="Y764" s="2">
        <v>320544</v>
      </c>
      <c r="Z764" s="2">
        <v>0</v>
      </c>
      <c r="AA764" s="2">
        <v>0</v>
      </c>
      <c r="AC764" s="2">
        <v>26815</v>
      </c>
      <c r="AD764" s="2">
        <v>26815</v>
      </c>
      <c r="AE764" s="2">
        <v>26815</v>
      </c>
      <c r="AF764" s="2">
        <v>26814</v>
      </c>
      <c r="AG764" s="2">
        <v>0</v>
      </c>
      <c r="AI764" s="2">
        <v>-54940</v>
      </c>
      <c r="AJ764" s="2">
        <v>-49633</v>
      </c>
      <c r="AK764" s="2">
        <v>-45937</v>
      </c>
      <c r="AL764" s="2">
        <v>0</v>
      </c>
      <c r="AM764" s="2">
        <v>0</v>
      </c>
    </row>
    <row r="765" spans="1:39">
      <c r="A765" s="335">
        <v>98102</v>
      </c>
      <c r="B765" s="328" t="s">
        <v>1459</v>
      </c>
      <c r="C765" s="239">
        <v>1.573E-4</v>
      </c>
      <c r="E765" s="2">
        <v>75409</v>
      </c>
      <c r="F765" s="2">
        <v>22937</v>
      </c>
      <c r="G765" s="2">
        <v>42743</v>
      </c>
      <c r="H765" s="2">
        <v>14102</v>
      </c>
      <c r="I765" s="2">
        <v>0</v>
      </c>
      <c r="K765" s="2">
        <v>23565</v>
      </c>
      <c r="L765" s="2">
        <v>22167</v>
      </c>
      <c r="M765" s="2">
        <v>19868</v>
      </c>
      <c r="N765" s="2">
        <v>7955</v>
      </c>
      <c r="O765" s="2">
        <v>0</v>
      </c>
      <c r="Q765" s="2">
        <v>25017</v>
      </c>
      <c r="R765" s="2">
        <v>-21519</v>
      </c>
      <c r="S765" s="2">
        <v>3033</v>
      </c>
      <c r="T765" s="2">
        <v>3947</v>
      </c>
      <c r="U765" s="2">
        <v>0</v>
      </c>
      <c r="W765" s="2">
        <v>28182</v>
      </c>
      <c r="X765" s="2">
        <v>23088</v>
      </c>
      <c r="Y765" s="2">
        <v>18743</v>
      </c>
      <c r="Z765" s="2">
        <v>0</v>
      </c>
      <c r="AA765" s="2">
        <v>0</v>
      </c>
      <c r="AC765" s="2">
        <v>2199</v>
      </c>
      <c r="AD765" s="2">
        <v>2199</v>
      </c>
      <c r="AE765" s="2">
        <v>2199</v>
      </c>
      <c r="AF765" s="2">
        <v>2200</v>
      </c>
      <c r="AG765" s="2">
        <v>0</v>
      </c>
      <c r="AI765" s="2">
        <v>-3554</v>
      </c>
      <c r="AJ765" s="2">
        <v>-2998</v>
      </c>
      <c r="AK765" s="2">
        <v>-1100</v>
      </c>
      <c r="AL765" s="2">
        <v>0</v>
      </c>
      <c r="AM765" s="2">
        <v>0</v>
      </c>
    </row>
    <row r="766" spans="1:39">
      <c r="A766" s="335">
        <v>98103</v>
      </c>
      <c r="B766" s="328" t="s">
        <v>2792</v>
      </c>
      <c r="C766" s="239">
        <v>5.04E-4</v>
      </c>
      <c r="E766" s="2">
        <v>244879</v>
      </c>
      <c r="F766" s="2">
        <v>77006</v>
      </c>
      <c r="G766" s="2">
        <v>131953</v>
      </c>
      <c r="H766" s="2">
        <v>44651</v>
      </c>
      <c r="I766" s="2">
        <v>0</v>
      </c>
      <c r="K766" s="2">
        <v>75503</v>
      </c>
      <c r="L766" s="2">
        <v>71024</v>
      </c>
      <c r="M766" s="2">
        <v>63658</v>
      </c>
      <c r="N766" s="2">
        <v>25488</v>
      </c>
      <c r="O766" s="2">
        <v>0</v>
      </c>
      <c r="Q766" s="2">
        <v>80157</v>
      </c>
      <c r="R766" s="2">
        <v>-68950</v>
      </c>
      <c r="S766" s="2">
        <v>9718</v>
      </c>
      <c r="T766" s="2">
        <v>12647</v>
      </c>
      <c r="U766" s="2">
        <v>0</v>
      </c>
      <c r="W766" s="2">
        <v>90298</v>
      </c>
      <c r="X766" s="2">
        <v>73975</v>
      </c>
      <c r="Y766" s="2">
        <v>60055</v>
      </c>
      <c r="Z766" s="2">
        <v>0</v>
      </c>
      <c r="AA766" s="2">
        <v>0</v>
      </c>
      <c r="AC766" s="2">
        <v>8948</v>
      </c>
      <c r="AD766" s="2">
        <v>8950</v>
      </c>
      <c r="AE766" s="2">
        <v>6516</v>
      </c>
      <c r="AF766" s="2">
        <v>6516</v>
      </c>
      <c r="AG766" s="2">
        <v>0</v>
      </c>
      <c r="AI766" s="2">
        <v>-10027</v>
      </c>
      <c r="AJ766" s="2">
        <v>-7993</v>
      </c>
      <c r="AK766" s="2">
        <v>-7994</v>
      </c>
      <c r="AL766" s="2">
        <v>0</v>
      </c>
      <c r="AM766" s="2">
        <v>0</v>
      </c>
    </row>
    <row r="767" spans="1:39">
      <c r="A767" s="335">
        <v>98107</v>
      </c>
      <c r="B767" s="328" t="s">
        <v>1461</v>
      </c>
      <c r="C767" s="239">
        <v>9.3999999999999998E-6</v>
      </c>
      <c r="E767" s="2">
        <v>7926</v>
      </c>
      <c r="F767" s="2">
        <v>4095</v>
      </c>
      <c r="G767" s="2">
        <v>4307</v>
      </c>
      <c r="H767" s="2">
        <v>1759</v>
      </c>
      <c r="I767" s="2">
        <v>0</v>
      </c>
      <c r="K767" s="2">
        <v>1408</v>
      </c>
      <c r="L767" s="2">
        <v>1325</v>
      </c>
      <c r="M767" s="2">
        <v>1187</v>
      </c>
      <c r="N767" s="2">
        <v>475</v>
      </c>
      <c r="O767" s="2">
        <v>0</v>
      </c>
      <c r="Q767" s="2">
        <v>1495</v>
      </c>
      <c r="R767" s="2">
        <v>-1286</v>
      </c>
      <c r="S767" s="2">
        <v>181</v>
      </c>
      <c r="T767" s="2">
        <v>236</v>
      </c>
      <c r="U767" s="2">
        <v>0</v>
      </c>
      <c r="W767" s="2">
        <v>1684</v>
      </c>
      <c r="X767" s="2">
        <v>1380</v>
      </c>
      <c r="Y767" s="2">
        <v>1120</v>
      </c>
      <c r="Z767" s="2">
        <v>0</v>
      </c>
      <c r="AA767" s="2">
        <v>0</v>
      </c>
      <c r="AC767" s="2">
        <v>3339</v>
      </c>
      <c r="AD767" s="2">
        <v>2676</v>
      </c>
      <c r="AE767" s="2">
        <v>1819</v>
      </c>
      <c r="AF767" s="2">
        <v>1048</v>
      </c>
      <c r="AG767" s="2">
        <v>0</v>
      </c>
      <c r="AI767" s="2">
        <v>0</v>
      </c>
      <c r="AJ767" s="2">
        <v>0</v>
      </c>
      <c r="AK767" s="2">
        <v>0</v>
      </c>
      <c r="AL767" s="2">
        <v>0</v>
      </c>
      <c r="AM767" s="2">
        <v>0</v>
      </c>
    </row>
    <row r="768" spans="1:39">
      <c r="A768" s="335">
        <v>98109</v>
      </c>
      <c r="B768" s="328" t="s">
        <v>3722</v>
      </c>
      <c r="C768" s="239">
        <v>1.595E-4</v>
      </c>
      <c r="E768" s="2">
        <v>80220</v>
      </c>
      <c r="F768" s="2">
        <v>32635</v>
      </c>
      <c r="G768" s="2">
        <v>48239</v>
      </c>
      <c r="H768" s="2">
        <v>17972</v>
      </c>
      <c r="I768" s="2">
        <v>0</v>
      </c>
      <c r="K768" s="2">
        <v>23894</v>
      </c>
      <c r="L768" s="2">
        <v>22477</v>
      </c>
      <c r="M768" s="2">
        <v>20146</v>
      </c>
      <c r="N768" s="2">
        <v>8066</v>
      </c>
      <c r="O768" s="2">
        <v>0</v>
      </c>
      <c r="Q768" s="2">
        <v>25367</v>
      </c>
      <c r="R768" s="2">
        <v>-21820</v>
      </c>
      <c r="S768" s="2">
        <v>3075</v>
      </c>
      <c r="T768" s="2">
        <v>4002</v>
      </c>
      <c r="U768" s="2">
        <v>0</v>
      </c>
      <c r="W768" s="2">
        <v>28576</v>
      </c>
      <c r="X768" s="2">
        <v>23411</v>
      </c>
      <c r="Y768" s="2">
        <v>19006</v>
      </c>
      <c r="Z768" s="2">
        <v>0</v>
      </c>
      <c r="AA768" s="2">
        <v>0</v>
      </c>
      <c r="AC768" s="2">
        <v>8568</v>
      </c>
      <c r="AD768" s="2">
        <v>8567</v>
      </c>
      <c r="AE768" s="2">
        <v>6012</v>
      </c>
      <c r="AF768" s="2">
        <v>5904</v>
      </c>
      <c r="AG768" s="2">
        <v>0</v>
      </c>
      <c r="AI768" s="2">
        <v>-6185</v>
      </c>
      <c r="AJ768" s="2">
        <v>0</v>
      </c>
      <c r="AK768" s="2">
        <v>0</v>
      </c>
      <c r="AL768" s="2">
        <v>0</v>
      </c>
      <c r="AM768" s="2">
        <v>0</v>
      </c>
    </row>
    <row r="769" spans="1:39">
      <c r="A769" s="335">
        <v>98111</v>
      </c>
      <c r="B769" s="328" t="s">
        <v>1463</v>
      </c>
      <c r="C769" s="239">
        <v>1.0231999999999999E-3</v>
      </c>
      <c r="E769" s="2">
        <v>466102</v>
      </c>
      <c r="F769" s="2">
        <v>131077</v>
      </c>
      <c r="G769" s="2">
        <v>255000</v>
      </c>
      <c r="H769" s="2">
        <v>69309</v>
      </c>
      <c r="I769" s="2">
        <v>0</v>
      </c>
      <c r="K769" s="2">
        <v>153283</v>
      </c>
      <c r="L769" s="2">
        <v>144189</v>
      </c>
      <c r="M769" s="2">
        <v>129235</v>
      </c>
      <c r="N769" s="2">
        <v>51744</v>
      </c>
      <c r="O769" s="2">
        <v>0</v>
      </c>
      <c r="Q769" s="2">
        <v>162731</v>
      </c>
      <c r="R769" s="2">
        <v>-139979</v>
      </c>
      <c r="S769" s="2">
        <v>19728</v>
      </c>
      <c r="T769" s="2">
        <v>25676</v>
      </c>
      <c r="U769" s="2">
        <v>0</v>
      </c>
      <c r="W769" s="2">
        <v>183319</v>
      </c>
      <c r="X769" s="2">
        <v>150181</v>
      </c>
      <c r="Y769" s="2">
        <v>121921</v>
      </c>
      <c r="Z769" s="2">
        <v>0</v>
      </c>
      <c r="AA769" s="2">
        <v>0</v>
      </c>
      <c r="AC769" s="2">
        <v>0</v>
      </c>
      <c r="AD769" s="2">
        <v>0</v>
      </c>
      <c r="AE769" s="2">
        <v>0</v>
      </c>
      <c r="AF769" s="2">
        <v>0</v>
      </c>
      <c r="AG769" s="2">
        <v>0</v>
      </c>
      <c r="AI769" s="2">
        <v>-33231</v>
      </c>
      <c r="AJ769" s="2">
        <v>-23314</v>
      </c>
      <c r="AK769" s="2">
        <v>-15884</v>
      </c>
      <c r="AL769" s="2">
        <v>-8111</v>
      </c>
      <c r="AM769" s="2">
        <v>0</v>
      </c>
    </row>
    <row r="770" spans="1:39">
      <c r="A770" s="335">
        <v>98113</v>
      </c>
      <c r="B770" s="328" t="s">
        <v>1464</v>
      </c>
      <c r="C770" s="239">
        <v>3.3899999999999997E-5</v>
      </c>
      <c r="E770" s="2">
        <v>19117</v>
      </c>
      <c r="F770" s="2">
        <v>7267</v>
      </c>
      <c r="G770" s="2">
        <v>9463</v>
      </c>
      <c r="H770" s="2">
        <v>3159</v>
      </c>
      <c r="I770" s="2">
        <v>0</v>
      </c>
      <c r="K770" s="2">
        <v>5078</v>
      </c>
      <c r="L770" s="2">
        <v>4777</v>
      </c>
      <c r="M770" s="2">
        <v>4282</v>
      </c>
      <c r="N770" s="2">
        <v>1714</v>
      </c>
      <c r="O770" s="2">
        <v>0</v>
      </c>
      <c r="Q770" s="2">
        <v>5391</v>
      </c>
      <c r="R770" s="2">
        <v>-4638</v>
      </c>
      <c r="S770" s="2">
        <v>654</v>
      </c>
      <c r="T770" s="2">
        <v>851</v>
      </c>
      <c r="U770" s="2">
        <v>0</v>
      </c>
      <c r="W770" s="2">
        <v>6074</v>
      </c>
      <c r="X770" s="2">
        <v>4976</v>
      </c>
      <c r="Y770" s="2">
        <v>4039</v>
      </c>
      <c r="Z770" s="2">
        <v>0</v>
      </c>
      <c r="AA770" s="2">
        <v>0</v>
      </c>
      <c r="AC770" s="2">
        <v>2678</v>
      </c>
      <c r="AD770" s="2">
        <v>2256</v>
      </c>
      <c r="AE770" s="2">
        <v>592</v>
      </c>
      <c r="AF770" s="2">
        <v>594</v>
      </c>
      <c r="AG770" s="2">
        <v>0</v>
      </c>
      <c r="AI770" s="2">
        <v>-104</v>
      </c>
      <c r="AJ770" s="2">
        <v>-104</v>
      </c>
      <c r="AK770" s="2">
        <v>-104</v>
      </c>
      <c r="AL770" s="2">
        <v>0</v>
      </c>
      <c r="AM770" s="2">
        <v>0</v>
      </c>
    </row>
    <row r="771" spans="1:39">
      <c r="A771" s="335">
        <v>98121</v>
      </c>
      <c r="B771" s="328" t="s">
        <v>1465</v>
      </c>
      <c r="C771" s="239">
        <v>2.1259999999999999E-4</v>
      </c>
      <c r="E771" s="2">
        <v>96531</v>
      </c>
      <c r="F771" s="2">
        <v>24704</v>
      </c>
      <c r="G771" s="2">
        <v>54198</v>
      </c>
      <c r="H771" s="2">
        <v>12696</v>
      </c>
      <c r="I771" s="2">
        <v>0</v>
      </c>
      <c r="K771" s="2">
        <v>31849</v>
      </c>
      <c r="L771" s="2">
        <v>29960</v>
      </c>
      <c r="M771" s="2">
        <v>26852</v>
      </c>
      <c r="N771" s="2">
        <v>10751</v>
      </c>
      <c r="O771" s="2">
        <v>0</v>
      </c>
      <c r="Q771" s="2">
        <v>33812</v>
      </c>
      <c r="R771" s="2">
        <v>-29085</v>
      </c>
      <c r="S771" s="2">
        <v>4099</v>
      </c>
      <c r="T771" s="2">
        <v>5335</v>
      </c>
      <c r="U771" s="2">
        <v>0</v>
      </c>
      <c r="W771" s="2">
        <v>38090</v>
      </c>
      <c r="X771" s="2">
        <v>31205</v>
      </c>
      <c r="Y771" s="2">
        <v>25333</v>
      </c>
      <c r="Z771" s="2">
        <v>0</v>
      </c>
      <c r="AA771" s="2">
        <v>0</v>
      </c>
      <c r="AC771" s="2">
        <v>1461</v>
      </c>
      <c r="AD771" s="2">
        <v>1306</v>
      </c>
      <c r="AE771" s="2">
        <v>1304</v>
      </c>
      <c r="AF771" s="2">
        <v>0</v>
      </c>
      <c r="AG771" s="2">
        <v>0</v>
      </c>
      <c r="AI771" s="2">
        <v>-8681</v>
      </c>
      <c r="AJ771" s="2">
        <v>-8682</v>
      </c>
      <c r="AK771" s="2">
        <v>-3390</v>
      </c>
      <c r="AL771" s="2">
        <v>-3390</v>
      </c>
      <c r="AM771" s="2">
        <v>0</v>
      </c>
    </row>
    <row r="772" spans="1:39">
      <c r="A772" s="335">
        <v>98131</v>
      </c>
      <c r="B772" s="328" t="s">
        <v>1466</v>
      </c>
      <c r="C772" s="239">
        <v>2.519E-4</v>
      </c>
      <c r="E772" s="2">
        <v>116718</v>
      </c>
      <c r="F772" s="2">
        <v>34747</v>
      </c>
      <c r="G772" s="2">
        <v>69925</v>
      </c>
      <c r="H772" s="2">
        <v>25005</v>
      </c>
      <c r="I772" s="2">
        <v>0</v>
      </c>
      <c r="K772" s="2">
        <v>37736</v>
      </c>
      <c r="L772" s="2">
        <v>35498</v>
      </c>
      <c r="M772" s="2">
        <v>31816</v>
      </c>
      <c r="N772" s="2">
        <v>12739</v>
      </c>
      <c r="O772" s="2">
        <v>0</v>
      </c>
      <c r="Q772" s="2">
        <v>40062</v>
      </c>
      <c r="R772" s="2">
        <v>-34461</v>
      </c>
      <c r="S772" s="2">
        <v>4857</v>
      </c>
      <c r="T772" s="2">
        <v>6321</v>
      </c>
      <c r="U772" s="2">
        <v>0</v>
      </c>
      <c r="W772" s="2">
        <v>45131</v>
      </c>
      <c r="X772" s="2">
        <v>36973</v>
      </c>
      <c r="Y772" s="2">
        <v>30016</v>
      </c>
      <c r="Z772" s="2">
        <v>0</v>
      </c>
      <c r="AA772" s="2">
        <v>0</v>
      </c>
      <c r="AC772" s="2">
        <v>5943</v>
      </c>
      <c r="AD772" s="2">
        <v>5943</v>
      </c>
      <c r="AE772" s="2">
        <v>5943</v>
      </c>
      <c r="AF772" s="2">
        <v>5945</v>
      </c>
      <c r="AG772" s="2">
        <v>0</v>
      </c>
      <c r="AI772" s="2">
        <v>-12154</v>
      </c>
      <c r="AJ772" s="2">
        <v>-9206</v>
      </c>
      <c r="AK772" s="2">
        <v>-2707</v>
      </c>
      <c r="AL772" s="2">
        <v>0</v>
      </c>
      <c r="AM772" s="2">
        <v>0</v>
      </c>
    </row>
    <row r="773" spans="1:39">
      <c r="A773" s="335">
        <v>98141</v>
      </c>
      <c r="B773" s="328" t="s">
        <v>1467</v>
      </c>
      <c r="C773" s="239">
        <v>2.8699999999999998E-4</v>
      </c>
      <c r="E773" s="2">
        <v>130157</v>
      </c>
      <c r="F773" s="2">
        <v>37674</v>
      </c>
      <c r="G773" s="2">
        <v>69283</v>
      </c>
      <c r="H773" s="2">
        <v>17833</v>
      </c>
      <c r="I773" s="2">
        <v>0</v>
      </c>
      <c r="K773" s="2">
        <v>42995</v>
      </c>
      <c r="L773" s="2">
        <v>40444</v>
      </c>
      <c r="M773" s="2">
        <v>36250</v>
      </c>
      <c r="N773" s="2">
        <v>14514</v>
      </c>
      <c r="O773" s="2">
        <v>0</v>
      </c>
      <c r="Q773" s="2">
        <v>45645</v>
      </c>
      <c r="R773" s="2">
        <v>-39263</v>
      </c>
      <c r="S773" s="2">
        <v>5534</v>
      </c>
      <c r="T773" s="2">
        <v>7202</v>
      </c>
      <c r="U773" s="2">
        <v>0</v>
      </c>
      <c r="W773" s="2">
        <v>51419</v>
      </c>
      <c r="X773" s="2">
        <v>42125</v>
      </c>
      <c r="Y773" s="2">
        <v>34198</v>
      </c>
      <c r="Z773" s="2">
        <v>0</v>
      </c>
      <c r="AA773" s="2">
        <v>0</v>
      </c>
      <c r="AC773" s="2">
        <v>1065</v>
      </c>
      <c r="AD773" s="2">
        <v>1067</v>
      </c>
      <c r="AE773" s="2">
        <v>0</v>
      </c>
      <c r="AF773" s="2">
        <v>0</v>
      </c>
      <c r="AG773" s="2">
        <v>0</v>
      </c>
      <c r="AI773" s="2">
        <v>-10967</v>
      </c>
      <c r="AJ773" s="2">
        <v>-6699</v>
      </c>
      <c r="AK773" s="2">
        <v>-6699</v>
      </c>
      <c r="AL773" s="2">
        <v>-3883</v>
      </c>
      <c r="AM773" s="2">
        <v>0</v>
      </c>
    </row>
    <row r="774" spans="1:39">
      <c r="A774" s="335">
        <v>98147</v>
      </c>
      <c r="B774" s="328" t="s">
        <v>1468</v>
      </c>
      <c r="C774" s="239">
        <v>1.0699999999999999E-5</v>
      </c>
      <c r="E774" s="2">
        <v>8636</v>
      </c>
      <c r="F774" s="2">
        <v>4092</v>
      </c>
      <c r="G774" s="2">
        <v>4512</v>
      </c>
      <c r="H774" s="2">
        <v>1729</v>
      </c>
      <c r="I774" s="2">
        <v>0</v>
      </c>
      <c r="K774" s="2">
        <v>1603</v>
      </c>
      <c r="L774" s="2">
        <v>1508</v>
      </c>
      <c r="M774" s="2">
        <v>1351</v>
      </c>
      <c r="N774" s="2">
        <v>541</v>
      </c>
      <c r="O774" s="2">
        <v>0</v>
      </c>
      <c r="Q774" s="2">
        <v>1702</v>
      </c>
      <c r="R774" s="2">
        <v>-1464</v>
      </c>
      <c r="S774" s="2">
        <v>206</v>
      </c>
      <c r="T774" s="2">
        <v>269</v>
      </c>
      <c r="U774" s="2">
        <v>0</v>
      </c>
      <c r="W774" s="2">
        <v>1917</v>
      </c>
      <c r="X774" s="2">
        <v>1571</v>
      </c>
      <c r="Y774" s="2">
        <v>1275</v>
      </c>
      <c r="Z774" s="2">
        <v>0</v>
      </c>
      <c r="AA774" s="2">
        <v>0</v>
      </c>
      <c r="AC774" s="2">
        <v>3414</v>
      </c>
      <c r="AD774" s="2">
        <v>2477</v>
      </c>
      <c r="AE774" s="2">
        <v>1680</v>
      </c>
      <c r="AF774" s="2">
        <v>919</v>
      </c>
      <c r="AG774" s="2">
        <v>0</v>
      </c>
      <c r="AI774" s="2">
        <v>0</v>
      </c>
      <c r="AJ774" s="2">
        <v>0</v>
      </c>
      <c r="AK774" s="2">
        <v>0</v>
      </c>
      <c r="AL774" s="2">
        <v>0</v>
      </c>
      <c r="AM774" s="2">
        <v>0</v>
      </c>
    </row>
    <row r="775" spans="1:39">
      <c r="A775" s="335">
        <v>98161</v>
      </c>
      <c r="B775" s="328" t="s">
        <v>1469</v>
      </c>
      <c r="C775" s="239">
        <v>6.1999999999999999E-6</v>
      </c>
      <c r="E775" s="2">
        <v>4261</v>
      </c>
      <c r="F775" s="2">
        <v>1950</v>
      </c>
      <c r="G775" s="2">
        <v>2331</v>
      </c>
      <c r="H775" s="2">
        <v>850</v>
      </c>
      <c r="I775" s="2">
        <v>0</v>
      </c>
      <c r="K775" s="2">
        <v>929</v>
      </c>
      <c r="L775" s="2">
        <v>874</v>
      </c>
      <c r="M775" s="2">
        <v>783</v>
      </c>
      <c r="N775" s="2">
        <v>314</v>
      </c>
      <c r="O775" s="2">
        <v>0</v>
      </c>
      <c r="Q775" s="2">
        <v>986</v>
      </c>
      <c r="R775" s="2">
        <v>-848</v>
      </c>
      <c r="S775" s="2">
        <v>120</v>
      </c>
      <c r="T775" s="2">
        <v>156</v>
      </c>
      <c r="U775" s="2">
        <v>0</v>
      </c>
      <c r="W775" s="2">
        <v>1111</v>
      </c>
      <c r="X775" s="2">
        <v>910</v>
      </c>
      <c r="Y775" s="2">
        <v>739</v>
      </c>
      <c r="Z775" s="2">
        <v>0</v>
      </c>
      <c r="AA775" s="2">
        <v>0</v>
      </c>
      <c r="AC775" s="2">
        <v>1235</v>
      </c>
      <c r="AD775" s="2">
        <v>1014</v>
      </c>
      <c r="AE775" s="2">
        <v>689</v>
      </c>
      <c r="AF775" s="2">
        <v>380</v>
      </c>
      <c r="AG775" s="2">
        <v>0</v>
      </c>
      <c r="AI775" s="2">
        <v>0</v>
      </c>
      <c r="AJ775" s="2">
        <v>0</v>
      </c>
      <c r="AK775" s="2">
        <v>0</v>
      </c>
      <c r="AL775" s="2">
        <v>0</v>
      </c>
      <c r="AM775" s="2">
        <v>0</v>
      </c>
    </row>
    <row r="776" spans="1:39">
      <c r="A776" s="335">
        <v>98201</v>
      </c>
      <c r="B776" s="328" t="s">
        <v>1470</v>
      </c>
      <c r="C776" s="239">
        <v>3.3482999999999998E-3</v>
      </c>
      <c r="E776" s="2">
        <v>1662461</v>
      </c>
      <c r="F776" s="2">
        <v>537669</v>
      </c>
      <c r="G776" s="2">
        <v>902985</v>
      </c>
      <c r="H776" s="2">
        <v>277906</v>
      </c>
      <c r="I776" s="2">
        <v>0</v>
      </c>
      <c r="K776" s="2">
        <v>501599</v>
      </c>
      <c r="L776" s="2">
        <v>471842</v>
      </c>
      <c r="M776" s="2">
        <v>422907</v>
      </c>
      <c r="N776" s="2">
        <v>169327</v>
      </c>
      <c r="O776" s="2">
        <v>0</v>
      </c>
      <c r="Q776" s="2">
        <v>532517</v>
      </c>
      <c r="R776" s="2">
        <v>-458064</v>
      </c>
      <c r="S776" s="2">
        <v>64559</v>
      </c>
      <c r="T776" s="2">
        <v>84022</v>
      </c>
      <c r="U776" s="2">
        <v>0</v>
      </c>
      <c r="W776" s="2">
        <v>599888</v>
      </c>
      <c r="X776" s="2">
        <v>491450</v>
      </c>
      <c r="Y776" s="2">
        <v>398973</v>
      </c>
      <c r="Z776" s="2">
        <v>0</v>
      </c>
      <c r="AA776" s="2">
        <v>0</v>
      </c>
      <c r="AC776" s="2">
        <v>40456</v>
      </c>
      <c r="AD776" s="2">
        <v>40454</v>
      </c>
      <c r="AE776" s="2">
        <v>24557</v>
      </c>
      <c r="AF776" s="2">
        <v>24557</v>
      </c>
      <c r="AG776" s="2">
        <v>0</v>
      </c>
      <c r="AI776" s="2">
        <v>-11999</v>
      </c>
      <c r="AJ776" s="2">
        <v>-8013</v>
      </c>
      <c r="AK776" s="2">
        <v>-8011</v>
      </c>
      <c r="AL776" s="2">
        <v>0</v>
      </c>
      <c r="AM776" s="2">
        <v>0</v>
      </c>
    </row>
    <row r="777" spans="1:39">
      <c r="A777" s="335">
        <v>98205</v>
      </c>
      <c r="B777" s="328" t="s">
        <v>2808</v>
      </c>
      <c r="C777" s="239">
        <v>4.0899999999999998E-5</v>
      </c>
      <c r="E777" s="2">
        <v>19941</v>
      </c>
      <c r="F777" s="2">
        <v>5611</v>
      </c>
      <c r="G777" s="2">
        <v>10620</v>
      </c>
      <c r="H777" s="2">
        <v>4000</v>
      </c>
      <c r="I777" s="2">
        <v>0</v>
      </c>
      <c r="K777" s="2">
        <v>6127</v>
      </c>
      <c r="L777" s="2">
        <v>5764</v>
      </c>
      <c r="M777" s="2">
        <v>5166</v>
      </c>
      <c r="N777" s="2">
        <v>2068</v>
      </c>
      <c r="O777" s="2">
        <v>0</v>
      </c>
      <c r="Q777" s="2">
        <v>6505</v>
      </c>
      <c r="R777" s="2">
        <v>-5595</v>
      </c>
      <c r="S777" s="2">
        <v>789</v>
      </c>
      <c r="T777" s="2">
        <v>1026</v>
      </c>
      <c r="U777" s="2">
        <v>0</v>
      </c>
      <c r="W777" s="2">
        <v>7328</v>
      </c>
      <c r="X777" s="2">
        <v>6003</v>
      </c>
      <c r="Y777" s="2">
        <v>4874</v>
      </c>
      <c r="Z777" s="2">
        <v>0</v>
      </c>
      <c r="AA777" s="2">
        <v>0</v>
      </c>
      <c r="AC777" s="2">
        <v>1446</v>
      </c>
      <c r="AD777" s="2">
        <v>905</v>
      </c>
      <c r="AE777" s="2">
        <v>905</v>
      </c>
      <c r="AF777" s="2">
        <v>906</v>
      </c>
      <c r="AG777" s="2">
        <v>0</v>
      </c>
      <c r="AI777" s="2">
        <v>-1465</v>
      </c>
      <c r="AJ777" s="2">
        <v>-1466</v>
      </c>
      <c r="AK777" s="2">
        <v>-1114</v>
      </c>
      <c r="AL777" s="2">
        <v>0</v>
      </c>
      <c r="AM777" s="2">
        <v>0</v>
      </c>
    </row>
    <row r="778" spans="1:39">
      <c r="A778" s="335">
        <v>98211</v>
      </c>
      <c r="B778" s="328" t="s">
        <v>1472</v>
      </c>
      <c r="C778" s="239">
        <v>9.0399999999999996E-4</v>
      </c>
      <c r="E778" s="2">
        <v>411808</v>
      </c>
      <c r="F778" s="2">
        <v>121517</v>
      </c>
      <c r="G778" s="2">
        <v>239239</v>
      </c>
      <c r="H778" s="2">
        <v>74706</v>
      </c>
      <c r="I778" s="2">
        <v>0</v>
      </c>
      <c r="K778" s="2">
        <v>135426</v>
      </c>
      <c r="L778" s="2">
        <v>127392</v>
      </c>
      <c r="M778" s="2">
        <v>114180</v>
      </c>
      <c r="N778" s="2">
        <v>45716</v>
      </c>
      <c r="O778" s="2">
        <v>0</v>
      </c>
      <c r="Q778" s="2">
        <v>143773</v>
      </c>
      <c r="R778" s="2">
        <v>-123672</v>
      </c>
      <c r="S778" s="2">
        <v>17430</v>
      </c>
      <c r="T778" s="2">
        <v>22685</v>
      </c>
      <c r="U778" s="2">
        <v>0</v>
      </c>
      <c r="W778" s="2">
        <v>161962</v>
      </c>
      <c r="X778" s="2">
        <v>132686</v>
      </c>
      <c r="Y778" s="2">
        <v>107718</v>
      </c>
      <c r="Z778" s="2">
        <v>0</v>
      </c>
      <c r="AA778" s="2">
        <v>0</v>
      </c>
      <c r="AC778" s="2">
        <v>6305</v>
      </c>
      <c r="AD778" s="2">
        <v>6305</v>
      </c>
      <c r="AE778" s="2">
        <v>6305</v>
      </c>
      <c r="AF778" s="2">
        <v>6305</v>
      </c>
      <c r="AG778" s="2">
        <v>0</v>
      </c>
      <c r="AI778" s="2">
        <v>-35658</v>
      </c>
      <c r="AJ778" s="2">
        <v>-21194</v>
      </c>
      <c r="AK778" s="2">
        <v>-6394</v>
      </c>
      <c r="AL778" s="2">
        <v>0</v>
      </c>
      <c r="AM778" s="2">
        <v>0</v>
      </c>
    </row>
    <row r="779" spans="1:39">
      <c r="A779" s="335">
        <v>98218</v>
      </c>
      <c r="B779" s="328" t="s">
        <v>1473</v>
      </c>
      <c r="C779" s="239">
        <v>1.8099999999999999E-5</v>
      </c>
      <c r="E779" s="2">
        <v>10394</v>
      </c>
      <c r="F779" s="2">
        <v>4326</v>
      </c>
      <c r="G779" s="2">
        <v>5933</v>
      </c>
      <c r="H779" s="2">
        <v>1910</v>
      </c>
      <c r="I779" s="2">
        <v>0</v>
      </c>
      <c r="K779" s="2">
        <v>2712</v>
      </c>
      <c r="L779" s="2">
        <v>2551</v>
      </c>
      <c r="M779" s="2">
        <v>2286</v>
      </c>
      <c r="N779" s="2">
        <v>915</v>
      </c>
      <c r="O779" s="2">
        <v>0</v>
      </c>
      <c r="Q779" s="2">
        <v>2879</v>
      </c>
      <c r="R779" s="2">
        <v>-2476</v>
      </c>
      <c r="S779" s="2">
        <v>349</v>
      </c>
      <c r="T779" s="2">
        <v>454</v>
      </c>
      <c r="U779" s="2">
        <v>0</v>
      </c>
      <c r="W779" s="2">
        <v>3243</v>
      </c>
      <c r="X779" s="2">
        <v>2657</v>
      </c>
      <c r="Y779" s="2">
        <v>2157</v>
      </c>
      <c r="Z779" s="2">
        <v>0</v>
      </c>
      <c r="AA779" s="2">
        <v>0</v>
      </c>
      <c r="AC779" s="2">
        <v>1596</v>
      </c>
      <c r="AD779" s="2">
        <v>1594</v>
      </c>
      <c r="AE779" s="2">
        <v>1141</v>
      </c>
      <c r="AF779" s="2">
        <v>541</v>
      </c>
      <c r="AG779" s="2">
        <v>0</v>
      </c>
      <c r="AI779" s="2">
        <v>-36</v>
      </c>
      <c r="AJ779" s="2">
        <v>0</v>
      </c>
      <c r="AK779" s="2">
        <v>0</v>
      </c>
      <c r="AL779" s="2">
        <v>0</v>
      </c>
      <c r="AM779" s="2">
        <v>0</v>
      </c>
    </row>
    <row r="780" spans="1:39">
      <c r="A780" s="335">
        <v>98221</v>
      </c>
      <c r="B780" s="328" t="s">
        <v>1474</v>
      </c>
      <c r="C780" s="239">
        <v>2.72E-5</v>
      </c>
      <c r="E780" s="2">
        <v>16223</v>
      </c>
      <c r="F780" s="2">
        <v>6485</v>
      </c>
      <c r="G780" s="2">
        <v>9016</v>
      </c>
      <c r="H780" s="2">
        <v>3536</v>
      </c>
      <c r="I780" s="2">
        <v>0</v>
      </c>
      <c r="K780" s="2">
        <v>4075</v>
      </c>
      <c r="L780" s="2">
        <v>3833</v>
      </c>
      <c r="M780" s="2">
        <v>3435</v>
      </c>
      <c r="N780" s="2">
        <v>1376</v>
      </c>
      <c r="O780" s="2">
        <v>0</v>
      </c>
      <c r="Q780" s="2">
        <v>4326</v>
      </c>
      <c r="R780" s="2">
        <v>-3721</v>
      </c>
      <c r="S780" s="2">
        <v>524</v>
      </c>
      <c r="T780" s="2">
        <v>683</v>
      </c>
      <c r="U780" s="2">
        <v>0</v>
      </c>
      <c r="W780" s="2">
        <v>4873</v>
      </c>
      <c r="X780" s="2">
        <v>3992</v>
      </c>
      <c r="Y780" s="2">
        <v>3241</v>
      </c>
      <c r="Z780" s="2">
        <v>0</v>
      </c>
      <c r="AA780" s="2">
        <v>0</v>
      </c>
      <c r="AC780" s="2">
        <v>2949</v>
      </c>
      <c r="AD780" s="2">
        <v>2381</v>
      </c>
      <c r="AE780" s="2">
        <v>1816</v>
      </c>
      <c r="AF780" s="2">
        <v>1477</v>
      </c>
      <c r="AG780" s="2">
        <v>0</v>
      </c>
      <c r="AI780" s="2">
        <v>0</v>
      </c>
      <c r="AJ780" s="2">
        <v>0</v>
      </c>
      <c r="AK780" s="2">
        <v>0</v>
      </c>
      <c r="AL780" s="2">
        <v>0</v>
      </c>
      <c r="AM780" s="2">
        <v>0</v>
      </c>
    </row>
    <row r="781" spans="1:39">
      <c r="A781" s="335">
        <v>98231</v>
      </c>
      <c r="B781" s="328" t="s">
        <v>1475</v>
      </c>
      <c r="C781" s="239">
        <v>3.1699999999999998E-5</v>
      </c>
      <c r="E781" s="2">
        <v>15569</v>
      </c>
      <c r="F781" s="2">
        <v>5398</v>
      </c>
      <c r="G781" s="2">
        <v>10345</v>
      </c>
      <c r="H781" s="2">
        <v>2605</v>
      </c>
      <c r="I781" s="2">
        <v>0</v>
      </c>
      <c r="K781" s="2">
        <v>4749</v>
      </c>
      <c r="L781" s="2">
        <v>4467</v>
      </c>
      <c r="M781" s="2">
        <v>4004</v>
      </c>
      <c r="N781" s="2">
        <v>1603</v>
      </c>
      <c r="O781" s="2">
        <v>0</v>
      </c>
      <c r="Q781" s="2">
        <v>5042</v>
      </c>
      <c r="R781" s="2">
        <v>-4337</v>
      </c>
      <c r="S781" s="2">
        <v>611</v>
      </c>
      <c r="T781" s="2">
        <v>795</v>
      </c>
      <c r="U781" s="2">
        <v>0</v>
      </c>
      <c r="W781" s="2">
        <v>5679</v>
      </c>
      <c r="X781" s="2">
        <v>4653</v>
      </c>
      <c r="Y781" s="2">
        <v>3777</v>
      </c>
      <c r="Z781" s="2">
        <v>0</v>
      </c>
      <c r="AA781" s="2">
        <v>0</v>
      </c>
      <c r="AC781" s="2">
        <v>1953</v>
      </c>
      <c r="AD781" s="2">
        <v>1953</v>
      </c>
      <c r="AE781" s="2">
        <v>1953</v>
      </c>
      <c r="AF781" s="2">
        <v>207</v>
      </c>
      <c r="AG781" s="2">
        <v>0</v>
      </c>
      <c r="AI781" s="2">
        <v>-1854</v>
      </c>
      <c r="AJ781" s="2">
        <v>-1338</v>
      </c>
      <c r="AK781" s="2">
        <v>0</v>
      </c>
      <c r="AL781" s="2">
        <v>0</v>
      </c>
      <c r="AM781" s="2">
        <v>0</v>
      </c>
    </row>
    <row r="782" spans="1:39">
      <c r="A782" s="335">
        <v>98237</v>
      </c>
      <c r="B782" s="328" t="s">
        <v>1476</v>
      </c>
      <c r="C782" s="239">
        <v>6.7000000000000002E-6</v>
      </c>
      <c r="E782" s="2">
        <v>4877</v>
      </c>
      <c r="F782" s="2">
        <v>2346</v>
      </c>
      <c r="G782" s="2">
        <v>2239</v>
      </c>
      <c r="H782" s="2">
        <v>811</v>
      </c>
      <c r="I782" s="2">
        <v>0</v>
      </c>
      <c r="K782" s="2">
        <v>1004</v>
      </c>
      <c r="L782" s="2">
        <v>944</v>
      </c>
      <c r="M782" s="2">
        <v>846</v>
      </c>
      <c r="N782" s="2">
        <v>339</v>
      </c>
      <c r="O782" s="2">
        <v>0</v>
      </c>
      <c r="Q782" s="2">
        <v>1066</v>
      </c>
      <c r="R782" s="2">
        <v>-917</v>
      </c>
      <c r="S782" s="2">
        <v>129</v>
      </c>
      <c r="T782" s="2">
        <v>168</v>
      </c>
      <c r="U782" s="2">
        <v>0</v>
      </c>
      <c r="W782" s="2">
        <v>1200</v>
      </c>
      <c r="X782" s="2">
        <v>983</v>
      </c>
      <c r="Y782" s="2">
        <v>798</v>
      </c>
      <c r="Z782" s="2">
        <v>0</v>
      </c>
      <c r="AA782" s="2">
        <v>0</v>
      </c>
      <c r="AC782" s="2">
        <v>1607</v>
      </c>
      <c r="AD782" s="2">
        <v>1336</v>
      </c>
      <c r="AE782" s="2">
        <v>466</v>
      </c>
      <c r="AF782" s="2">
        <v>304</v>
      </c>
      <c r="AG782" s="2">
        <v>0</v>
      </c>
      <c r="AI782" s="2">
        <v>0</v>
      </c>
      <c r="AJ782" s="2">
        <v>0</v>
      </c>
      <c r="AK782" s="2">
        <v>0</v>
      </c>
      <c r="AL782" s="2">
        <v>0</v>
      </c>
      <c r="AM782" s="2">
        <v>0</v>
      </c>
    </row>
    <row r="783" spans="1:39">
      <c r="A783" s="335">
        <v>98241</v>
      </c>
      <c r="B783" s="328" t="s">
        <v>1477</v>
      </c>
      <c r="C783" s="239">
        <v>1.7799999999999999E-5</v>
      </c>
      <c r="E783" s="2">
        <v>10634</v>
      </c>
      <c r="F783" s="2">
        <v>3548</v>
      </c>
      <c r="G783" s="2">
        <v>6070</v>
      </c>
      <c r="H783" s="2">
        <v>2922</v>
      </c>
      <c r="I783" s="2">
        <v>0</v>
      </c>
      <c r="K783" s="2">
        <v>2667</v>
      </c>
      <c r="L783" s="2">
        <v>2508</v>
      </c>
      <c r="M783" s="2">
        <v>2248</v>
      </c>
      <c r="N783" s="2">
        <v>900</v>
      </c>
      <c r="O783" s="2">
        <v>0</v>
      </c>
      <c r="Q783" s="2">
        <v>2831</v>
      </c>
      <c r="R783" s="2">
        <v>-2435</v>
      </c>
      <c r="S783" s="2">
        <v>343</v>
      </c>
      <c r="T783" s="2">
        <v>447</v>
      </c>
      <c r="U783" s="2">
        <v>0</v>
      </c>
      <c r="W783" s="2">
        <v>3189</v>
      </c>
      <c r="X783" s="2">
        <v>2613</v>
      </c>
      <c r="Y783" s="2">
        <v>2121</v>
      </c>
      <c r="Z783" s="2">
        <v>0</v>
      </c>
      <c r="AA783" s="2">
        <v>0</v>
      </c>
      <c r="AC783" s="2">
        <v>2663</v>
      </c>
      <c r="AD783" s="2">
        <v>1576</v>
      </c>
      <c r="AE783" s="2">
        <v>1576</v>
      </c>
      <c r="AF783" s="2">
        <v>1575</v>
      </c>
      <c r="AG783" s="2">
        <v>0</v>
      </c>
      <c r="AI783" s="2">
        <v>-716</v>
      </c>
      <c r="AJ783" s="2">
        <v>-714</v>
      </c>
      <c r="AK783" s="2">
        <v>-218</v>
      </c>
      <c r="AL783" s="2">
        <v>0</v>
      </c>
      <c r="AM783" s="2">
        <v>0</v>
      </c>
    </row>
    <row r="784" spans="1:39">
      <c r="A784" s="335">
        <v>98251</v>
      </c>
      <c r="B784" s="328" t="s">
        <v>1478</v>
      </c>
      <c r="C784" s="239">
        <v>2.5000000000000002E-6</v>
      </c>
      <c r="E784" s="2">
        <v>1859</v>
      </c>
      <c r="F784" s="2">
        <v>911</v>
      </c>
      <c r="G784" s="2">
        <v>1048</v>
      </c>
      <c r="H784" s="2">
        <v>415</v>
      </c>
      <c r="I784" s="2">
        <v>0</v>
      </c>
      <c r="K784" s="2">
        <v>375</v>
      </c>
      <c r="L784" s="2">
        <v>352</v>
      </c>
      <c r="M784" s="2">
        <v>316</v>
      </c>
      <c r="N784" s="2">
        <v>126</v>
      </c>
      <c r="O784" s="2">
        <v>0</v>
      </c>
      <c r="Q784" s="2">
        <v>398</v>
      </c>
      <c r="R784" s="2">
        <v>-342</v>
      </c>
      <c r="S784" s="2">
        <v>48</v>
      </c>
      <c r="T784" s="2">
        <v>63</v>
      </c>
      <c r="U784" s="2">
        <v>0</v>
      </c>
      <c r="W784" s="2">
        <v>448</v>
      </c>
      <c r="X784" s="2">
        <v>367</v>
      </c>
      <c r="Y784" s="2">
        <v>298</v>
      </c>
      <c r="Z784" s="2">
        <v>0</v>
      </c>
      <c r="AA784" s="2">
        <v>0</v>
      </c>
      <c r="AC784" s="2">
        <v>638</v>
      </c>
      <c r="AD784" s="2">
        <v>534</v>
      </c>
      <c r="AE784" s="2">
        <v>386</v>
      </c>
      <c r="AF784" s="2">
        <v>226</v>
      </c>
      <c r="AG784" s="2">
        <v>0</v>
      </c>
      <c r="AI784" s="2">
        <v>0</v>
      </c>
      <c r="AJ784" s="2">
        <v>0</v>
      </c>
      <c r="AK784" s="2">
        <v>0</v>
      </c>
      <c r="AL784" s="2">
        <v>0</v>
      </c>
      <c r="AM784" s="2">
        <v>0</v>
      </c>
    </row>
    <row r="785" spans="1:39">
      <c r="A785" s="335">
        <v>98261</v>
      </c>
      <c r="B785" s="328" t="s">
        <v>1479</v>
      </c>
      <c r="C785" s="239">
        <v>3.3699999999999999E-5</v>
      </c>
      <c r="E785" s="2">
        <v>16980</v>
      </c>
      <c r="F785" s="2">
        <v>7100</v>
      </c>
      <c r="G785" s="2">
        <v>10026</v>
      </c>
      <c r="H785" s="2">
        <v>3030</v>
      </c>
      <c r="I785" s="2">
        <v>0</v>
      </c>
      <c r="K785" s="2">
        <v>5048</v>
      </c>
      <c r="L785" s="2">
        <v>4749</v>
      </c>
      <c r="M785" s="2">
        <v>4256</v>
      </c>
      <c r="N785" s="2">
        <v>1704</v>
      </c>
      <c r="O785" s="2">
        <v>0</v>
      </c>
      <c r="Q785" s="2">
        <v>5360</v>
      </c>
      <c r="R785" s="2">
        <v>-4610</v>
      </c>
      <c r="S785" s="2">
        <v>650</v>
      </c>
      <c r="T785" s="2">
        <v>846</v>
      </c>
      <c r="U785" s="2">
        <v>0</v>
      </c>
      <c r="W785" s="2">
        <v>6038</v>
      </c>
      <c r="X785" s="2">
        <v>4946</v>
      </c>
      <c r="Y785" s="2">
        <v>4016</v>
      </c>
      <c r="Z785" s="2">
        <v>0</v>
      </c>
      <c r="AA785" s="2">
        <v>0</v>
      </c>
      <c r="AC785" s="2">
        <v>2014</v>
      </c>
      <c r="AD785" s="2">
        <v>2015</v>
      </c>
      <c r="AE785" s="2">
        <v>1104</v>
      </c>
      <c r="AF785" s="2">
        <v>480</v>
      </c>
      <c r="AG785" s="2">
        <v>0</v>
      </c>
      <c r="AI785" s="2">
        <v>-1480</v>
      </c>
      <c r="AJ785" s="2">
        <v>0</v>
      </c>
      <c r="AK785" s="2">
        <v>0</v>
      </c>
      <c r="AL785" s="2">
        <v>0</v>
      </c>
      <c r="AM785" s="2">
        <v>0</v>
      </c>
    </row>
    <row r="786" spans="1:39">
      <c r="A786" s="335">
        <v>98271</v>
      </c>
      <c r="B786" s="328" t="s">
        <v>1480</v>
      </c>
      <c r="C786" s="239">
        <v>5.2000000000000002E-6</v>
      </c>
      <c r="E786" s="2">
        <v>3682</v>
      </c>
      <c r="F786" s="2">
        <v>1581</v>
      </c>
      <c r="G786" s="2">
        <v>2005</v>
      </c>
      <c r="H786" s="2">
        <v>719</v>
      </c>
      <c r="I786" s="2">
        <v>0</v>
      </c>
      <c r="K786" s="2">
        <v>779</v>
      </c>
      <c r="L786" s="2">
        <v>733</v>
      </c>
      <c r="M786" s="2">
        <v>657</v>
      </c>
      <c r="N786" s="2">
        <v>263</v>
      </c>
      <c r="O786" s="2">
        <v>0</v>
      </c>
      <c r="Q786" s="2">
        <v>827</v>
      </c>
      <c r="R786" s="2">
        <v>-711</v>
      </c>
      <c r="S786" s="2">
        <v>100</v>
      </c>
      <c r="T786" s="2">
        <v>130</v>
      </c>
      <c r="U786" s="2">
        <v>0</v>
      </c>
      <c r="W786" s="2">
        <v>932</v>
      </c>
      <c r="X786" s="2">
        <v>763</v>
      </c>
      <c r="Y786" s="2">
        <v>620</v>
      </c>
      <c r="Z786" s="2">
        <v>0</v>
      </c>
      <c r="AA786" s="2">
        <v>0</v>
      </c>
      <c r="AC786" s="2">
        <v>1144</v>
      </c>
      <c r="AD786" s="2">
        <v>796</v>
      </c>
      <c r="AE786" s="2">
        <v>628</v>
      </c>
      <c r="AF786" s="2">
        <v>326</v>
      </c>
      <c r="AG786" s="2">
        <v>0</v>
      </c>
      <c r="AI786" s="2">
        <v>0</v>
      </c>
      <c r="AJ786" s="2">
        <v>0</v>
      </c>
      <c r="AK786" s="2">
        <v>0</v>
      </c>
      <c r="AL786" s="2">
        <v>0</v>
      </c>
      <c r="AM786" s="2">
        <v>0</v>
      </c>
    </row>
    <row r="787" spans="1:39">
      <c r="A787" s="335">
        <v>98301</v>
      </c>
      <c r="B787" s="328" t="s">
        <v>1481</v>
      </c>
      <c r="C787" s="239">
        <v>1.7742000000000001E-3</v>
      </c>
      <c r="E787" s="2">
        <v>891955</v>
      </c>
      <c r="F787" s="2">
        <v>289376</v>
      </c>
      <c r="G787" s="2">
        <v>491201</v>
      </c>
      <c r="H787" s="2">
        <v>148132</v>
      </c>
      <c r="I787" s="2">
        <v>0</v>
      </c>
      <c r="K787" s="2">
        <v>265788</v>
      </c>
      <c r="L787" s="2">
        <v>250020</v>
      </c>
      <c r="M787" s="2">
        <v>224090</v>
      </c>
      <c r="N787" s="2">
        <v>89723</v>
      </c>
      <c r="O787" s="2">
        <v>0</v>
      </c>
      <c r="Q787" s="2">
        <v>282171</v>
      </c>
      <c r="R787" s="2">
        <v>-242719</v>
      </c>
      <c r="S787" s="2">
        <v>34208</v>
      </c>
      <c r="T787" s="2">
        <v>44522</v>
      </c>
      <c r="U787" s="2">
        <v>0</v>
      </c>
      <c r="W787" s="2">
        <v>317869</v>
      </c>
      <c r="X787" s="2">
        <v>260410</v>
      </c>
      <c r="Y787" s="2">
        <v>211408</v>
      </c>
      <c r="Z787" s="2">
        <v>0</v>
      </c>
      <c r="AA787" s="2">
        <v>0</v>
      </c>
      <c r="AC787" s="2">
        <v>26127</v>
      </c>
      <c r="AD787" s="2">
        <v>21665</v>
      </c>
      <c r="AE787" s="2">
        <v>21495</v>
      </c>
      <c r="AF787" s="2">
        <v>13887</v>
      </c>
      <c r="AG787" s="2">
        <v>0</v>
      </c>
      <c r="AI787" s="2">
        <v>0</v>
      </c>
      <c r="AJ787" s="2">
        <v>0</v>
      </c>
      <c r="AK787" s="2">
        <v>0</v>
      </c>
      <c r="AL787" s="2">
        <v>0</v>
      </c>
      <c r="AM787" s="2">
        <v>0</v>
      </c>
    </row>
    <row r="788" spans="1:39">
      <c r="A788" s="335">
        <v>98304</v>
      </c>
      <c r="B788" s="328" t="s">
        <v>1482</v>
      </c>
      <c r="C788" s="239">
        <v>2.0699999999999998E-5</v>
      </c>
      <c r="E788" s="2">
        <v>12438</v>
      </c>
      <c r="F788" s="2">
        <v>5303</v>
      </c>
      <c r="G788" s="2">
        <v>7357</v>
      </c>
      <c r="H788" s="2">
        <v>2845</v>
      </c>
      <c r="I788" s="2">
        <v>0</v>
      </c>
      <c r="K788" s="2">
        <v>3101</v>
      </c>
      <c r="L788" s="2">
        <v>2917</v>
      </c>
      <c r="M788" s="2">
        <v>2615</v>
      </c>
      <c r="N788" s="2">
        <v>1047</v>
      </c>
      <c r="O788" s="2">
        <v>0</v>
      </c>
      <c r="Q788" s="2">
        <v>3292</v>
      </c>
      <c r="R788" s="2">
        <v>-2832</v>
      </c>
      <c r="S788" s="2">
        <v>399</v>
      </c>
      <c r="T788" s="2">
        <v>519</v>
      </c>
      <c r="U788" s="2">
        <v>0</v>
      </c>
      <c r="W788" s="2">
        <v>3709</v>
      </c>
      <c r="X788" s="2">
        <v>3038</v>
      </c>
      <c r="Y788" s="2">
        <v>2467</v>
      </c>
      <c r="Z788" s="2">
        <v>0</v>
      </c>
      <c r="AA788" s="2">
        <v>0</v>
      </c>
      <c r="AC788" s="2">
        <v>2336</v>
      </c>
      <c r="AD788" s="2">
        <v>2180</v>
      </c>
      <c r="AE788" s="2">
        <v>1876</v>
      </c>
      <c r="AF788" s="2">
        <v>1279</v>
      </c>
      <c r="AG788" s="2">
        <v>0</v>
      </c>
      <c r="AI788" s="2">
        <v>0</v>
      </c>
      <c r="AJ788" s="2">
        <v>0</v>
      </c>
      <c r="AK788" s="2">
        <v>0</v>
      </c>
      <c r="AL788" s="2">
        <v>0</v>
      </c>
      <c r="AM788" s="2">
        <v>0</v>
      </c>
    </row>
    <row r="789" spans="1:39">
      <c r="A789" s="335">
        <v>98308</v>
      </c>
      <c r="B789" s="328" t="s">
        <v>1483</v>
      </c>
      <c r="C789" s="239">
        <v>1.6099999999999998E-5</v>
      </c>
      <c r="E789" s="2">
        <v>10177</v>
      </c>
      <c r="F789" s="2">
        <v>4090</v>
      </c>
      <c r="G789" s="2">
        <v>5331</v>
      </c>
      <c r="H789" s="2">
        <v>1404</v>
      </c>
      <c r="I789" s="2">
        <v>0</v>
      </c>
      <c r="K789" s="2">
        <v>2412</v>
      </c>
      <c r="L789" s="2">
        <v>2269</v>
      </c>
      <c r="M789" s="2">
        <v>2034</v>
      </c>
      <c r="N789" s="2">
        <v>814</v>
      </c>
      <c r="O789" s="2">
        <v>0</v>
      </c>
      <c r="Q789" s="2">
        <v>2561</v>
      </c>
      <c r="R789" s="2">
        <v>-2203</v>
      </c>
      <c r="S789" s="2">
        <v>310</v>
      </c>
      <c r="T789" s="2">
        <v>404</v>
      </c>
      <c r="U789" s="2">
        <v>0</v>
      </c>
      <c r="W789" s="2">
        <v>2885</v>
      </c>
      <c r="X789" s="2">
        <v>2363</v>
      </c>
      <c r="Y789" s="2">
        <v>1918</v>
      </c>
      <c r="Z789" s="2">
        <v>0</v>
      </c>
      <c r="AA789" s="2">
        <v>0</v>
      </c>
      <c r="AC789" s="2">
        <v>2319</v>
      </c>
      <c r="AD789" s="2">
        <v>1661</v>
      </c>
      <c r="AE789" s="2">
        <v>1069</v>
      </c>
      <c r="AF789" s="2">
        <v>186</v>
      </c>
      <c r="AG789" s="2">
        <v>0</v>
      </c>
      <c r="AI789" s="2">
        <v>0</v>
      </c>
      <c r="AJ789" s="2">
        <v>0</v>
      </c>
      <c r="AK789" s="2">
        <v>0</v>
      </c>
      <c r="AL789" s="2">
        <v>0</v>
      </c>
      <c r="AM789" s="2">
        <v>0</v>
      </c>
    </row>
    <row r="790" spans="1:39">
      <c r="A790" s="335">
        <v>98311</v>
      </c>
      <c r="B790" s="328" t="s">
        <v>1484</v>
      </c>
      <c r="C790" s="239">
        <v>1.1073999999999999E-3</v>
      </c>
      <c r="E790" s="2">
        <v>492808</v>
      </c>
      <c r="F790" s="2">
        <v>132653</v>
      </c>
      <c r="G790" s="2">
        <v>270631</v>
      </c>
      <c r="H790" s="2">
        <v>82601</v>
      </c>
      <c r="I790" s="2">
        <v>0</v>
      </c>
      <c r="K790" s="2">
        <v>165896</v>
      </c>
      <c r="L790" s="2">
        <v>156055</v>
      </c>
      <c r="M790" s="2">
        <v>139870</v>
      </c>
      <c r="N790" s="2">
        <v>56002</v>
      </c>
      <c r="O790" s="2">
        <v>0</v>
      </c>
      <c r="Q790" s="2">
        <v>176122</v>
      </c>
      <c r="R790" s="2">
        <v>-151498</v>
      </c>
      <c r="S790" s="2">
        <v>21352</v>
      </c>
      <c r="T790" s="2">
        <v>27789</v>
      </c>
      <c r="U790" s="2">
        <v>0</v>
      </c>
      <c r="W790" s="2">
        <v>198404</v>
      </c>
      <c r="X790" s="2">
        <v>162540</v>
      </c>
      <c r="Y790" s="2">
        <v>131954</v>
      </c>
      <c r="Z790" s="2">
        <v>0</v>
      </c>
      <c r="AA790" s="2">
        <v>0</v>
      </c>
      <c r="AC790" s="2">
        <v>0</v>
      </c>
      <c r="AD790" s="2">
        <v>0</v>
      </c>
      <c r="AE790" s="2">
        <v>0</v>
      </c>
      <c r="AF790" s="2">
        <v>0</v>
      </c>
      <c r="AG790" s="2">
        <v>0</v>
      </c>
      <c r="AI790" s="2">
        <v>-47614</v>
      </c>
      <c r="AJ790" s="2">
        <v>-34444</v>
      </c>
      <c r="AK790" s="2">
        <v>-22545</v>
      </c>
      <c r="AL790" s="2">
        <v>-1190</v>
      </c>
      <c r="AM790" s="2">
        <v>0</v>
      </c>
    </row>
    <row r="791" spans="1:39">
      <c r="A791" s="335">
        <v>98313</v>
      </c>
      <c r="B791" s="328" t="s">
        <v>1485</v>
      </c>
      <c r="C791" s="239">
        <v>2.1000000000000001E-4</v>
      </c>
      <c r="E791" s="2">
        <v>210568</v>
      </c>
      <c r="F791" s="2">
        <v>116440</v>
      </c>
      <c r="G791" s="2">
        <v>111291</v>
      </c>
      <c r="H791" s="2">
        <v>39564</v>
      </c>
      <c r="I791" s="2">
        <v>0</v>
      </c>
      <c r="K791" s="2">
        <v>31459</v>
      </c>
      <c r="L791" s="2">
        <v>29593</v>
      </c>
      <c r="M791" s="2">
        <v>26524</v>
      </c>
      <c r="N791" s="2">
        <v>10620</v>
      </c>
      <c r="O791" s="2">
        <v>0</v>
      </c>
      <c r="Q791" s="2">
        <v>33399</v>
      </c>
      <c r="R791" s="2">
        <v>-28729</v>
      </c>
      <c r="S791" s="2">
        <v>4049</v>
      </c>
      <c r="T791" s="2">
        <v>5270</v>
      </c>
      <c r="U791" s="2">
        <v>0</v>
      </c>
      <c r="W791" s="2">
        <v>37624</v>
      </c>
      <c r="X791" s="2">
        <v>30823</v>
      </c>
      <c r="Y791" s="2">
        <v>25023</v>
      </c>
      <c r="Z791" s="2">
        <v>0</v>
      </c>
      <c r="AA791" s="2">
        <v>0</v>
      </c>
      <c r="AC791" s="2">
        <v>108086</v>
      </c>
      <c r="AD791" s="2">
        <v>84753</v>
      </c>
      <c r="AE791" s="2">
        <v>55695</v>
      </c>
      <c r="AF791" s="2">
        <v>23674</v>
      </c>
      <c r="AG791" s="2">
        <v>0</v>
      </c>
      <c r="AI791" s="2">
        <v>0</v>
      </c>
      <c r="AJ791" s="2">
        <v>0</v>
      </c>
      <c r="AK791" s="2">
        <v>0</v>
      </c>
      <c r="AL791" s="2">
        <v>0</v>
      </c>
      <c r="AM791" s="2">
        <v>0</v>
      </c>
    </row>
    <row r="792" spans="1:39">
      <c r="A792" s="335">
        <v>98321</v>
      </c>
      <c r="B792" s="328" t="s">
        <v>1486</v>
      </c>
      <c r="C792" s="239">
        <v>1.6900000000000001E-5</v>
      </c>
      <c r="E792" s="2">
        <v>7236</v>
      </c>
      <c r="F792" s="2">
        <v>2388</v>
      </c>
      <c r="G792" s="2">
        <v>4292</v>
      </c>
      <c r="H792" s="2">
        <v>1096</v>
      </c>
      <c r="I792" s="2">
        <v>0</v>
      </c>
      <c r="K792" s="2">
        <v>2532</v>
      </c>
      <c r="L792" s="2">
        <v>2382</v>
      </c>
      <c r="M792" s="2">
        <v>2135</v>
      </c>
      <c r="N792" s="2">
        <v>855</v>
      </c>
      <c r="O792" s="2">
        <v>0</v>
      </c>
      <c r="Q792" s="2">
        <v>2688</v>
      </c>
      <c r="R792" s="2">
        <v>-2312</v>
      </c>
      <c r="S792" s="2">
        <v>326</v>
      </c>
      <c r="T792" s="2">
        <v>424</v>
      </c>
      <c r="U792" s="2">
        <v>0</v>
      </c>
      <c r="W792" s="2">
        <v>3028</v>
      </c>
      <c r="X792" s="2">
        <v>2481</v>
      </c>
      <c r="Y792" s="2">
        <v>2014</v>
      </c>
      <c r="Z792" s="2">
        <v>0</v>
      </c>
      <c r="AA792" s="2">
        <v>0</v>
      </c>
      <c r="AC792" s="2">
        <v>21</v>
      </c>
      <c r="AD792" s="2">
        <v>21</v>
      </c>
      <c r="AE792" s="2">
        <v>0</v>
      </c>
      <c r="AF792" s="2">
        <v>0</v>
      </c>
      <c r="AG792" s="2">
        <v>0</v>
      </c>
      <c r="AI792" s="2">
        <v>-1033</v>
      </c>
      <c r="AJ792" s="2">
        <v>-184</v>
      </c>
      <c r="AK792" s="2">
        <v>-183</v>
      </c>
      <c r="AL792" s="2">
        <v>-183</v>
      </c>
      <c r="AM792" s="2">
        <v>0</v>
      </c>
    </row>
    <row r="793" spans="1:39">
      <c r="A793" s="335">
        <v>98331</v>
      </c>
      <c r="B793" s="328" t="s">
        <v>1487</v>
      </c>
      <c r="C793" s="239">
        <v>8.3999999999999992E-6</v>
      </c>
      <c r="E793" s="2">
        <v>5366</v>
      </c>
      <c r="F793" s="2">
        <v>2177</v>
      </c>
      <c r="G793" s="2">
        <v>2862</v>
      </c>
      <c r="H793" s="2">
        <v>938</v>
      </c>
      <c r="I793" s="2">
        <v>0</v>
      </c>
      <c r="K793" s="2">
        <v>1258</v>
      </c>
      <c r="L793" s="2">
        <v>1184</v>
      </c>
      <c r="M793" s="2">
        <v>1061</v>
      </c>
      <c r="N793" s="2">
        <v>425</v>
      </c>
      <c r="O793" s="2">
        <v>0</v>
      </c>
      <c r="Q793" s="2">
        <v>1336</v>
      </c>
      <c r="R793" s="2">
        <v>-1149</v>
      </c>
      <c r="S793" s="2">
        <v>162</v>
      </c>
      <c r="T793" s="2">
        <v>211</v>
      </c>
      <c r="U793" s="2">
        <v>0</v>
      </c>
      <c r="W793" s="2">
        <v>1505</v>
      </c>
      <c r="X793" s="2">
        <v>1233</v>
      </c>
      <c r="Y793" s="2">
        <v>1001</v>
      </c>
      <c r="Z793" s="2">
        <v>0</v>
      </c>
      <c r="AA793" s="2">
        <v>0</v>
      </c>
      <c r="AC793" s="2">
        <v>1267</v>
      </c>
      <c r="AD793" s="2">
        <v>909</v>
      </c>
      <c r="AE793" s="2">
        <v>638</v>
      </c>
      <c r="AF793" s="2">
        <v>302</v>
      </c>
      <c r="AG793" s="2">
        <v>0</v>
      </c>
      <c r="AI793" s="2">
        <v>0</v>
      </c>
      <c r="AJ793" s="2">
        <v>0</v>
      </c>
      <c r="AK793" s="2">
        <v>0</v>
      </c>
      <c r="AL793" s="2">
        <v>0</v>
      </c>
      <c r="AM793" s="2">
        <v>0</v>
      </c>
    </row>
    <row r="794" spans="1:39">
      <c r="A794" s="335">
        <v>98401</v>
      </c>
      <c r="B794" s="328" t="s">
        <v>1488</v>
      </c>
      <c r="C794" s="239">
        <v>2.9618000000000001E-3</v>
      </c>
      <c r="E794" s="2">
        <v>1551265</v>
      </c>
      <c r="F794" s="2">
        <v>554680</v>
      </c>
      <c r="G794" s="2">
        <v>864482</v>
      </c>
      <c r="H794" s="2">
        <v>281668</v>
      </c>
      <c r="I794" s="2">
        <v>0</v>
      </c>
      <c r="K794" s="2">
        <v>443698</v>
      </c>
      <c r="L794" s="2">
        <v>417377</v>
      </c>
      <c r="M794" s="2">
        <v>374090</v>
      </c>
      <c r="N794" s="2">
        <v>149781</v>
      </c>
      <c r="O794" s="2">
        <v>0</v>
      </c>
      <c r="Q794" s="2">
        <v>471048</v>
      </c>
      <c r="R794" s="2">
        <v>-405189</v>
      </c>
      <c r="S794" s="2">
        <v>57106</v>
      </c>
      <c r="T794" s="2">
        <v>74323</v>
      </c>
      <c r="U794" s="2">
        <v>0</v>
      </c>
      <c r="W794" s="2">
        <v>530642</v>
      </c>
      <c r="X794" s="2">
        <v>434721</v>
      </c>
      <c r="Y794" s="2">
        <v>352919</v>
      </c>
      <c r="Z794" s="2">
        <v>0</v>
      </c>
      <c r="AA794" s="2">
        <v>0</v>
      </c>
      <c r="AC794" s="2">
        <v>107770</v>
      </c>
      <c r="AD794" s="2">
        <v>107771</v>
      </c>
      <c r="AE794" s="2">
        <v>80367</v>
      </c>
      <c r="AF794" s="2">
        <v>57564</v>
      </c>
      <c r="AG794" s="2">
        <v>0</v>
      </c>
      <c r="AI794" s="2">
        <v>-1893</v>
      </c>
      <c r="AJ794" s="2">
        <v>0</v>
      </c>
      <c r="AK794" s="2">
        <v>0</v>
      </c>
      <c r="AL794" s="2">
        <v>0</v>
      </c>
      <c r="AM794" s="2">
        <v>0</v>
      </c>
    </row>
    <row r="795" spans="1:39">
      <c r="A795" s="335">
        <v>98404</v>
      </c>
      <c r="B795" s="328" t="s">
        <v>1489</v>
      </c>
      <c r="C795" s="239">
        <v>1.43E-5</v>
      </c>
      <c r="E795" s="2">
        <v>9397</v>
      </c>
      <c r="F795" s="2">
        <v>4575</v>
      </c>
      <c r="G795" s="2">
        <v>3881</v>
      </c>
      <c r="H795" s="2">
        <v>998</v>
      </c>
      <c r="I795" s="2">
        <v>0</v>
      </c>
      <c r="K795" s="2">
        <v>2142</v>
      </c>
      <c r="L795" s="2">
        <v>2015</v>
      </c>
      <c r="M795" s="2">
        <v>1806</v>
      </c>
      <c r="N795" s="2">
        <v>723</v>
      </c>
      <c r="O795" s="2">
        <v>0</v>
      </c>
      <c r="Q795" s="2">
        <v>2274</v>
      </c>
      <c r="R795" s="2">
        <v>-1956</v>
      </c>
      <c r="S795" s="2">
        <v>276</v>
      </c>
      <c r="T795" s="2">
        <v>359</v>
      </c>
      <c r="U795" s="2">
        <v>0</v>
      </c>
      <c r="W795" s="2">
        <v>2562</v>
      </c>
      <c r="X795" s="2">
        <v>2099</v>
      </c>
      <c r="Y795" s="2">
        <v>1704</v>
      </c>
      <c r="Z795" s="2">
        <v>0</v>
      </c>
      <c r="AA795" s="2">
        <v>0</v>
      </c>
      <c r="AC795" s="2">
        <v>2503</v>
      </c>
      <c r="AD795" s="2">
        <v>2501</v>
      </c>
      <c r="AE795" s="2">
        <v>179</v>
      </c>
      <c r="AF795" s="2">
        <v>0</v>
      </c>
      <c r="AG795" s="2">
        <v>0</v>
      </c>
      <c r="AI795" s="2">
        <v>-84</v>
      </c>
      <c r="AJ795" s="2">
        <v>-84</v>
      </c>
      <c r="AK795" s="2">
        <v>-84</v>
      </c>
      <c r="AL795" s="2">
        <v>-84</v>
      </c>
      <c r="AM795" s="2">
        <v>0</v>
      </c>
    </row>
    <row r="796" spans="1:39">
      <c r="A796" s="335">
        <v>98411</v>
      </c>
      <c r="B796" s="328" t="s">
        <v>1490</v>
      </c>
      <c r="C796" s="239">
        <v>1.9082000000000001E-3</v>
      </c>
      <c r="E796" s="2">
        <v>879015</v>
      </c>
      <c r="F796" s="2">
        <v>239619</v>
      </c>
      <c r="G796" s="2">
        <v>469196</v>
      </c>
      <c r="H796" s="2">
        <v>124874</v>
      </c>
      <c r="I796" s="2">
        <v>0</v>
      </c>
      <c r="K796" s="2">
        <v>285862</v>
      </c>
      <c r="L796" s="2">
        <v>268904</v>
      </c>
      <c r="M796" s="2">
        <v>241015</v>
      </c>
      <c r="N796" s="2">
        <v>96500</v>
      </c>
      <c r="O796" s="2">
        <v>0</v>
      </c>
      <c r="Q796" s="2">
        <v>303482</v>
      </c>
      <c r="R796" s="2">
        <v>-261051</v>
      </c>
      <c r="S796" s="2">
        <v>36792</v>
      </c>
      <c r="T796" s="2">
        <v>47884</v>
      </c>
      <c r="U796" s="2">
        <v>0</v>
      </c>
      <c r="W796" s="2">
        <v>341877</v>
      </c>
      <c r="X796" s="2">
        <v>280078</v>
      </c>
      <c r="Y796" s="2">
        <v>227375</v>
      </c>
      <c r="Z796" s="2">
        <v>0</v>
      </c>
      <c r="AA796" s="2">
        <v>0</v>
      </c>
      <c r="AC796" s="2">
        <v>0</v>
      </c>
      <c r="AD796" s="2">
        <v>0</v>
      </c>
      <c r="AE796" s="2">
        <v>0</v>
      </c>
      <c r="AF796" s="2">
        <v>0</v>
      </c>
      <c r="AG796" s="2">
        <v>0</v>
      </c>
      <c r="AI796" s="2">
        <v>-52206</v>
      </c>
      <c r="AJ796" s="2">
        <v>-48312</v>
      </c>
      <c r="AK796" s="2">
        <v>-35986</v>
      </c>
      <c r="AL796" s="2">
        <v>-19510</v>
      </c>
      <c r="AM796" s="2">
        <v>0</v>
      </c>
    </row>
    <row r="797" spans="1:39">
      <c r="A797" s="335">
        <v>98417</v>
      </c>
      <c r="B797" s="328" t="s">
        <v>1492</v>
      </c>
      <c r="C797" s="239">
        <v>2.23E-5</v>
      </c>
      <c r="E797" s="2">
        <v>13569</v>
      </c>
      <c r="F797" s="2">
        <v>5792</v>
      </c>
      <c r="G797" s="2">
        <v>7944</v>
      </c>
      <c r="H797" s="2">
        <v>2994</v>
      </c>
      <c r="I797" s="2">
        <v>0</v>
      </c>
      <c r="K797" s="2">
        <v>3341</v>
      </c>
      <c r="L797" s="2">
        <v>3143</v>
      </c>
      <c r="M797" s="2">
        <v>2817</v>
      </c>
      <c r="N797" s="2">
        <v>1128</v>
      </c>
      <c r="O797" s="2">
        <v>0</v>
      </c>
      <c r="Q797" s="2">
        <v>3547</v>
      </c>
      <c r="R797" s="2">
        <v>-3051</v>
      </c>
      <c r="S797" s="2">
        <v>430</v>
      </c>
      <c r="T797" s="2">
        <v>560</v>
      </c>
      <c r="U797" s="2">
        <v>0</v>
      </c>
      <c r="W797" s="2">
        <v>3995</v>
      </c>
      <c r="X797" s="2">
        <v>3273</v>
      </c>
      <c r="Y797" s="2">
        <v>2657</v>
      </c>
      <c r="Z797" s="2">
        <v>0</v>
      </c>
      <c r="AA797" s="2">
        <v>0</v>
      </c>
      <c r="AC797" s="2">
        <v>2686</v>
      </c>
      <c r="AD797" s="2">
        <v>2427</v>
      </c>
      <c r="AE797" s="2">
        <v>2040</v>
      </c>
      <c r="AF797" s="2">
        <v>1306</v>
      </c>
      <c r="AG797" s="2">
        <v>0</v>
      </c>
      <c r="AI797" s="2">
        <v>0</v>
      </c>
      <c r="AJ797" s="2">
        <v>0</v>
      </c>
      <c r="AK797" s="2">
        <v>0</v>
      </c>
      <c r="AL797" s="2">
        <v>0</v>
      </c>
      <c r="AM797" s="2">
        <v>0</v>
      </c>
    </row>
    <row r="798" spans="1:39">
      <c r="A798" s="335">
        <v>98421</v>
      </c>
      <c r="B798" s="328" t="s">
        <v>1493</v>
      </c>
      <c r="C798" s="239">
        <v>1.121E-4</v>
      </c>
      <c r="E798" s="2">
        <v>56080</v>
      </c>
      <c r="F798" s="2">
        <v>18194</v>
      </c>
      <c r="G798" s="2">
        <v>33979</v>
      </c>
      <c r="H798" s="2">
        <v>8902</v>
      </c>
      <c r="I798" s="2">
        <v>0</v>
      </c>
      <c r="K798" s="2">
        <v>16793</v>
      </c>
      <c r="L798" s="2">
        <v>15797</v>
      </c>
      <c r="M798" s="2">
        <v>14159</v>
      </c>
      <c r="N798" s="2">
        <v>5669</v>
      </c>
      <c r="O798" s="2">
        <v>0</v>
      </c>
      <c r="Q798" s="2">
        <v>17828</v>
      </c>
      <c r="R798" s="2">
        <v>-15336</v>
      </c>
      <c r="S798" s="2">
        <v>2161</v>
      </c>
      <c r="T798" s="2">
        <v>2813</v>
      </c>
      <c r="U798" s="2">
        <v>0</v>
      </c>
      <c r="W798" s="2">
        <v>20084</v>
      </c>
      <c r="X798" s="2">
        <v>16454</v>
      </c>
      <c r="Y798" s="2">
        <v>13357</v>
      </c>
      <c r="Z798" s="2">
        <v>0</v>
      </c>
      <c r="AA798" s="2">
        <v>0</v>
      </c>
      <c r="AC798" s="2">
        <v>4397</v>
      </c>
      <c r="AD798" s="2">
        <v>4300</v>
      </c>
      <c r="AE798" s="2">
        <v>4302</v>
      </c>
      <c r="AF798" s="2">
        <v>420</v>
      </c>
      <c r="AG798" s="2">
        <v>0</v>
      </c>
      <c r="AI798" s="2">
        <v>-3022</v>
      </c>
      <c r="AJ798" s="2">
        <v>-3021</v>
      </c>
      <c r="AK798" s="2">
        <v>0</v>
      </c>
      <c r="AL798" s="2">
        <v>0</v>
      </c>
      <c r="AM798" s="2">
        <v>0</v>
      </c>
    </row>
    <row r="799" spans="1:39">
      <c r="A799" s="335">
        <v>98427</v>
      </c>
      <c r="B799" s="328" t="s">
        <v>2799</v>
      </c>
      <c r="C799" s="239">
        <v>3.1E-6</v>
      </c>
      <c r="E799" s="2">
        <v>2371</v>
      </c>
      <c r="F799" s="2">
        <v>1219</v>
      </c>
      <c r="G799" s="2">
        <v>1391</v>
      </c>
      <c r="H799" s="2">
        <v>587</v>
      </c>
      <c r="I799" s="2">
        <v>0</v>
      </c>
      <c r="K799" s="2">
        <v>464</v>
      </c>
      <c r="L799" s="2">
        <v>437</v>
      </c>
      <c r="M799" s="2">
        <v>392</v>
      </c>
      <c r="N799" s="2">
        <v>157</v>
      </c>
      <c r="O799" s="2">
        <v>0</v>
      </c>
      <c r="Q799" s="2">
        <v>493</v>
      </c>
      <c r="R799" s="2">
        <v>-424</v>
      </c>
      <c r="S799" s="2">
        <v>60</v>
      </c>
      <c r="T799" s="2">
        <v>78</v>
      </c>
      <c r="U799" s="2">
        <v>0</v>
      </c>
      <c r="W799" s="2">
        <v>555</v>
      </c>
      <c r="X799" s="2">
        <v>455</v>
      </c>
      <c r="Y799" s="2">
        <v>369</v>
      </c>
      <c r="Z799" s="2">
        <v>0</v>
      </c>
      <c r="AA799" s="2">
        <v>0</v>
      </c>
      <c r="AC799" s="2">
        <v>859</v>
      </c>
      <c r="AD799" s="2">
        <v>751</v>
      </c>
      <c r="AE799" s="2">
        <v>570</v>
      </c>
      <c r="AF799" s="2">
        <v>352</v>
      </c>
      <c r="AG799" s="2">
        <v>0</v>
      </c>
      <c r="AI799" s="2">
        <v>0</v>
      </c>
      <c r="AJ799" s="2">
        <v>0</v>
      </c>
      <c r="AK799" s="2">
        <v>0</v>
      </c>
      <c r="AL799" s="2">
        <v>0</v>
      </c>
      <c r="AM799" s="2">
        <v>0</v>
      </c>
    </row>
    <row r="800" spans="1:39">
      <c r="A800" s="335">
        <v>98431</v>
      </c>
      <c r="B800" s="328" t="s">
        <v>1495</v>
      </c>
      <c r="C800" s="239">
        <v>1.997E-4</v>
      </c>
      <c r="E800" s="2">
        <v>86312</v>
      </c>
      <c r="F800" s="2">
        <v>22120</v>
      </c>
      <c r="G800" s="2">
        <v>47093</v>
      </c>
      <c r="H800" s="2">
        <v>13718</v>
      </c>
      <c r="I800" s="2">
        <v>0</v>
      </c>
      <c r="K800" s="2">
        <v>29916</v>
      </c>
      <c r="L800" s="2">
        <v>28142</v>
      </c>
      <c r="M800" s="2">
        <v>25223</v>
      </c>
      <c r="N800" s="2">
        <v>10099</v>
      </c>
      <c r="O800" s="2">
        <v>0</v>
      </c>
      <c r="Q800" s="2">
        <v>31760</v>
      </c>
      <c r="R800" s="2">
        <v>-27320</v>
      </c>
      <c r="S800" s="2">
        <v>3850</v>
      </c>
      <c r="T800" s="2">
        <v>5011</v>
      </c>
      <c r="U800" s="2">
        <v>0</v>
      </c>
      <c r="W800" s="2">
        <v>35779</v>
      </c>
      <c r="X800" s="2">
        <v>29311</v>
      </c>
      <c r="Y800" s="2">
        <v>23796</v>
      </c>
      <c r="Z800" s="2">
        <v>0</v>
      </c>
      <c r="AA800" s="2">
        <v>0</v>
      </c>
      <c r="AC800" s="2">
        <v>0</v>
      </c>
      <c r="AD800" s="2">
        <v>0</v>
      </c>
      <c r="AE800" s="2">
        <v>0</v>
      </c>
      <c r="AF800" s="2">
        <v>0</v>
      </c>
      <c r="AG800" s="2">
        <v>0</v>
      </c>
      <c r="AI800" s="2">
        <v>-11143</v>
      </c>
      <c r="AJ800" s="2">
        <v>-8013</v>
      </c>
      <c r="AK800" s="2">
        <v>-5776</v>
      </c>
      <c r="AL800" s="2">
        <v>-1392</v>
      </c>
      <c r="AM800" s="2">
        <v>0</v>
      </c>
    </row>
    <row r="801" spans="1:39">
      <c r="A801" s="335">
        <v>98441</v>
      </c>
      <c r="B801" s="328" t="s">
        <v>1496</v>
      </c>
      <c r="C801" s="239">
        <v>1.0230000000000001E-4</v>
      </c>
      <c r="E801" s="2">
        <v>46448</v>
      </c>
      <c r="F801" s="2">
        <v>14172</v>
      </c>
      <c r="G801" s="2">
        <v>27689</v>
      </c>
      <c r="H801" s="2">
        <v>5329</v>
      </c>
      <c r="I801" s="2">
        <v>0</v>
      </c>
      <c r="K801" s="2">
        <v>15325</v>
      </c>
      <c r="L801" s="2">
        <v>14416</v>
      </c>
      <c r="M801" s="2">
        <v>12921</v>
      </c>
      <c r="N801" s="2">
        <v>5173</v>
      </c>
      <c r="O801" s="2">
        <v>0</v>
      </c>
      <c r="Q801" s="2">
        <v>16270</v>
      </c>
      <c r="R801" s="2">
        <v>-13995</v>
      </c>
      <c r="S801" s="2">
        <v>1972</v>
      </c>
      <c r="T801" s="2">
        <v>2567</v>
      </c>
      <c r="U801" s="2">
        <v>0</v>
      </c>
      <c r="W801" s="2">
        <v>18328</v>
      </c>
      <c r="X801" s="2">
        <v>15015</v>
      </c>
      <c r="Y801" s="2">
        <v>12190</v>
      </c>
      <c r="Z801" s="2">
        <v>0</v>
      </c>
      <c r="AA801" s="2">
        <v>0</v>
      </c>
      <c r="AC801" s="2">
        <v>3018</v>
      </c>
      <c r="AD801" s="2">
        <v>3018</v>
      </c>
      <c r="AE801" s="2">
        <v>3018</v>
      </c>
      <c r="AF801" s="2">
        <v>0</v>
      </c>
      <c r="AG801" s="2">
        <v>0</v>
      </c>
      <c r="AI801" s="2">
        <v>-6493</v>
      </c>
      <c r="AJ801" s="2">
        <v>-4282</v>
      </c>
      <c r="AK801" s="2">
        <v>-2412</v>
      </c>
      <c r="AL801" s="2">
        <v>-2411</v>
      </c>
      <c r="AM801" s="2">
        <v>0</v>
      </c>
    </row>
    <row r="802" spans="1:39">
      <c r="A802" s="335">
        <v>98451</v>
      </c>
      <c r="B802" s="328" t="s">
        <v>1497</v>
      </c>
      <c r="C802" s="239">
        <v>4.6100000000000002E-5</v>
      </c>
      <c r="E802" s="2">
        <v>21454</v>
      </c>
      <c r="F802" s="2">
        <v>6218</v>
      </c>
      <c r="G802" s="2">
        <v>11342</v>
      </c>
      <c r="H802" s="2">
        <v>3529</v>
      </c>
      <c r="I802" s="2">
        <v>0</v>
      </c>
      <c r="K802" s="2">
        <v>6906</v>
      </c>
      <c r="L802" s="2">
        <v>6496</v>
      </c>
      <c r="M802" s="2">
        <v>5823</v>
      </c>
      <c r="N802" s="2">
        <v>2331</v>
      </c>
      <c r="O802" s="2">
        <v>0</v>
      </c>
      <c r="Q802" s="2">
        <v>7332</v>
      </c>
      <c r="R802" s="2">
        <v>-6307</v>
      </c>
      <c r="S802" s="2">
        <v>889</v>
      </c>
      <c r="T802" s="2">
        <v>1157</v>
      </c>
      <c r="U802" s="2">
        <v>0</v>
      </c>
      <c r="W802" s="2">
        <v>8259</v>
      </c>
      <c r="X802" s="2">
        <v>6766</v>
      </c>
      <c r="Y802" s="2">
        <v>5493</v>
      </c>
      <c r="Z802" s="2">
        <v>0</v>
      </c>
      <c r="AA802" s="2">
        <v>0</v>
      </c>
      <c r="AC802" s="2">
        <v>167</v>
      </c>
      <c r="AD802" s="2">
        <v>166</v>
      </c>
      <c r="AE802" s="2">
        <v>40</v>
      </c>
      <c r="AF802" s="2">
        <v>41</v>
      </c>
      <c r="AG802" s="2">
        <v>0</v>
      </c>
      <c r="AI802" s="2">
        <v>-1210</v>
      </c>
      <c r="AJ802" s="2">
        <v>-903</v>
      </c>
      <c r="AK802" s="2">
        <v>-903</v>
      </c>
      <c r="AL802" s="2">
        <v>0</v>
      </c>
      <c r="AM802" s="2">
        <v>0</v>
      </c>
    </row>
    <row r="803" spans="1:39">
      <c r="A803" s="335">
        <v>98471</v>
      </c>
      <c r="B803" s="328" t="s">
        <v>1642</v>
      </c>
      <c r="C803" s="239">
        <v>6.3999999999999997E-6</v>
      </c>
      <c r="E803" s="2">
        <v>4686</v>
      </c>
      <c r="F803" s="2">
        <v>2527</v>
      </c>
      <c r="G803" s="2">
        <v>3257</v>
      </c>
      <c r="H803" s="2">
        <v>765</v>
      </c>
      <c r="I803" s="2">
        <v>0</v>
      </c>
      <c r="K803" s="2">
        <v>959</v>
      </c>
      <c r="L803" s="2">
        <v>902</v>
      </c>
      <c r="M803" s="2">
        <v>808</v>
      </c>
      <c r="N803" s="2">
        <v>324</v>
      </c>
      <c r="O803" s="2">
        <v>0</v>
      </c>
      <c r="Q803" s="2">
        <v>1018</v>
      </c>
      <c r="R803" s="2">
        <v>-876</v>
      </c>
      <c r="S803" s="2">
        <v>123</v>
      </c>
      <c r="T803" s="2">
        <v>161</v>
      </c>
      <c r="U803" s="2">
        <v>0</v>
      </c>
      <c r="W803" s="2">
        <v>1147</v>
      </c>
      <c r="X803" s="2">
        <v>939</v>
      </c>
      <c r="Y803" s="2">
        <v>763</v>
      </c>
      <c r="Z803" s="2">
        <v>0</v>
      </c>
      <c r="AA803" s="2">
        <v>0</v>
      </c>
      <c r="AC803" s="2">
        <v>1562</v>
      </c>
      <c r="AD803" s="2">
        <v>1562</v>
      </c>
      <c r="AE803" s="2">
        <v>1563</v>
      </c>
      <c r="AF803" s="2">
        <v>280</v>
      </c>
      <c r="AG803" s="2">
        <v>0</v>
      </c>
      <c r="AI803" s="2">
        <v>0</v>
      </c>
      <c r="AJ803" s="2">
        <v>0</v>
      </c>
      <c r="AK803" s="2">
        <v>0</v>
      </c>
      <c r="AL803" s="2">
        <v>0</v>
      </c>
      <c r="AM803" s="2">
        <v>0</v>
      </c>
    </row>
    <row r="804" spans="1:39">
      <c r="A804" s="335">
        <v>98481</v>
      </c>
      <c r="B804" s="328" t="s">
        <v>1498</v>
      </c>
      <c r="C804" s="239">
        <v>6.1600000000000007E-5</v>
      </c>
      <c r="E804" s="2">
        <v>26951</v>
      </c>
      <c r="F804" s="2">
        <v>6635</v>
      </c>
      <c r="G804" s="2">
        <v>14715</v>
      </c>
      <c r="H804" s="2">
        <v>2522</v>
      </c>
      <c r="I804" s="2">
        <v>0</v>
      </c>
      <c r="K804" s="2">
        <v>9228</v>
      </c>
      <c r="L804" s="2">
        <v>8681</v>
      </c>
      <c r="M804" s="2">
        <v>7780</v>
      </c>
      <c r="N804" s="2">
        <v>3115</v>
      </c>
      <c r="O804" s="2">
        <v>0</v>
      </c>
      <c r="Q804" s="2">
        <v>9797</v>
      </c>
      <c r="R804" s="2">
        <v>-8427</v>
      </c>
      <c r="S804" s="2">
        <v>1188</v>
      </c>
      <c r="T804" s="2">
        <v>1546</v>
      </c>
      <c r="U804" s="2">
        <v>0</v>
      </c>
      <c r="W804" s="2">
        <v>11036</v>
      </c>
      <c r="X804" s="2">
        <v>9041</v>
      </c>
      <c r="Y804" s="2">
        <v>7340</v>
      </c>
      <c r="Z804" s="2">
        <v>0</v>
      </c>
      <c r="AA804" s="2">
        <v>0</v>
      </c>
      <c r="AC804" s="2">
        <v>546</v>
      </c>
      <c r="AD804" s="2">
        <v>546</v>
      </c>
      <c r="AE804" s="2">
        <v>547</v>
      </c>
      <c r="AF804" s="2">
        <v>0</v>
      </c>
      <c r="AG804" s="2">
        <v>0</v>
      </c>
      <c r="AI804" s="2">
        <v>-3656</v>
      </c>
      <c r="AJ804" s="2">
        <v>-3206</v>
      </c>
      <c r="AK804" s="2">
        <v>-2140</v>
      </c>
      <c r="AL804" s="2">
        <v>-2139</v>
      </c>
      <c r="AM804" s="2">
        <v>0</v>
      </c>
    </row>
    <row r="805" spans="1:39">
      <c r="A805" s="335">
        <v>98501</v>
      </c>
      <c r="B805" s="328" t="s">
        <v>1499</v>
      </c>
      <c r="C805" s="239">
        <v>1.655E-3</v>
      </c>
      <c r="E805" s="2">
        <v>858748</v>
      </c>
      <c r="F805" s="2">
        <v>291160</v>
      </c>
      <c r="G805" s="2">
        <v>468978</v>
      </c>
      <c r="H805" s="2">
        <v>143526</v>
      </c>
      <c r="I805" s="2">
        <v>0</v>
      </c>
      <c r="K805" s="2">
        <v>247931</v>
      </c>
      <c r="L805" s="2">
        <v>233223</v>
      </c>
      <c r="M805" s="2">
        <v>209035</v>
      </c>
      <c r="N805" s="2">
        <v>83695</v>
      </c>
      <c r="O805" s="2">
        <v>0</v>
      </c>
      <c r="Q805" s="2">
        <v>263213</v>
      </c>
      <c r="R805" s="2">
        <v>-226412</v>
      </c>
      <c r="S805" s="2">
        <v>31910</v>
      </c>
      <c r="T805" s="2">
        <v>41531</v>
      </c>
      <c r="U805" s="2">
        <v>0</v>
      </c>
      <c r="W805" s="2">
        <v>296513</v>
      </c>
      <c r="X805" s="2">
        <v>242914</v>
      </c>
      <c r="Y805" s="2">
        <v>197205</v>
      </c>
      <c r="Z805" s="2">
        <v>0</v>
      </c>
      <c r="AA805" s="2">
        <v>0</v>
      </c>
      <c r="AC805" s="2">
        <v>51091</v>
      </c>
      <c r="AD805" s="2">
        <v>41435</v>
      </c>
      <c r="AE805" s="2">
        <v>30828</v>
      </c>
      <c r="AF805" s="2">
        <v>18300</v>
      </c>
      <c r="AG805" s="2">
        <v>0</v>
      </c>
      <c r="AI805" s="2">
        <v>0</v>
      </c>
      <c r="AJ805" s="2">
        <v>0</v>
      </c>
      <c r="AK805" s="2">
        <v>0</v>
      </c>
      <c r="AL805" s="2">
        <v>0</v>
      </c>
      <c r="AM805" s="2">
        <v>0</v>
      </c>
    </row>
    <row r="806" spans="1:39">
      <c r="A806" s="335">
        <v>98511</v>
      </c>
      <c r="B806" s="328" t="s">
        <v>1500</v>
      </c>
      <c r="C806" s="239">
        <v>4.9400000000000001E-5</v>
      </c>
      <c r="E806" s="2">
        <v>26635</v>
      </c>
      <c r="F806" s="2">
        <v>8980</v>
      </c>
      <c r="G806" s="2">
        <v>13955</v>
      </c>
      <c r="H806" s="2">
        <v>5298</v>
      </c>
      <c r="I806" s="2">
        <v>0</v>
      </c>
      <c r="K806" s="2">
        <v>7400</v>
      </c>
      <c r="L806" s="2">
        <v>6961</v>
      </c>
      <c r="M806" s="2">
        <v>6239</v>
      </c>
      <c r="N806" s="2">
        <v>2498</v>
      </c>
      <c r="O806" s="2">
        <v>0</v>
      </c>
      <c r="Q806" s="2">
        <v>7857</v>
      </c>
      <c r="R806" s="2">
        <v>-6758</v>
      </c>
      <c r="S806" s="2">
        <v>952</v>
      </c>
      <c r="T806" s="2">
        <v>1240</v>
      </c>
      <c r="U806" s="2">
        <v>0</v>
      </c>
      <c r="W806" s="2">
        <v>8851</v>
      </c>
      <c r="X806" s="2">
        <v>7251</v>
      </c>
      <c r="Y806" s="2">
        <v>5886</v>
      </c>
      <c r="Z806" s="2">
        <v>0</v>
      </c>
      <c r="AA806" s="2">
        <v>0</v>
      </c>
      <c r="AC806" s="2">
        <v>3206</v>
      </c>
      <c r="AD806" s="2">
        <v>2205</v>
      </c>
      <c r="AE806" s="2">
        <v>1558</v>
      </c>
      <c r="AF806" s="2">
        <v>1560</v>
      </c>
      <c r="AG806" s="2">
        <v>0</v>
      </c>
      <c r="AI806" s="2">
        <v>-679</v>
      </c>
      <c r="AJ806" s="2">
        <v>-679</v>
      </c>
      <c r="AK806" s="2">
        <v>-680</v>
      </c>
      <c r="AL806" s="2">
        <v>0</v>
      </c>
      <c r="AM806" s="2">
        <v>0</v>
      </c>
    </row>
    <row r="807" spans="1:39">
      <c r="A807" s="335">
        <v>98517</v>
      </c>
      <c r="B807" s="328" t="s">
        <v>1501</v>
      </c>
      <c r="C807" s="239">
        <v>2.3999999999999999E-6</v>
      </c>
      <c r="E807" s="2">
        <v>2413</v>
      </c>
      <c r="F807" s="2">
        <v>1493</v>
      </c>
      <c r="G807" s="2">
        <v>1527</v>
      </c>
      <c r="H807" s="2">
        <v>643</v>
      </c>
      <c r="I807" s="2">
        <v>0</v>
      </c>
      <c r="K807" s="2">
        <v>360</v>
      </c>
      <c r="L807" s="2">
        <v>338</v>
      </c>
      <c r="M807" s="2">
        <v>303</v>
      </c>
      <c r="N807" s="2">
        <v>121</v>
      </c>
      <c r="O807" s="2">
        <v>0</v>
      </c>
      <c r="Q807" s="2">
        <v>382</v>
      </c>
      <c r="R807" s="2">
        <v>-328</v>
      </c>
      <c r="S807" s="2">
        <v>46</v>
      </c>
      <c r="T807" s="2">
        <v>60</v>
      </c>
      <c r="U807" s="2">
        <v>0</v>
      </c>
      <c r="W807" s="2">
        <v>430</v>
      </c>
      <c r="X807" s="2">
        <v>352</v>
      </c>
      <c r="Y807" s="2">
        <v>286</v>
      </c>
      <c r="Z807" s="2">
        <v>0</v>
      </c>
      <c r="AA807" s="2">
        <v>0</v>
      </c>
      <c r="AC807" s="2">
        <v>1241</v>
      </c>
      <c r="AD807" s="2">
        <v>1131</v>
      </c>
      <c r="AE807" s="2">
        <v>892</v>
      </c>
      <c r="AF807" s="2">
        <v>462</v>
      </c>
      <c r="AG807" s="2">
        <v>0</v>
      </c>
      <c r="AI807" s="2">
        <v>0</v>
      </c>
      <c r="AJ807" s="2">
        <v>0</v>
      </c>
      <c r="AK807" s="2">
        <v>0</v>
      </c>
      <c r="AL807" s="2">
        <v>0</v>
      </c>
      <c r="AM807" s="2">
        <v>0</v>
      </c>
    </row>
    <row r="808" spans="1:39">
      <c r="A808" s="335">
        <v>98521</v>
      </c>
      <c r="B808" s="328" t="s">
        <v>1502</v>
      </c>
      <c r="C808" s="239">
        <v>6.3349999999999995E-4</v>
      </c>
      <c r="E808" s="2">
        <v>296001</v>
      </c>
      <c r="F808" s="2">
        <v>92841</v>
      </c>
      <c r="G808" s="2">
        <v>156271</v>
      </c>
      <c r="H808" s="2">
        <v>43296</v>
      </c>
      <c r="I808" s="2">
        <v>0</v>
      </c>
      <c r="K808" s="2">
        <v>94903</v>
      </c>
      <c r="L808" s="2">
        <v>89273</v>
      </c>
      <c r="M808" s="2">
        <v>80014</v>
      </c>
      <c r="N808" s="2">
        <v>32037</v>
      </c>
      <c r="O808" s="2">
        <v>0</v>
      </c>
      <c r="Q808" s="2">
        <v>100752</v>
      </c>
      <c r="R808" s="2">
        <v>-86666</v>
      </c>
      <c r="S808" s="2">
        <v>12215</v>
      </c>
      <c r="T808" s="2">
        <v>15897</v>
      </c>
      <c r="U808" s="2">
        <v>0</v>
      </c>
      <c r="W808" s="2">
        <v>113499</v>
      </c>
      <c r="X808" s="2">
        <v>92983</v>
      </c>
      <c r="Y808" s="2">
        <v>75486</v>
      </c>
      <c r="Z808" s="2">
        <v>0</v>
      </c>
      <c r="AA808" s="2">
        <v>0</v>
      </c>
      <c r="AC808" s="2">
        <v>8699</v>
      </c>
      <c r="AD808" s="2">
        <v>8697</v>
      </c>
      <c r="AE808" s="2">
        <v>0</v>
      </c>
      <c r="AF808" s="2">
        <v>0</v>
      </c>
      <c r="AG808" s="2">
        <v>0</v>
      </c>
      <c r="AI808" s="2">
        <v>-21852</v>
      </c>
      <c r="AJ808" s="2">
        <v>-11446</v>
      </c>
      <c r="AK808" s="2">
        <v>-11444</v>
      </c>
      <c r="AL808" s="2">
        <v>-4638</v>
      </c>
      <c r="AM808" s="2">
        <v>0</v>
      </c>
    </row>
    <row r="809" spans="1:39">
      <c r="A809" s="335">
        <v>98601</v>
      </c>
      <c r="B809" s="328" t="s">
        <v>1503</v>
      </c>
      <c r="C809" s="239">
        <v>3.5866000000000001E-3</v>
      </c>
      <c r="E809" s="2">
        <v>1716857</v>
      </c>
      <c r="F809" s="2">
        <v>513034</v>
      </c>
      <c r="G809" s="2">
        <v>951384</v>
      </c>
      <c r="H809" s="2">
        <v>275486</v>
      </c>
      <c r="I809" s="2">
        <v>0</v>
      </c>
      <c r="K809" s="2">
        <v>537298</v>
      </c>
      <c r="L809" s="2">
        <v>505424</v>
      </c>
      <c r="M809" s="2">
        <v>453006</v>
      </c>
      <c r="N809" s="2">
        <v>181378</v>
      </c>
      <c r="O809" s="2">
        <v>0</v>
      </c>
      <c r="Q809" s="2">
        <v>570416</v>
      </c>
      <c r="R809" s="2">
        <v>-490665</v>
      </c>
      <c r="S809" s="2">
        <v>69153</v>
      </c>
      <c r="T809" s="2">
        <v>90002</v>
      </c>
      <c r="U809" s="2">
        <v>0</v>
      </c>
      <c r="W809" s="2">
        <v>642582</v>
      </c>
      <c r="X809" s="2">
        <v>526427</v>
      </c>
      <c r="Y809" s="2">
        <v>427368</v>
      </c>
      <c r="Z809" s="2">
        <v>0</v>
      </c>
      <c r="AA809" s="2">
        <v>0</v>
      </c>
      <c r="AC809" s="2">
        <v>4107</v>
      </c>
      <c r="AD809" s="2">
        <v>4107</v>
      </c>
      <c r="AE809" s="2">
        <v>4107</v>
      </c>
      <c r="AF809" s="2">
        <v>4106</v>
      </c>
      <c r="AG809" s="2">
        <v>0</v>
      </c>
      <c r="AI809" s="2">
        <v>-37546</v>
      </c>
      <c r="AJ809" s="2">
        <v>-32259</v>
      </c>
      <c r="AK809" s="2">
        <v>-2250</v>
      </c>
      <c r="AL809" s="2">
        <v>0</v>
      </c>
      <c r="AM809" s="2">
        <v>0</v>
      </c>
    </row>
    <row r="810" spans="1:39">
      <c r="A810" s="335">
        <v>98607</v>
      </c>
      <c r="B810" s="328" t="s">
        <v>1505</v>
      </c>
      <c r="C810" s="239">
        <v>5.4E-6</v>
      </c>
      <c r="E810" s="2">
        <v>2786</v>
      </c>
      <c r="F810" s="2">
        <v>984</v>
      </c>
      <c r="G810" s="2">
        <v>1586</v>
      </c>
      <c r="H810" s="2">
        <v>220</v>
      </c>
      <c r="I810" s="2">
        <v>0</v>
      </c>
      <c r="K810" s="2">
        <v>809</v>
      </c>
      <c r="L810" s="2">
        <v>761</v>
      </c>
      <c r="M810" s="2">
        <v>682</v>
      </c>
      <c r="N810" s="2">
        <v>273</v>
      </c>
      <c r="O810" s="2">
        <v>0</v>
      </c>
      <c r="Q810" s="2">
        <v>859</v>
      </c>
      <c r="R810" s="2">
        <v>-739</v>
      </c>
      <c r="S810" s="2">
        <v>104</v>
      </c>
      <c r="T810" s="2">
        <v>136</v>
      </c>
      <c r="U810" s="2">
        <v>0</v>
      </c>
      <c r="W810" s="2">
        <v>967</v>
      </c>
      <c r="X810" s="2">
        <v>793</v>
      </c>
      <c r="Y810" s="2">
        <v>643</v>
      </c>
      <c r="Z810" s="2">
        <v>0</v>
      </c>
      <c r="AA810" s="2">
        <v>0</v>
      </c>
      <c r="AC810" s="2">
        <v>360</v>
      </c>
      <c r="AD810" s="2">
        <v>360</v>
      </c>
      <c r="AE810" s="2">
        <v>348</v>
      </c>
      <c r="AF810" s="2">
        <v>0</v>
      </c>
      <c r="AG810" s="2">
        <v>0</v>
      </c>
      <c r="AI810" s="2">
        <v>-209</v>
      </c>
      <c r="AJ810" s="2">
        <v>-191</v>
      </c>
      <c r="AK810" s="2">
        <v>-191</v>
      </c>
      <c r="AL810" s="2">
        <v>-189</v>
      </c>
      <c r="AM810" s="2">
        <v>0</v>
      </c>
    </row>
    <row r="811" spans="1:39">
      <c r="A811" s="335">
        <v>98608</v>
      </c>
      <c r="B811" s="328" t="s">
        <v>1506</v>
      </c>
      <c r="C811" s="239">
        <v>5.1799999999999999E-5</v>
      </c>
      <c r="E811" s="2">
        <v>26302</v>
      </c>
      <c r="F811" s="2">
        <v>10456</v>
      </c>
      <c r="G811" s="2">
        <v>15701</v>
      </c>
      <c r="H811" s="2">
        <v>6161</v>
      </c>
      <c r="I811" s="2">
        <v>0</v>
      </c>
      <c r="K811" s="2">
        <v>7760</v>
      </c>
      <c r="L811" s="2">
        <v>7300</v>
      </c>
      <c r="M811" s="2">
        <v>6543</v>
      </c>
      <c r="N811" s="2">
        <v>2620</v>
      </c>
      <c r="O811" s="2">
        <v>0</v>
      </c>
      <c r="Q811" s="2">
        <v>8238</v>
      </c>
      <c r="R811" s="2">
        <v>-7086</v>
      </c>
      <c r="S811" s="2">
        <v>999</v>
      </c>
      <c r="T811" s="2">
        <v>1300</v>
      </c>
      <c r="U811" s="2">
        <v>0</v>
      </c>
      <c r="W811" s="2">
        <v>9281</v>
      </c>
      <c r="X811" s="2">
        <v>7603</v>
      </c>
      <c r="Y811" s="2">
        <v>6172</v>
      </c>
      <c r="Z811" s="2">
        <v>0</v>
      </c>
      <c r="AA811" s="2">
        <v>0</v>
      </c>
      <c r="AC811" s="2">
        <v>2890</v>
      </c>
      <c r="AD811" s="2">
        <v>2890</v>
      </c>
      <c r="AE811" s="2">
        <v>2239</v>
      </c>
      <c r="AF811" s="2">
        <v>2241</v>
      </c>
      <c r="AG811" s="2">
        <v>0</v>
      </c>
      <c r="AI811" s="2">
        <v>-1867</v>
      </c>
      <c r="AJ811" s="2">
        <v>-251</v>
      </c>
      <c r="AK811" s="2">
        <v>-252</v>
      </c>
      <c r="AL811" s="2">
        <v>0</v>
      </c>
      <c r="AM811" s="2">
        <v>0</v>
      </c>
    </row>
    <row r="812" spans="1:39">
      <c r="A812" s="335">
        <v>98611</v>
      </c>
      <c r="B812" s="328" t="s">
        <v>1507</v>
      </c>
      <c r="C812" s="239">
        <v>1.1959999999999999E-4</v>
      </c>
      <c r="E812" s="2">
        <v>64366</v>
      </c>
      <c r="F812" s="2">
        <v>26909</v>
      </c>
      <c r="G812" s="2">
        <v>38483</v>
      </c>
      <c r="H812" s="2">
        <v>10598</v>
      </c>
      <c r="I812" s="2">
        <v>0</v>
      </c>
      <c r="K812" s="2">
        <v>17917</v>
      </c>
      <c r="L812" s="2">
        <v>16854</v>
      </c>
      <c r="M812" s="2">
        <v>15106</v>
      </c>
      <c r="N812" s="2">
        <v>6048</v>
      </c>
      <c r="O812" s="2">
        <v>0</v>
      </c>
      <c r="Q812" s="2">
        <v>19021</v>
      </c>
      <c r="R812" s="2">
        <v>-16362</v>
      </c>
      <c r="S812" s="2">
        <v>2306</v>
      </c>
      <c r="T812" s="2">
        <v>3001</v>
      </c>
      <c r="U812" s="2">
        <v>0</v>
      </c>
      <c r="W812" s="2">
        <v>21428</v>
      </c>
      <c r="X812" s="2">
        <v>17554</v>
      </c>
      <c r="Y812" s="2">
        <v>14251</v>
      </c>
      <c r="Z812" s="2">
        <v>0</v>
      </c>
      <c r="AA812" s="2">
        <v>0</v>
      </c>
      <c r="AC812" s="2">
        <v>8863</v>
      </c>
      <c r="AD812" s="2">
        <v>8863</v>
      </c>
      <c r="AE812" s="2">
        <v>6820</v>
      </c>
      <c r="AF812" s="2">
        <v>1549</v>
      </c>
      <c r="AG812" s="2">
        <v>0</v>
      </c>
      <c r="AI812" s="2">
        <v>-2863</v>
      </c>
      <c r="AJ812" s="2">
        <v>0</v>
      </c>
      <c r="AK812" s="2">
        <v>0</v>
      </c>
      <c r="AL812" s="2">
        <v>0</v>
      </c>
      <c r="AM812" s="2">
        <v>0</v>
      </c>
    </row>
    <row r="813" spans="1:39">
      <c r="A813" s="335">
        <v>98621</v>
      </c>
      <c r="B813" s="328" t="s">
        <v>1508</v>
      </c>
      <c r="C813" s="239">
        <v>1.2899999999999999E-4</v>
      </c>
      <c r="E813" s="2">
        <v>59466</v>
      </c>
      <c r="F813" s="2">
        <v>16909</v>
      </c>
      <c r="G813" s="2">
        <v>32651</v>
      </c>
      <c r="H813" s="2">
        <v>8203</v>
      </c>
      <c r="I813" s="2">
        <v>0</v>
      </c>
      <c r="K813" s="2">
        <v>19325</v>
      </c>
      <c r="L813" s="2">
        <v>18179</v>
      </c>
      <c r="M813" s="2">
        <v>16293</v>
      </c>
      <c r="N813" s="2">
        <v>6524</v>
      </c>
      <c r="O813" s="2">
        <v>0</v>
      </c>
      <c r="Q813" s="2">
        <v>20516</v>
      </c>
      <c r="R813" s="2">
        <v>-17648</v>
      </c>
      <c r="S813" s="2">
        <v>2487</v>
      </c>
      <c r="T813" s="2">
        <v>3237</v>
      </c>
      <c r="U813" s="2">
        <v>0</v>
      </c>
      <c r="W813" s="2">
        <v>23112</v>
      </c>
      <c r="X813" s="2">
        <v>18934</v>
      </c>
      <c r="Y813" s="2">
        <v>15371</v>
      </c>
      <c r="Z813" s="2">
        <v>0</v>
      </c>
      <c r="AA813" s="2">
        <v>0</v>
      </c>
      <c r="AC813" s="2">
        <v>57</v>
      </c>
      <c r="AD813" s="2">
        <v>57</v>
      </c>
      <c r="AE813" s="2">
        <v>58</v>
      </c>
      <c r="AF813" s="2">
        <v>0</v>
      </c>
      <c r="AG813" s="2">
        <v>0</v>
      </c>
      <c r="AI813" s="2">
        <v>-3544</v>
      </c>
      <c r="AJ813" s="2">
        <v>-2613</v>
      </c>
      <c r="AK813" s="2">
        <v>-1558</v>
      </c>
      <c r="AL813" s="2">
        <v>-1558</v>
      </c>
      <c r="AM813" s="2">
        <v>0</v>
      </c>
    </row>
    <row r="814" spans="1:39">
      <c r="A814" s="335">
        <v>98627</v>
      </c>
      <c r="B814" s="328" t="s">
        <v>3723</v>
      </c>
      <c r="C814" s="239">
        <v>7.7999999999999999E-6</v>
      </c>
      <c r="E814" s="2">
        <v>3319</v>
      </c>
      <c r="F814" s="2">
        <v>592</v>
      </c>
      <c r="G814" s="2">
        <v>1727</v>
      </c>
      <c r="H814" s="2">
        <v>420</v>
      </c>
      <c r="I814" s="2">
        <v>0</v>
      </c>
      <c r="K814" s="2">
        <v>1168</v>
      </c>
      <c r="L814" s="2">
        <v>1099</v>
      </c>
      <c r="M814" s="2">
        <v>985</v>
      </c>
      <c r="N814" s="2">
        <v>394</v>
      </c>
      <c r="O814" s="2">
        <v>0</v>
      </c>
      <c r="Q814" s="2">
        <v>1241</v>
      </c>
      <c r="R814" s="2">
        <v>-1067</v>
      </c>
      <c r="S814" s="2">
        <v>150</v>
      </c>
      <c r="T814" s="2">
        <v>196</v>
      </c>
      <c r="U814" s="2">
        <v>0</v>
      </c>
      <c r="W814" s="2">
        <v>1397</v>
      </c>
      <c r="X814" s="2">
        <v>1145</v>
      </c>
      <c r="Y814" s="2">
        <v>929</v>
      </c>
      <c r="Z814" s="2">
        <v>0</v>
      </c>
      <c r="AA814" s="2">
        <v>0</v>
      </c>
      <c r="AC814" s="2">
        <v>96</v>
      </c>
      <c r="AD814" s="2">
        <v>0</v>
      </c>
      <c r="AE814" s="2">
        <v>0</v>
      </c>
      <c r="AF814" s="2">
        <v>0</v>
      </c>
      <c r="AG814" s="2">
        <v>0</v>
      </c>
      <c r="AI814" s="2">
        <v>-583</v>
      </c>
      <c r="AJ814" s="2">
        <v>-585</v>
      </c>
      <c r="AK814" s="2">
        <v>-337</v>
      </c>
      <c r="AL814" s="2">
        <v>-170</v>
      </c>
      <c r="AM814" s="2">
        <v>0</v>
      </c>
    </row>
    <row r="815" spans="1:39">
      <c r="A815" s="335">
        <v>98631</v>
      </c>
      <c r="B815" s="328" t="s">
        <v>1510</v>
      </c>
      <c r="C815" s="239">
        <v>1.0042E-3</v>
      </c>
      <c r="E815" s="2">
        <v>472307</v>
      </c>
      <c r="F815" s="2">
        <v>148159</v>
      </c>
      <c r="G815" s="2">
        <v>267543</v>
      </c>
      <c r="H815" s="2">
        <v>72925</v>
      </c>
      <c r="I815" s="2">
        <v>0</v>
      </c>
      <c r="K815" s="2">
        <v>150436</v>
      </c>
      <c r="L815" s="2">
        <v>141512</v>
      </c>
      <c r="M815" s="2">
        <v>126835</v>
      </c>
      <c r="N815" s="2">
        <v>50783</v>
      </c>
      <c r="O815" s="2">
        <v>0</v>
      </c>
      <c r="Q815" s="2">
        <v>159709</v>
      </c>
      <c r="R815" s="2">
        <v>-137380</v>
      </c>
      <c r="S815" s="2">
        <v>19362</v>
      </c>
      <c r="T815" s="2">
        <v>25199</v>
      </c>
      <c r="U815" s="2">
        <v>0</v>
      </c>
      <c r="W815" s="2">
        <v>179914</v>
      </c>
      <c r="X815" s="2">
        <v>147392</v>
      </c>
      <c r="Y815" s="2">
        <v>119657</v>
      </c>
      <c r="Z815" s="2">
        <v>0</v>
      </c>
      <c r="AA815" s="2">
        <v>0</v>
      </c>
      <c r="AC815" s="2">
        <v>4748</v>
      </c>
      <c r="AD815" s="2">
        <v>4748</v>
      </c>
      <c r="AE815" s="2">
        <v>4747</v>
      </c>
      <c r="AF815" s="2">
        <v>0</v>
      </c>
      <c r="AG815" s="2">
        <v>0</v>
      </c>
      <c r="AI815" s="2">
        <v>-22500</v>
      </c>
      <c r="AJ815" s="2">
        <v>-8113</v>
      </c>
      <c r="AK815" s="2">
        <v>-3058</v>
      </c>
      <c r="AL815" s="2">
        <v>-3057</v>
      </c>
      <c r="AM815" s="2">
        <v>0</v>
      </c>
    </row>
    <row r="816" spans="1:39">
      <c r="A816" s="335">
        <v>98637</v>
      </c>
      <c r="B816" s="328" t="s">
        <v>1511</v>
      </c>
      <c r="C816" s="239">
        <v>1.5800000000000001E-5</v>
      </c>
      <c r="E816" s="2">
        <v>11537</v>
      </c>
      <c r="F816" s="2">
        <v>5502</v>
      </c>
      <c r="G816" s="2">
        <v>6300</v>
      </c>
      <c r="H816" s="2">
        <v>2159</v>
      </c>
      <c r="I816" s="2">
        <v>0</v>
      </c>
      <c r="K816" s="2">
        <v>2367</v>
      </c>
      <c r="L816" s="2">
        <v>2227</v>
      </c>
      <c r="M816" s="2">
        <v>1996</v>
      </c>
      <c r="N816" s="2">
        <v>799</v>
      </c>
      <c r="O816" s="2">
        <v>0</v>
      </c>
      <c r="Q816" s="2">
        <v>2513</v>
      </c>
      <c r="R816" s="2">
        <v>-2162</v>
      </c>
      <c r="S816" s="2">
        <v>305</v>
      </c>
      <c r="T816" s="2">
        <v>396</v>
      </c>
      <c r="U816" s="2">
        <v>0</v>
      </c>
      <c r="W816" s="2">
        <v>2831</v>
      </c>
      <c r="X816" s="2">
        <v>2319</v>
      </c>
      <c r="Y816" s="2">
        <v>1883</v>
      </c>
      <c r="Z816" s="2">
        <v>0</v>
      </c>
      <c r="AA816" s="2">
        <v>0</v>
      </c>
      <c r="AC816" s="2">
        <v>3826</v>
      </c>
      <c r="AD816" s="2">
        <v>3118</v>
      </c>
      <c r="AE816" s="2">
        <v>2116</v>
      </c>
      <c r="AF816" s="2">
        <v>964</v>
      </c>
      <c r="AG816" s="2">
        <v>0</v>
      </c>
      <c r="AI816" s="2">
        <v>0</v>
      </c>
      <c r="AJ816" s="2">
        <v>0</v>
      </c>
      <c r="AK816" s="2">
        <v>0</v>
      </c>
      <c r="AL816" s="2">
        <v>0</v>
      </c>
      <c r="AM816" s="2">
        <v>0</v>
      </c>
    </row>
    <row r="817" spans="1:39">
      <c r="A817" s="335">
        <v>98641</v>
      </c>
      <c r="B817" s="328" t="s">
        <v>1512</v>
      </c>
      <c r="C817" s="239">
        <v>2.7090000000000003E-4</v>
      </c>
      <c r="E817" s="2">
        <v>128748</v>
      </c>
      <c r="F817" s="2">
        <v>39782</v>
      </c>
      <c r="G817" s="2">
        <v>70332</v>
      </c>
      <c r="H817" s="2">
        <v>18840</v>
      </c>
      <c r="I817" s="2">
        <v>0</v>
      </c>
      <c r="K817" s="2">
        <v>40583</v>
      </c>
      <c r="L817" s="2">
        <v>38175</v>
      </c>
      <c r="M817" s="2">
        <v>34216</v>
      </c>
      <c r="N817" s="2">
        <v>13700</v>
      </c>
      <c r="O817" s="2">
        <v>0</v>
      </c>
      <c r="Q817" s="2">
        <v>43084</v>
      </c>
      <c r="R817" s="2">
        <v>-37060</v>
      </c>
      <c r="S817" s="2">
        <v>5223</v>
      </c>
      <c r="T817" s="2">
        <v>6798</v>
      </c>
      <c r="U817" s="2">
        <v>0</v>
      </c>
      <c r="W817" s="2">
        <v>48535</v>
      </c>
      <c r="X817" s="2">
        <v>39762</v>
      </c>
      <c r="Y817" s="2">
        <v>32280</v>
      </c>
      <c r="Z817" s="2">
        <v>0</v>
      </c>
      <c r="AA817" s="2">
        <v>0</v>
      </c>
      <c r="AC817" s="2">
        <v>564</v>
      </c>
      <c r="AD817" s="2">
        <v>565</v>
      </c>
      <c r="AE817" s="2">
        <v>273</v>
      </c>
      <c r="AF817" s="2">
        <v>0</v>
      </c>
      <c r="AG817" s="2">
        <v>0</v>
      </c>
      <c r="AI817" s="2">
        <v>-4018</v>
      </c>
      <c r="AJ817" s="2">
        <v>-1660</v>
      </c>
      <c r="AK817" s="2">
        <v>-1660</v>
      </c>
      <c r="AL817" s="2">
        <v>-1658</v>
      </c>
      <c r="AM817" s="2">
        <v>0</v>
      </c>
    </row>
    <row r="818" spans="1:39">
      <c r="A818" s="335">
        <v>98701</v>
      </c>
      <c r="B818" s="328" t="s">
        <v>1513</v>
      </c>
      <c r="C818" s="239">
        <v>9.7790000000000008E-4</v>
      </c>
      <c r="E818" s="2">
        <v>440042</v>
      </c>
      <c r="F818" s="2">
        <v>109342</v>
      </c>
      <c r="G818" s="2">
        <v>229614</v>
      </c>
      <c r="H818" s="2">
        <v>54613</v>
      </c>
      <c r="I818" s="2">
        <v>0</v>
      </c>
      <c r="K818" s="2">
        <v>146496</v>
      </c>
      <c r="L818" s="2">
        <v>137806</v>
      </c>
      <c r="M818" s="2">
        <v>123514</v>
      </c>
      <c r="N818" s="2">
        <v>49453</v>
      </c>
      <c r="O818" s="2">
        <v>0</v>
      </c>
      <c r="Q818" s="2">
        <v>155526</v>
      </c>
      <c r="R818" s="2">
        <v>-133782</v>
      </c>
      <c r="S818" s="2">
        <v>18855</v>
      </c>
      <c r="T818" s="2">
        <v>24539</v>
      </c>
      <c r="U818" s="2">
        <v>0</v>
      </c>
      <c r="W818" s="2">
        <v>175203</v>
      </c>
      <c r="X818" s="2">
        <v>143532</v>
      </c>
      <c r="Y818" s="2">
        <v>116524</v>
      </c>
      <c r="Z818" s="2">
        <v>0</v>
      </c>
      <c r="AA818" s="2">
        <v>0</v>
      </c>
      <c r="AC818" s="2">
        <v>1031</v>
      </c>
      <c r="AD818" s="2">
        <v>0</v>
      </c>
      <c r="AE818" s="2">
        <v>0</v>
      </c>
      <c r="AF818" s="2">
        <v>0</v>
      </c>
      <c r="AG818" s="2">
        <v>0</v>
      </c>
      <c r="AI818" s="2">
        <v>-38214</v>
      </c>
      <c r="AJ818" s="2">
        <v>-38214</v>
      </c>
      <c r="AK818" s="2">
        <v>-29279</v>
      </c>
      <c r="AL818" s="2">
        <v>-19379</v>
      </c>
      <c r="AM818" s="2">
        <v>0</v>
      </c>
    </row>
    <row r="819" spans="1:39">
      <c r="A819" s="335">
        <v>98711</v>
      </c>
      <c r="B819" s="328" t="s">
        <v>1514</v>
      </c>
      <c r="C819" s="239">
        <v>1.671E-4</v>
      </c>
      <c r="E819" s="2">
        <v>70574</v>
      </c>
      <c r="F819" s="2">
        <v>15751</v>
      </c>
      <c r="G819" s="2">
        <v>37022</v>
      </c>
      <c r="H819" s="2">
        <v>10456</v>
      </c>
      <c r="I819" s="2">
        <v>0</v>
      </c>
      <c r="K819" s="2">
        <v>25033</v>
      </c>
      <c r="L819" s="2">
        <v>23548</v>
      </c>
      <c r="M819" s="2">
        <v>21106</v>
      </c>
      <c r="N819" s="2">
        <v>8450</v>
      </c>
      <c r="O819" s="2">
        <v>0</v>
      </c>
      <c r="Q819" s="2">
        <v>26576</v>
      </c>
      <c r="R819" s="2">
        <v>-22860</v>
      </c>
      <c r="S819" s="2">
        <v>3222</v>
      </c>
      <c r="T819" s="2">
        <v>4193</v>
      </c>
      <c r="U819" s="2">
        <v>0</v>
      </c>
      <c r="W819" s="2">
        <v>29938</v>
      </c>
      <c r="X819" s="2">
        <v>24526</v>
      </c>
      <c r="Y819" s="2">
        <v>19911</v>
      </c>
      <c r="Z819" s="2">
        <v>0</v>
      </c>
      <c r="AA819" s="2">
        <v>0</v>
      </c>
      <c r="AC819" s="2">
        <v>0</v>
      </c>
      <c r="AD819" s="2">
        <v>0</v>
      </c>
      <c r="AE819" s="2">
        <v>0</v>
      </c>
      <c r="AF819" s="2">
        <v>0</v>
      </c>
      <c r="AG819" s="2">
        <v>0</v>
      </c>
      <c r="AI819" s="2">
        <v>-10973</v>
      </c>
      <c r="AJ819" s="2">
        <v>-9463</v>
      </c>
      <c r="AK819" s="2">
        <v>-7217</v>
      </c>
      <c r="AL819" s="2">
        <v>-2187</v>
      </c>
      <c r="AM819" s="2">
        <v>0</v>
      </c>
    </row>
    <row r="820" spans="1:39">
      <c r="A820" s="335">
        <v>98717</v>
      </c>
      <c r="B820" s="328" t="s">
        <v>1515</v>
      </c>
      <c r="C820" s="239">
        <v>2.2399999999999999E-5</v>
      </c>
      <c r="E820" s="2">
        <v>10978</v>
      </c>
      <c r="F820" s="2">
        <v>3555</v>
      </c>
      <c r="G820" s="2">
        <v>5868</v>
      </c>
      <c r="H820" s="2">
        <v>2067</v>
      </c>
      <c r="I820" s="2">
        <v>0</v>
      </c>
      <c r="K820" s="2">
        <v>3356</v>
      </c>
      <c r="L820" s="2">
        <v>3157</v>
      </c>
      <c r="M820" s="2">
        <v>2829</v>
      </c>
      <c r="N820" s="2">
        <v>1133</v>
      </c>
      <c r="O820" s="2">
        <v>0</v>
      </c>
      <c r="Q820" s="2">
        <v>3563</v>
      </c>
      <c r="R820" s="2">
        <v>-3064</v>
      </c>
      <c r="S820" s="2">
        <v>432</v>
      </c>
      <c r="T820" s="2">
        <v>562</v>
      </c>
      <c r="U820" s="2">
        <v>0</v>
      </c>
      <c r="W820" s="2">
        <v>4013</v>
      </c>
      <c r="X820" s="2">
        <v>3288</v>
      </c>
      <c r="Y820" s="2">
        <v>2669</v>
      </c>
      <c r="Z820" s="2">
        <v>0</v>
      </c>
      <c r="AA820" s="2">
        <v>0</v>
      </c>
      <c r="AC820" s="2">
        <v>604</v>
      </c>
      <c r="AD820" s="2">
        <v>606</v>
      </c>
      <c r="AE820" s="2">
        <v>371</v>
      </c>
      <c r="AF820" s="2">
        <v>372</v>
      </c>
      <c r="AG820" s="2">
        <v>0</v>
      </c>
      <c r="AI820" s="2">
        <v>-558</v>
      </c>
      <c r="AJ820" s="2">
        <v>-432</v>
      </c>
      <c r="AK820" s="2">
        <v>-433</v>
      </c>
      <c r="AL820" s="2">
        <v>0</v>
      </c>
      <c r="AM820" s="2">
        <v>0</v>
      </c>
    </row>
    <row r="821" spans="1:39">
      <c r="A821" s="335">
        <v>98801</v>
      </c>
      <c r="B821" s="328" t="s">
        <v>1516</v>
      </c>
      <c r="C821" s="239">
        <v>2.1632999999999999E-3</v>
      </c>
      <c r="E821" s="2">
        <v>1076485</v>
      </c>
      <c r="F821" s="2">
        <v>342419</v>
      </c>
      <c r="G821" s="2">
        <v>566967</v>
      </c>
      <c r="H821" s="2">
        <v>176956</v>
      </c>
      <c r="I821" s="2">
        <v>0</v>
      </c>
      <c r="K821" s="2">
        <v>324077</v>
      </c>
      <c r="L821" s="2">
        <v>304852</v>
      </c>
      <c r="M821" s="2">
        <v>273236</v>
      </c>
      <c r="N821" s="2">
        <v>109400</v>
      </c>
      <c r="O821" s="2">
        <v>0</v>
      </c>
      <c r="Q821" s="2">
        <v>344053</v>
      </c>
      <c r="R821" s="2">
        <v>-295950</v>
      </c>
      <c r="S821" s="2">
        <v>41711</v>
      </c>
      <c r="T821" s="2">
        <v>54286</v>
      </c>
      <c r="U821" s="2">
        <v>0</v>
      </c>
      <c r="W821" s="2">
        <v>387581</v>
      </c>
      <c r="X821" s="2">
        <v>317521</v>
      </c>
      <c r="Y821" s="2">
        <v>257772</v>
      </c>
      <c r="Z821" s="2">
        <v>0</v>
      </c>
      <c r="AA821" s="2">
        <v>0</v>
      </c>
      <c r="AC821" s="2">
        <v>39795</v>
      </c>
      <c r="AD821" s="2">
        <v>35017</v>
      </c>
      <c r="AE821" s="2">
        <v>13269</v>
      </c>
      <c r="AF821" s="2">
        <v>13270</v>
      </c>
      <c r="AG821" s="2">
        <v>0</v>
      </c>
      <c r="AI821" s="2">
        <v>-19021</v>
      </c>
      <c r="AJ821" s="2">
        <v>-19021</v>
      </c>
      <c r="AK821" s="2">
        <v>-19021</v>
      </c>
      <c r="AL821" s="2">
        <v>0</v>
      </c>
      <c r="AM821" s="2">
        <v>0</v>
      </c>
    </row>
    <row r="822" spans="1:39">
      <c r="A822" s="335">
        <v>98811</v>
      </c>
      <c r="B822" s="328" t="s">
        <v>1517</v>
      </c>
      <c r="C822" s="239">
        <v>6.8610000000000003E-4</v>
      </c>
      <c r="E822" s="2">
        <v>337092</v>
      </c>
      <c r="F822" s="2">
        <v>113681</v>
      </c>
      <c r="G822" s="2">
        <v>196963</v>
      </c>
      <c r="H822" s="2">
        <v>65401</v>
      </c>
      <c r="I822" s="2">
        <v>0</v>
      </c>
      <c r="K822" s="2">
        <v>102783</v>
      </c>
      <c r="L822" s="2">
        <v>96685</v>
      </c>
      <c r="M822" s="2">
        <v>86658</v>
      </c>
      <c r="N822" s="2">
        <v>34697</v>
      </c>
      <c r="O822" s="2">
        <v>0</v>
      </c>
      <c r="Q822" s="2">
        <v>109118</v>
      </c>
      <c r="R822" s="2">
        <v>-93862</v>
      </c>
      <c r="S822" s="2">
        <v>13229</v>
      </c>
      <c r="T822" s="2">
        <v>17217</v>
      </c>
      <c r="U822" s="2">
        <v>0</v>
      </c>
      <c r="W822" s="2">
        <v>122923</v>
      </c>
      <c r="X822" s="2">
        <v>100703</v>
      </c>
      <c r="Y822" s="2">
        <v>81754</v>
      </c>
      <c r="Z822" s="2">
        <v>0</v>
      </c>
      <c r="AA822" s="2">
        <v>0</v>
      </c>
      <c r="AC822" s="2">
        <v>15322</v>
      </c>
      <c r="AD822" s="2">
        <v>15322</v>
      </c>
      <c r="AE822" s="2">
        <v>15322</v>
      </c>
      <c r="AF822" s="2">
        <v>13487</v>
      </c>
      <c r="AG822" s="2">
        <v>0</v>
      </c>
      <c r="AI822" s="2">
        <v>-13054</v>
      </c>
      <c r="AJ822" s="2">
        <v>-5167</v>
      </c>
      <c r="AK822" s="2">
        <v>0</v>
      </c>
      <c r="AL822" s="2">
        <v>0</v>
      </c>
      <c r="AM822" s="2">
        <v>0</v>
      </c>
    </row>
    <row r="823" spans="1:39">
      <c r="A823" s="335">
        <v>98817</v>
      </c>
      <c r="B823" s="328" t="s">
        <v>1518</v>
      </c>
      <c r="C823" s="239">
        <v>1.7E-5</v>
      </c>
      <c r="E823" s="2">
        <v>8551</v>
      </c>
      <c r="F823" s="2">
        <v>2767</v>
      </c>
      <c r="G823" s="2">
        <v>3786</v>
      </c>
      <c r="H823" s="2">
        <v>334</v>
      </c>
      <c r="I823" s="2">
        <v>0</v>
      </c>
      <c r="K823" s="2">
        <v>2547</v>
      </c>
      <c r="L823" s="2">
        <v>2396</v>
      </c>
      <c r="M823" s="2">
        <v>2147</v>
      </c>
      <c r="N823" s="2">
        <v>860</v>
      </c>
      <c r="O823" s="2">
        <v>0</v>
      </c>
      <c r="Q823" s="2">
        <v>2704</v>
      </c>
      <c r="R823" s="2">
        <v>-2326</v>
      </c>
      <c r="S823" s="2">
        <v>328</v>
      </c>
      <c r="T823" s="2">
        <v>427</v>
      </c>
      <c r="U823" s="2">
        <v>0</v>
      </c>
      <c r="W823" s="2">
        <v>3046</v>
      </c>
      <c r="X823" s="2">
        <v>2495</v>
      </c>
      <c r="Y823" s="2">
        <v>2026</v>
      </c>
      <c r="Z823" s="2">
        <v>0</v>
      </c>
      <c r="AA823" s="2">
        <v>0</v>
      </c>
      <c r="AC823" s="2">
        <v>1209</v>
      </c>
      <c r="AD823" s="2">
        <v>1157</v>
      </c>
      <c r="AE823" s="2">
        <v>240</v>
      </c>
      <c r="AF823" s="2">
        <v>0</v>
      </c>
      <c r="AG823" s="2">
        <v>0</v>
      </c>
      <c r="AI823" s="2">
        <v>-955</v>
      </c>
      <c r="AJ823" s="2">
        <v>-955</v>
      </c>
      <c r="AK823" s="2">
        <v>-955</v>
      </c>
      <c r="AL823" s="2">
        <v>-953</v>
      </c>
      <c r="AM823" s="2">
        <v>0</v>
      </c>
    </row>
    <row r="824" spans="1:39">
      <c r="A824" s="335">
        <v>98901</v>
      </c>
      <c r="B824" s="328" t="s">
        <v>1519</v>
      </c>
      <c r="C824" s="239">
        <v>2.8390000000000002E-4</v>
      </c>
      <c r="E824" s="2">
        <v>134570</v>
      </c>
      <c r="F824" s="2">
        <v>39434</v>
      </c>
      <c r="G824" s="2">
        <v>70216</v>
      </c>
      <c r="H824" s="2">
        <v>22048</v>
      </c>
      <c r="I824" s="2">
        <v>0</v>
      </c>
      <c r="K824" s="2">
        <v>42530</v>
      </c>
      <c r="L824" s="2">
        <v>40007</v>
      </c>
      <c r="M824" s="2">
        <v>35858</v>
      </c>
      <c r="N824" s="2">
        <v>14357</v>
      </c>
      <c r="O824" s="2">
        <v>0</v>
      </c>
      <c r="Q824" s="2">
        <v>45152</v>
      </c>
      <c r="R824" s="2">
        <v>-38839</v>
      </c>
      <c r="S824" s="2">
        <v>5474</v>
      </c>
      <c r="T824" s="2">
        <v>7124</v>
      </c>
      <c r="U824" s="2">
        <v>0</v>
      </c>
      <c r="W824" s="2">
        <v>50864</v>
      </c>
      <c r="X824" s="2">
        <v>41670</v>
      </c>
      <c r="Y824" s="2">
        <v>33829</v>
      </c>
      <c r="Z824" s="2">
        <v>0</v>
      </c>
      <c r="AA824" s="2">
        <v>0</v>
      </c>
      <c r="AC824" s="2">
        <v>2106</v>
      </c>
      <c r="AD824" s="2">
        <v>2108</v>
      </c>
      <c r="AE824" s="2">
        <v>569</v>
      </c>
      <c r="AF824" s="2">
        <v>567</v>
      </c>
      <c r="AG824" s="2">
        <v>0</v>
      </c>
      <c r="AI824" s="2">
        <v>-6082</v>
      </c>
      <c r="AJ824" s="2">
        <v>-5512</v>
      </c>
      <c r="AK824" s="2">
        <v>-5514</v>
      </c>
      <c r="AL824" s="2">
        <v>0</v>
      </c>
      <c r="AM824" s="2">
        <v>0</v>
      </c>
    </row>
    <row r="825" spans="1:39">
      <c r="A825" s="335">
        <v>98904</v>
      </c>
      <c r="B825" s="328" t="s">
        <v>2789</v>
      </c>
      <c r="C825" s="239">
        <v>3.9999999999999998E-6</v>
      </c>
      <c r="E825" s="2">
        <v>1543</v>
      </c>
      <c r="F825" s="2">
        <v>359</v>
      </c>
      <c r="G825" s="2">
        <v>1149</v>
      </c>
      <c r="H825" s="2">
        <v>242</v>
      </c>
      <c r="I825" s="2">
        <v>0</v>
      </c>
      <c r="K825" s="2">
        <v>599</v>
      </c>
      <c r="L825" s="2">
        <v>564</v>
      </c>
      <c r="M825" s="2">
        <v>505</v>
      </c>
      <c r="N825" s="2">
        <v>202</v>
      </c>
      <c r="O825" s="2">
        <v>0</v>
      </c>
      <c r="Q825" s="2">
        <v>636</v>
      </c>
      <c r="R825" s="2">
        <v>-547</v>
      </c>
      <c r="S825" s="2">
        <v>77</v>
      </c>
      <c r="T825" s="2">
        <v>100</v>
      </c>
      <c r="U825" s="2">
        <v>0</v>
      </c>
      <c r="W825" s="2">
        <v>717</v>
      </c>
      <c r="X825" s="2">
        <v>587</v>
      </c>
      <c r="Y825" s="2">
        <v>477</v>
      </c>
      <c r="Z825" s="2">
        <v>0</v>
      </c>
      <c r="AA825" s="2">
        <v>0</v>
      </c>
      <c r="AC825" s="2">
        <v>152</v>
      </c>
      <c r="AD825" s="2">
        <v>152</v>
      </c>
      <c r="AE825" s="2">
        <v>151</v>
      </c>
      <c r="AF825" s="2">
        <v>0</v>
      </c>
      <c r="AG825" s="2">
        <v>0</v>
      </c>
      <c r="AI825" s="2">
        <v>-561</v>
      </c>
      <c r="AJ825" s="2">
        <v>-397</v>
      </c>
      <c r="AK825" s="2">
        <v>-61</v>
      </c>
      <c r="AL825" s="2">
        <v>-60</v>
      </c>
      <c r="AM825" s="2">
        <v>0</v>
      </c>
    </row>
    <row r="826" spans="1:39">
      <c r="A826" s="335">
        <v>98911</v>
      </c>
      <c r="B826" s="328" t="s">
        <v>1521</v>
      </c>
      <c r="C826" s="239">
        <v>1.59E-5</v>
      </c>
      <c r="E826" s="2">
        <v>10943</v>
      </c>
      <c r="F826" s="2">
        <v>4374</v>
      </c>
      <c r="G826" s="2">
        <v>5275</v>
      </c>
      <c r="H826" s="2">
        <v>914</v>
      </c>
      <c r="I826" s="2">
        <v>0</v>
      </c>
      <c r="K826" s="2">
        <v>2382</v>
      </c>
      <c r="L826" s="2">
        <v>2241</v>
      </c>
      <c r="M826" s="2">
        <v>2008</v>
      </c>
      <c r="N826" s="2">
        <v>804</v>
      </c>
      <c r="O826" s="2">
        <v>0</v>
      </c>
      <c r="Q826" s="2">
        <v>2529</v>
      </c>
      <c r="R826" s="2">
        <v>-2175</v>
      </c>
      <c r="S826" s="2">
        <v>307</v>
      </c>
      <c r="T826" s="2">
        <v>399</v>
      </c>
      <c r="U826" s="2">
        <v>0</v>
      </c>
      <c r="W826" s="2">
        <v>2849</v>
      </c>
      <c r="X826" s="2">
        <v>2334</v>
      </c>
      <c r="Y826" s="2">
        <v>1895</v>
      </c>
      <c r="Z826" s="2">
        <v>0</v>
      </c>
      <c r="AA826" s="2">
        <v>0</v>
      </c>
      <c r="AC826" s="2">
        <v>3473</v>
      </c>
      <c r="AD826" s="2">
        <v>2264</v>
      </c>
      <c r="AE826" s="2">
        <v>1355</v>
      </c>
      <c r="AF826" s="2">
        <v>0</v>
      </c>
      <c r="AG826" s="2">
        <v>0</v>
      </c>
      <c r="AI826" s="2">
        <v>-290</v>
      </c>
      <c r="AJ826" s="2">
        <v>-290</v>
      </c>
      <c r="AK826" s="2">
        <v>-290</v>
      </c>
      <c r="AL826" s="2">
        <v>-289</v>
      </c>
      <c r="AM826" s="2">
        <v>0</v>
      </c>
    </row>
    <row r="827" spans="1:39">
      <c r="A827" s="335">
        <v>99001</v>
      </c>
      <c r="B827" s="328" t="s">
        <v>1522</v>
      </c>
      <c r="C827" s="239">
        <v>8.8266000000000004E-3</v>
      </c>
      <c r="E827" s="2">
        <v>4468648</v>
      </c>
      <c r="F827" s="2">
        <v>1471105</v>
      </c>
      <c r="G827" s="2">
        <v>2456566</v>
      </c>
      <c r="H827" s="2">
        <v>777884</v>
      </c>
      <c r="I827" s="2">
        <v>0</v>
      </c>
      <c r="K827" s="2">
        <v>1322286</v>
      </c>
      <c r="L827" s="2">
        <v>1243844</v>
      </c>
      <c r="M827" s="2">
        <v>1114844</v>
      </c>
      <c r="N827" s="2">
        <v>446370</v>
      </c>
      <c r="O827" s="2">
        <v>0</v>
      </c>
      <c r="Q827" s="2">
        <v>1403791</v>
      </c>
      <c r="R827" s="2">
        <v>-1207523</v>
      </c>
      <c r="S827" s="2">
        <v>170186</v>
      </c>
      <c r="T827" s="2">
        <v>221495</v>
      </c>
      <c r="U827" s="2">
        <v>0</v>
      </c>
      <c r="W827" s="2">
        <v>1581391</v>
      </c>
      <c r="X827" s="2">
        <v>1295533</v>
      </c>
      <c r="Y827" s="2">
        <v>1051751</v>
      </c>
      <c r="Z827" s="2">
        <v>0</v>
      </c>
      <c r="AA827" s="2">
        <v>0</v>
      </c>
      <c r="AC827" s="2">
        <v>161180</v>
      </c>
      <c r="AD827" s="2">
        <v>139251</v>
      </c>
      <c r="AE827" s="2">
        <v>119785</v>
      </c>
      <c r="AF827" s="2">
        <v>110019</v>
      </c>
      <c r="AG827" s="2">
        <v>0</v>
      </c>
      <c r="AI827" s="2">
        <v>0</v>
      </c>
      <c r="AJ827" s="2">
        <v>0</v>
      </c>
      <c r="AK827" s="2">
        <v>0</v>
      </c>
      <c r="AL827" s="2">
        <v>0</v>
      </c>
      <c r="AM827" s="2">
        <v>0</v>
      </c>
    </row>
    <row r="828" spans="1:39">
      <c r="A828" s="335">
        <v>99011</v>
      </c>
      <c r="B828" s="328" t="s">
        <v>1523</v>
      </c>
      <c r="C828" s="239">
        <v>3.8520999999999998E-3</v>
      </c>
      <c r="E828" s="2">
        <v>1821690</v>
      </c>
      <c r="F828" s="2">
        <v>579727</v>
      </c>
      <c r="G828" s="2">
        <v>1025471</v>
      </c>
      <c r="H828" s="2">
        <v>296915</v>
      </c>
      <c r="I828" s="2">
        <v>0</v>
      </c>
      <c r="K828" s="2">
        <v>577072</v>
      </c>
      <c r="L828" s="2">
        <v>542838</v>
      </c>
      <c r="M828" s="2">
        <v>486539</v>
      </c>
      <c r="N828" s="2">
        <v>194805</v>
      </c>
      <c r="O828" s="2">
        <v>0</v>
      </c>
      <c r="Q828" s="2">
        <v>612642</v>
      </c>
      <c r="R828" s="2">
        <v>-526987</v>
      </c>
      <c r="S828" s="2">
        <v>74272</v>
      </c>
      <c r="T828" s="2">
        <v>96665</v>
      </c>
      <c r="U828" s="2">
        <v>0</v>
      </c>
      <c r="W828" s="2">
        <v>690150</v>
      </c>
      <c r="X828" s="2">
        <v>565396</v>
      </c>
      <c r="Y828" s="2">
        <v>459005</v>
      </c>
      <c r="Z828" s="2">
        <v>0</v>
      </c>
      <c r="AA828" s="2">
        <v>0</v>
      </c>
      <c r="AC828" s="2">
        <v>5653</v>
      </c>
      <c r="AD828" s="2">
        <v>5653</v>
      </c>
      <c r="AE828" s="2">
        <v>5655</v>
      </c>
      <c r="AF828" s="2">
        <v>5445</v>
      </c>
      <c r="AG828" s="2">
        <v>0</v>
      </c>
      <c r="AI828" s="2">
        <v>-63827</v>
      </c>
      <c r="AJ828" s="2">
        <v>-7173</v>
      </c>
      <c r="AK828" s="2">
        <v>0</v>
      </c>
      <c r="AL828" s="2">
        <v>0</v>
      </c>
      <c r="AM828" s="2">
        <v>0</v>
      </c>
    </row>
    <row r="829" spans="1:39">
      <c r="A829" s="335">
        <v>99013</v>
      </c>
      <c r="B829" s="328" t="s">
        <v>1524</v>
      </c>
      <c r="C829" s="239">
        <v>4.7599999999999998E-5</v>
      </c>
      <c r="E829" s="2">
        <v>21649</v>
      </c>
      <c r="F829" s="2">
        <v>7286</v>
      </c>
      <c r="G829" s="2">
        <v>13126</v>
      </c>
      <c r="H829" s="2">
        <v>4482</v>
      </c>
      <c r="I829" s="2">
        <v>0</v>
      </c>
      <c r="K829" s="2">
        <v>7131</v>
      </c>
      <c r="L829" s="2">
        <v>6708</v>
      </c>
      <c r="M829" s="2">
        <v>6012</v>
      </c>
      <c r="N829" s="2">
        <v>2407</v>
      </c>
      <c r="O829" s="2">
        <v>0</v>
      </c>
      <c r="Q829" s="2">
        <v>7570</v>
      </c>
      <c r="R829" s="2">
        <v>-6512</v>
      </c>
      <c r="S829" s="2">
        <v>918</v>
      </c>
      <c r="T829" s="2">
        <v>1194</v>
      </c>
      <c r="U829" s="2">
        <v>0</v>
      </c>
      <c r="W829" s="2">
        <v>8528</v>
      </c>
      <c r="X829" s="2">
        <v>6987</v>
      </c>
      <c r="Y829" s="2">
        <v>5672</v>
      </c>
      <c r="Z829" s="2">
        <v>0</v>
      </c>
      <c r="AA829" s="2">
        <v>0</v>
      </c>
      <c r="AC829" s="2">
        <v>883</v>
      </c>
      <c r="AD829" s="2">
        <v>883</v>
      </c>
      <c r="AE829" s="2">
        <v>883</v>
      </c>
      <c r="AF829" s="2">
        <v>881</v>
      </c>
      <c r="AG829" s="2">
        <v>0</v>
      </c>
      <c r="AI829" s="2">
        <v>-2463</v>
      </c>
      <c r="AJ829" s="2">
        <v>-780</v>
      </c>
      <c r="AK829" s="2">
        <v>-359</v>
      </c>
      <c r="AL829" s="2">
        <v>0</v>
      </c>
      <c r="AM829" s="2">
        <v>0</v>
      </c>
    </row>
    <row r="830" spans="1:39">
      <c r="A830" s="335">
        <v>99014</v>
      </c>
      <c r="B830" s="328" t="s">
        <v>1525</v>
      </c>
      <c r="C830" s="239">
        <v>2.1299999999999999E-5</v>
      </c>
      <c r="E830" s="2">
        <v>16781</v>
      </c>
      <c r="F830" s="2">
        <v>6101</v>
      </c>
      <c r="G830" s="2">
        <v>8258</v>
      </c>
      <c r="H830" s="2">
        <v>4287</v>
      </c>
      <c r="I830" s="2">
        <v>0</v>
      </c>
      <c r="K830" s="2">
        <v>3191</v>
      </c>
      <c r="L830" s="2">
        <v>3002</v>
      </c>
      <c r="M830" s="2">
        <v>2690</v>
      </c>
      <c r="N830" s="2">
        <v>1077</v>
      </c>
      <c r="O830" s="2">
        <v>0</v>
      </c>
      <c r="Q830" s="2">
        <v>3388</v>
      </c>
      <c r="R830" s="2">
        <v>-2914</v>
      </c>
      <c r="S830" s="2">
        <v>411</v>
      </c>
      <c r="T830" s="2">
        <v>535</v>
      </c>
      <c r="U830" s="2">
        <v>0</v>
      </c>
      <c r="W830" s="2">
        <v>3816</v>
      </c>
      <c r="X830" s="2">
        <v>3126</v>
      </c>
      <c r="Y830" s="2">
        <v>2538</v>
      </c>
      <c r="Z830" s="2">
        <v>0</v>
      </c>
      <c r="AA830" s="2">
        <v>0</v>
      </c>
      <c r="AC830" s="2">
        <v>6442</v>
      </c>
      <c r="AD830" s="2">
        <v>2943</v>
      </c>
      <c r="AE830" s="2">
        <v>2676</v>
      </c>
      <c r="AF830" s="2">
        <v>2675</v>
      </c>
      <c r="AG830" s="2">
        <v>0</v>
      </c>
      <c r="AI830" s="2">
        <v>-56</v>
      </c>
      <c r="AJ830" s="2">
        <v>-56</v>
      </c>
      <c r="AK830" s="2">
        <v>-57</v>
      </c>
      <c r="AL830" s="2">
        <v>0</v>
      </c>
      <c r="AM830" s="2">
        <v>0</v>
      </c>
    </row>
    <row r="831" spans="1:39">
      <c r="A831" s="335">
        <v>99017</v>
      </c>
      <c r="B831" s="328" t="s">
        <v>1526</v>
      </c>
      <c r="C831" s="239">
        <v>4.8600000000000002E-5</v>
      </c>
      <c r="E831" s="2">
        <v>25039</v>
      </c>
      <c r="F831" s="2">
        <v>7896</v>
      </c>
      <c r="G831" s="2">
        <v>12408</v>
      </c>
      <c r="H831" s="2">
        <v>4046</v>
      </c>
      <c r="I831" s="2">
        <v>0</v>
      </c>
      <c r="K831" s="2">
        <v>7281</v>
      </c>
      <c r="L831" s="2">
        <v>6849</v>
      </c>
      <c r="M831" s="2">
        <v>6138</v>
      </c>
      <c r="N831" s="2">
        <v>2458</v>
      </c>
      <c r="O831" s="2">
        <v>0</v>
      </c>
      <c r="Q831" s="2">
        <v>7729</v>
      </c>
      <c r="R831" s="2">
        <v>-6649</v>
      </c>
      <c r="S831" s="2">
        <v>937</v>
      </c>
      <c r="T831" s="2">
        <v>1220</v>
      </c>
      <c r="U831" s="2">
        <v>0</v>
      </c>
      <c r="W831" s="2">
        <v>8707</v>
      </c>
      <c r="X831" s="2">
        <v>7133</v>
      </c>
      <c r="Y831" s="2">
        <v>5791</v>
      </c>
      <c r="Z831" s="2">
        <v>0</v>
      </c>
      <c r="AA831" s="2">
        <v>0</v>
      </c>
      <c r="AC831" s="2">
        <v>2145</v>
      </c>
      <c r="AD831" s="2">
        <v>1386</v>
      </c>
      <c r="AE831" s="2">
        <v>366</v>
      </c>
      <c r="AF831" s="2">
        <v>368</v>
      </c>
      <c r="AG831" s="2">
        <v>0</v>
      </c>
      <c r="AI831" s="2">
        <v>-823</v>
      </c>
      <c r="AJ831" s="2">
        <v>-823</v>
      </c>
      <c r="AK831" s="2">
        <v>-824</v>
      </c>
      <c r="AL831" s="2">
        <v>0</v>
      </c>
      <c r="AM831" s="2">
        <v>0</v>
      </c>
    </row>
    <row r="832" spans="1:39">
      <c r="A832" s="335">
        <v>99021</v>
      </c>
      <c r="B832" s="328" t="s">
        <v>1527</v>
      </c>
      <c r="C832" s="239">
        <v>1.405E-4</v>
      </c>
      <c r="E832" s="2">
        <v>67951</v>
      </c>
      <c r="F832" s="2">
        <v>20804</v>
      </c>
      <c r="G832" s="2">
        <v>34816</v>
      </c>
      <c r="H832" s="2">
        <v>11554</v>
      </c>
      <c r="I832" s="2">
        <v>0</v>
      </c>
      <c r="K832" s="2">
        <v>21048</v>
      </c>
      <c r="L832" s="2">
        <v>19799</v>
      </c>
      <c r="M832" s="2">
        <v>17746</v>
      </c>
      <c r="N832" s="2">
        <v>7105</v>
      </c>
      <c r="O832" s="2">
        <v>0</v>
      </c>
      <c r="Q832" s="2">
        <v>22345</v>
      </c>
      <c r="R832" s="2">
        <v>-19221</v>
      </c>
      <c r="S832" s="2">
        <v>2709</v>
      </c>
      <c r="T832" s="2">
        <v>3526</v>
      </c>
      <c r="U832" s="2">
        <v>0</v>
      </c>
      <c r="W832" s="2">
        <v>25172</v>
      </c>
      <c r="X832" s="2">
        <v>20622</v>
      </c>
      <c r="Y832" s="2">
        <v>16742</v>
      </c>
      <c r="Z832" s="2">
        <v>0</v>
      </c>
      <c r="AA832" s="2">
        <v>0</v>
      </c>
      <c r="AC832" s="2">
        <v>2909</v>
      </c>
      <c r="AD832" s="2">
        <v>2907</v>
      </c>
      <c r="AE832" s="2">
        <v>923</v>
      </c>
      <c r="AF832" s="2">
        <v>923</v>
      </c>
      <c r="AG832" s="2">
        <v>0</v>
      </c>
      <c r="AI832" s="2">
        <v>-3523</v>
      </c>
      <c r="AJ832" s="2">
        <v>-3303</v>
      </c>
      <c r="AK832" s="2">
        <v>-3304</v>
      </c>
      <c r="AL832" s="2">
        <v>0</v>
      </c>
      <c r="AM832" s="2">
        <v>0</v>
      </c>
    </row>
    <row r="833" spans="1:39">
      <c r="A833" s="335">
        <v>99022</v>
      </c>
      <c r="B833" s="328" t="s">
        <v>211</v>
      </c>
      <c r="C833" s="239">
        <v>8.8000000000000004E-6</v>
      </c>
      <c r="E833" s="2">
        <v>8852</v>
      </c>
      <c r="F833" s="2">
        <v>5064</v>
      </c>
      <c r="G833" s="2">
        <v>4948</v>
      </c>
      <c r="H833" s="2">
        <v>2021</v>
      </c>
      <c r="I833" s="2">
        <v>0</v>
      </c>
      <c r="K833" s="2">
        <v>1318</v>
      </c>
      <c r="L833" s="2">
        <v>1240</v>
      </c>
      <c r="M833" s="2">
        <v>1111</v>
      </c>
      <c r="N833" s="2">
        <v>445</v>
      </c>
      <c r="O833" s="2">
        <v>0</v>
      </c>
      <c r="Q833" s="2">
        <v>1400</v>
      </c>
      <c r="R833" s="2">
        <v>-1204</v>
      </c>
      <c r="S833" s="2">
        <v>170</v>
      </c>
      <c r="T833" s="2">
        <v>221</v>
      </c>
      <c r="U833" s="2">
        <v>0</v>
      </c>
      <c r="W833" s="2">
        <v>1577</v>
      </c>
      <c r="X833" s="2">
        <v>1292</v>
      </c>
      <c r="Y833" s="2">
        <v>1049</v>
      </c>
      <c r="Z833" s="2">
        <v>0</v>
      </c>
      <c r="AA833" s="2">
        <v>0</v>
      </c>
      <c r="AC833" s="2">
        <v>4557</v>
      </c>
      <c r="AD833" s="2">
        <v>3736</v>
      </c>
      <c r="AE833" s="2">
        <v>2618</v>
      </c>
      <c r="AF833" s="2">
        <v>1355</v>
      </c>
      <c r="AG833" s="2">
        <v>0</v>
      </c>
      <c r="AI833" s="2">
        <v>0</v>
      </c>
      <c r="AJ833" s="2">
        <v>0</v>
      </c>
      <c r="AK833" s="2">
        <v>0</v>
      </c>
      <c r="AL833" s="2">
        <v>0</v>
      </c>
      <c r="AM833" s="2">
        <v>0</v>
      </c>
    </row>
    <row r="834" spans="1:39">
      <c r="A834" s="335">
        <v>99031</v>
      </c>
      <c r="B834" s="328" t="s">
        <v>1528</v>
      </c>
      <c r="C834" s="239">
        <v>1.208E-4</v>
      </c>
      <c r="E834" s="2">
        <v>48933</v>
      </c>
      <c r="F834" s="2">
        <v>7356</v>
      </c>
      <c r="G834" s="2">
        <v>24405</v>
      </c>
      <c r="H834" s="2">
        <v>5721</v>
      </c>
      <c r="I834" s="2">
        <v>0</v>
      </c>
      <c r="K834" s="2">
        <v>18097</v>
      </c>
      <c r="L834" s="2">
        <v>17023</v>
      </c>
      <c r="M834" s="2">
        <v>15258</v>
      </c>
      <c r="N834" s="2">
        <v>6109</v>
      </c>
      <c r="O834" s="2">
        <v>0</v>
      </c>
      <c r="Q834" s="2">
        <v>19212</v>
      </c>
      <c r="R834" s="2">
        <v>-16526</v>
      </c>
      <c r="S834" s="2">
        <v>2329</v>
      </c>
      <c r="T834" s="2">
        <v>3031</v>
      </c>
      <c r="U834" s="2">
        <v>0</v>
      </c>
      <c r="W834" s="2">
        <v>21643</v>
      </c>
      <c r="X834" s="2">
        <v>17731</v>
      </c>
      <c r="Y834" s="2">
        <v>14394</v>
      </c>
      <c r="Z834" s="2">
        <v>0</v>
      </c>
      <c r="AA834" s="2">
        <v>0</v>
      </c>
      <c r="AC834" s="2">
        <v>855</v>
      </c>
      <c r="AD834" s="2">
        <v>0</v>
      </c>
      <c r="AE834" s="2">
        <v>0</v>
      </c>
      <c r="AF834" s="2">
        <v>0</v>
      </c>
      <c r="AG834" s="2">
        <v>0</v>
      </c>
      <c r="AI834" s="2">
        <v>-10874</v>
      </c>
      <c r="AJ834" s="2">
        <v>-10872</v>
      </c>
      <c r="AK834" s="2">
        <v>-7576</v>
      </c>
      <c r="AL834" s="2">
        <v>-3419</v>
      </c>
      <c r="AM834" s="2">
        <v>0</v>
      </c>
    </row>
    <row r="835" spans="1:39">
      <c r="A835" s="335">
        <v>99041</v>
      </c>
      <c r="B835" s="328" t="s">
        <v>1529</v>
      </c>
      <c r="C835" s="239">
        <v>6.3840000000000001E-4</v>
      </c>
      <c r="E835" s="2">
        <v>305269</v>
      </c>
      <c r="F835" s="2">
        <v>88376</v>
      </c>
      <c r="G835" s="2">
        <v>156481</v>
      </c>
      <c r="H835" s="2">
        <v>39052</v>
      </c>
      <c r="I835" s="2">
        <v>0</v>
      </c>
      <c r="K835" s="2">
        <v>95637</v>
      </c>
      <c r="L835" s="2">
        <v>89963</v>
      </c>
      <c r="M835" s="2">
        <v>80633</v>
      </c>
      <c r="N835" s="2">
        <v>32285</v>
      </c>
      <c r="O835" s="2">
        <v>0</v>
      </c>
      <c r="Q835" s="2">
        <v>101532</v>
      </c>
      <c r="R835" s="2">
        <v>-87336</v>
      </c>
      <c r="S835" s="2">
        <v>12309</v>
      </c>
      <c r="T835" s="2">
        <v>16020</v>
      </c>
      <c r="U835" s="2">
        <v>0</v>
      </c>
      <c r="W835" s="2">
        <v>114377</v>
      </c>
      <c r="X835" s="2">
        <v>93702</v>
      </c>
      <c r="Y835" s="2">
        <v>76070</v>
      </c>
      <c r="Z835" s="2">
        <v>0</v>
      </c>
      <c r="AA835" s="2">
        <v>0</v>
      </c>
      <c r="AC835" s="2">
        <v>6256</v>
      </c>
      <c r="AD835" s="2">
        <v>4580</v>
      </c>
      <c r="AE835" s="2">
        <v>0</v>
      </c>
      <c r="AF835" s="2">
        <v>0</v>
      </c>
      <c r="AG835" s="2">
        <v>0</v>
      </c>
      <c r="AI835" s="2">
        <v>-12533</v>
      </c>
      <c r="AJ835" s="2">
        <v>-12533</v>
      </c>
      <c r="AK835" s="2">
        <v>-12531</v>
      </c>
      <c r="AL835" s="2">
        <v>-9253</v>
      </c>
      <c r="AM835" s="2">
        <v>0</v>
      </c>
    </row>
    <row r="836" spans="1:39">
      <c r="A836" s="335">
        <v>99047</v>
      </c>
      <c r="B836" s="328" t="s">
        <v>1530</v>
      </c>
      <c r="C836" s="239">
        <v>1.33E-5</v>
      </c>
      <c r="E836" s="2">
        <v>9024</v>
      </c>
      <c r="F836" s="2">
        <v>4389</v>
      </c>
      <c r="G836" s="2">
        <v>4817</v>
      </c>
      <c r="H836" s="2">
        <v>1625</v>
      </c>
      <c r="I836" s="2">
        <v>0</v>
      </c>
      <c r="K836" s="2">
        <v>1992</v>
      </c>
      <c r="L836" s="2">
        <v>1874</v>
      </c>
      <c r="M836" s="2">
        <v>1680</v>
      </c>
      <c r="N836" s="2">
        <v>673</v>
      </c>
      <c r="O836" s="2">
        <v>0</v>
      </c>
      <c r="Q836" s="2">
        <v>2115</v>
      </c>
      <c r="R836" s="2">
        <v>-1820</v>
      </c>
      <c r="S836" s="2">
        <v>256</v>
      </c>
      <c r="T836" s="2">
        <v>334</v>
      </c>
      <c r="U836" s="2">
        <v>0</v>
      </c>
      <c r="W836" s="2">
        <v>2383</v>
      </c>
      <c r="X836" s="2">
        <v>1952</v>
      </c>
      <c r="Y836" s="2">
        <v>1585</v>
      </c>
      <c r="Z836" s="2">
        <v>0</v>
      </c>
      <c r="AA836" s="2">
        <v>0</v>
      </c>
      <c r="AC836" s="2">
        <v>2534</v>
      </c>
      <c r="AD836" s="2">
        <v>2383</v>
      </c>
      <c r="AE836" s="2">
        <v>1296</v>
      </c>
      <c r="AF836" s="2">
        <v>618</v>
      </c>
      <c r="AG836" s="2">
        <v>0</v>
      </c>
      <c r="AI836" s="2">
        <v>0</v>
      </c>
      <c r="AJ836" s="2">
        <v>0</v>
      </c>
      <c r="AK836" s="2">
        <v>0</v>
      </c>
      <c r="AL836" s="2">
        <v>0</v>
      </c>
      <c r="AM836" s="2">
        <v>0</v>
      </c>
    </row>
    <row r="837" spans="1:39">
      <c r="A837" s="335">
        <v>99051</v>
      </c>
      <c r="B837" s="328" t="s">
        <v>1531</v>
      </c>
      <c r="C837" s="239">
        <v>3.4049999999999998E-4</v>
      </c>
      <c r="E837" s="2">
        <v>160686</v>
      </c>
      <c r="F837" s="2">
        <v>43686</v>
      </c>
      <c r="G837" s="2">
        <v>83089</v>
      </c>
      <c r="H837" s="2">
        <v>21581</v>
      </c>
      <c r="I837" s="2">
        <v>0</v>
      </c>
      <c r="K837" s="2">
        <v>51009</v>
      </c>
      <c r="L837" s="2">
        <v>47983</v>
      </c>
      <c r="M837" s="2">
        <v>43007</v>
      </c>
      <c r="N837" s="2">
        <v>17219</v>
      </c>
      <c r="O837" s="2">
        <v>0</v>
      </c>
      <c r="Q837" s="2">
        <v>54153</v>
      </c>
      <c r="R837" s="2">
        <v>-46582</v>
      </c>
      <c r="S837" s="2">
        <v>6565</v>
      </c>
      <c r="T837" s="2">
        <v>8545</v>
      </c>
      <c r="U837" s="2">
        <v>0</v>
      </c>
      <c r="W837" s="2">
        <v>61005</v>
      </c>
      <c r="X837" s="2">
        <v>49977</v>
      </c>
      <c r="Y837" s="2">
        <v>40573</v>
      </c>
      <c r="Z837" s="2">
        <v>0</v>
      </c>
      <c r="AA837" s="2">
        <v>0</v>
      </c>
      <c r="AC837" s="2">
        <v>2211</v>
      </c>
      <c r="AD837" s="2">
        <v>0</v>
      </c>
      <c r="AE837" s="2">
        <v>0</v>
      </c>
      <c r="AF837" s="2">
        <v>0</v>
      </c>
      <c r="AG837" s="2">
        <v>0</v>
      </c>
      <c r="AI837" s="2">
        <v>-7692</v>
      </c>
      <c r="AJ837" s="2">
        <v>-7692</v>
      </c>
      <c r="AK837" s="2">
        <v>-7056</v>
      </c>
      <c r="AL837" s="2">
        <v>-4183</v>
      </c>
      <c r="AM837" s="2">
        <v>0</v>
      </c>
    </row>
    <row r="838" spans="1:39">
      <c r="A838" s="335">
        <v>99061</v>
      </c>
      <c r="B838" s="328" t="s">
        <v>1532</v>
      </c>
      <c r="C838" s="239">
        <v>6.1E-6</v>
      </c>
      <c r="E838" s="2">
        <v>5269</v>
      </c>
      <c r="F838" s="2">
        <v>2564</v>
      </c>
      <c r="G838" s="2">
        <v>2472</v>
      </c>
      <c r="H838" s="2">
        <v>475</v>
      </c>
      <c r="I838" s="2">
        <v>0</v>
      </c>
      <c r="K838" s="2">
        <v>914</v>
      </c>
      <c r="L838" s="2">
        <v>860</v>
      </c>
      <c r="M838" s="2">
        <v>770</v>
      </c>
      <c r="N838" s="2">
        <v>308</v>
      </c>
      <c r="O838" s="2">
        <v>0</v>
      </c>
      <c r="Q838" s="2">
        <v>970</v>
      </c>
      <c r="R838" s="2">
        <v>-835</v>
      </c>
      <c r="S838" s="2">
        <v>118</v>
      </c>
      <c r="T838" s="2">
        <v>153</v>
      </c>
      <c r="U838" s="2">
        <v>0</v>
      </c>
      <c r="W838" s="2">
        <v>1093</v>
      </c>
      <c r="X838" s="2">
        <v>895</v>
      </c>
      <c r="Y838" s="2">
        <v>727</v>
      </c>
      <c r="Z838" s="2">
        <v>0</v>
      </c>
      <c r="AA838" s="2">
        <v>0</v>
      </c>
      <c r="AC838" s="2">
        <v>2292</v>
      </c>
      <c r="AD838" s="2">
        <v>1644</v>
      </c>
      <c r="AE838" s="2">
        <v>857</v>
      </c>
      <c r="AF838" s="2">
        <v>14</v>
      </c>
      <c r="AG838" s="2">
        <v>0</v>
      </c>
      <c r="AI838" s="2">
        <v>0</v>
      </c>
      <c r="AJ838" s="2">
        <v>0</v>
      </c>
      <c r="AK838" s="2">
        <v>0</v>
      </c>
      <c r="AL838" s="2">
        <v>0</v>
      </c>
      <c r="AM838" s="2">
        <v>0</v>
      </c>
    </row>
    <row r="839" spans="1:39">
      <c r="A839" s="335">
        <v>99071</v>
      </c>
      <c r="B839" s="328" t="s">
        <v>1533</v>
      </c>
      <c r="C839" s="239">
        <v>2.4499999999999999E-5</v>
      </c>
      <c r="E839" s="2">
        <v>12292</v>
      </c>
      <c r="F839" s="2">
        <v>4190</v>
      </c>
      <c r="G839" s="2">
        <v>6772</v>
      </c>
      <c r="H839" s="2">
        <v>2989</v>
      </c>
      <c r="I839" s="2">
        <v>0</v>
      </c>
      <c r="K839" s="2">
        <v>3670</v>
      </c>
      <c r="L839" s="2">
        <v>3453</v>
      </c>
      <c r="M839" s="2">
        <v>3094</v>
      </c>
      <c r="N839" s="2">
        <v>1239</v>
      </c>
      <c r="O839" s="2">
        <v>0</v>
      </c>
      <c r="Q839" s="2">
        <v>3897</v>
      </c>
      <c r="R839" s="2">
        <v>-3352</v>
      </c>
      <c r="S839" s="2">
        <v>472</v>
      </c>
      <c r="T839" s="2">
        <v>615</v>
      </c>
      <c r="U839" s="2">
        <v>0</v>
      </c>
      <c r="W839" s="2">
        <v>4389</v>
      </c>
      <c r="X839" s="2">
        <v>3596</v>
      </c>
      <c r="Y839" s="2">
        <v>2919</v>
      </c>
      <c r="Z839" s="2">
        <v>0</v>
      </c>
      <c r="AA839" s="2">
        <v>0</v>
      </c>
      <c r="AC839" s="2">
        <v>1339</v>
      </c>
      <c r="AD839" s="2">
        <v>1341</v>
      </c>
      <c r="AE839" s="2">
        <v>1135</v>
      </c>
      <c r="AF839" s="2">
        <v>1135</v>
      </c>
      <c r="AG839" s="2">
        <v>0</v>
      </c>
      <c r="AI839" s="2">
        <v>-1003</v>
      </c>
      <c r="AJ839" s="2">
        <v>-848</v>
      </c>
      <c r="AK839" s="2">
        <v>-848</v>
      </c>
      <c r="AL839" s="2">
        <v>0</v>
      </c>
      <c r="AM839" s="2">
        <v>0</v>
      </c>
    </row>
    <row r="840" spans="1:39">
      <c r="A840" s="335">
        <v>99081</v>
      </c>
      <c r="B840" s="328" t="s">
        <v>1534</v>
      </c>
      <c r="C840" s="239">
        <v>3.65E-5</v>
      </c>
      <c r="E840" s="2">
        <v>19728</v>
      </c>
      <c r="F840" s="2">
        <v>8395</v>
      </c>
      <c r="G840" s="2">
        <v>14635</v>
      </c>
      <c r="H840" s="2">
        <v>6675</v>
      </c>
      <c r="I840" s="2">
        <v>0</v>
      </c>
      <c r="K840" s="2">
        <v>5468</v>
      </c>
      <c r="L840" s="2">
        <v>5144</v>
      </c>
      <c r="M840" s="2">
        <v>4610</v>
      </c>
      <c r="N840" s="2">
        <v>1846</v>
      </c>
      <c r="O840" s="2">
        <v>0</v>
      </c>
      <c r="Q840" s="2">
        <v>5805</v>
      </c>
      <c r="R840" s="2">
        <v>-4993</v>
      </c>
      <c r="S840" s="2">
        <v>704</v>
      </c>
      <c r="T840" s="2">
        <v>916</v>
      </c>
      <c r="U840" s="2">
        <v>0</v>
      </c>
      <c r="W840" s="2">
        <v>6539</v>
      </c>
      <c r="X840" s="2">
        <v>5357</v>
      </c>
      <c r="Y840" s="2">
        <v>4349</v>
      </c>
      <c r="Z840" s="2">
        <v>0</v>
      </c>
      <c r="AA840" s="2">
        <v>0</v>
      </c>
      <c r="AC840" s="2">
        <v>4974</v>
      </c>
      <c r="AD840" s="2">
        <v>4974</v>
      </c>
      <c r="AE840" s="2">
        <v>4972</v>
      </c>
      <c r="AF840" s="2">
        <v>3913</v>
      </c>
      <c r="AG840" s="2">
        <v>0</v>
      </c>
      <c r="AI840" s="2">
        <v>-3058</v>
      </c>
      <c r="AJ840" s="2">
        <v>-2087</v>
      </c>
      <c r="AK840" s="2">
        <v>0</v>
      </c>
      <c r="AL840" s="2">
        <v>0</v>
      </c>
      <c r="AM840" s="2">
        <v>0</v>
      </c>
    </row>
    <row r="841" spans="1:39">
      <c r="A841" s="335">
        <v>99091</v>
      </c>
      <c r="B841" s="328" t="s">
        <v>1535</v>
      </c>
      <c r="C841" s="239">
        <v>5.4E-6</v>
      </c>
      <c r="E841" s="2">
        <v>5669</v>
      </c>
      <c r="F841" s="2">
        <v>3490</v>
      </c>
      <c r="G841" s="2">
        <v>3536</v>
      </c>
      <c r="H841" s="2">
        <v>1952</v>
      </c>
      <c r="I841" s="2">
        <v>0</v>
      </c>
      <c r="K841" s="2">
        <v>809</v>
      </c>
      <c r="L841" s="2">
        <v>761</v>
      </c>
      <c r="M841" s="2">
        <v>682</v>
      </c>
      <c r="N841" s="2">
        <v>273</v>
      </c>
      <c r="O841" s="2">
        <v>0</v>
      </c>
      <c r="Q841" s="2">
        <v>859</v>
      </c>
      <c r="R841" s="2">
        <v>-739</v>
      </c>
      <c r="S841" s="2">
        <v>104</v>
      </c>
      <c r="T841" s="2">
        <v>136</v>
      </c>
      <c r="U841" s="2">
        <v>0</v>
      </c>
      <c r="W841" s="2">
        <v>967</v>
      </c>
      <c r="X841" s="2">
        <v>793</v>
      </c>
      <c r="Y841" s="2">
        <v>643</v>
      </c>
      <c r="Z841" s="2">
        <v>0</v>
      </c>
      <c r="AA841" s="2">
        <v>0</v>
      </c>
      <c r="AC841" s="2">
        <v>3034</v>
      </c>
      <c r="AD841" s="2">
        <v>2675</v>
      </c>
      <c r="AE841" s="2">
        <v>2107</v>
      </c>
      <c r="AF841" s="2">
        <v>1543</v>
      </c>
      <c r="AG841" s="2">
        <v>0</v>
      </c>
      <c r="AI841" s="2">
        <v>0</v>
      </c>
      <c r="AJ841" s="2">
        <v>0</v>
      </c>
      <c r="AK841" s="2">
        <v>0</v>
      </c>
      <c r="AL841" s="2">
        <v>0</v>
      </c>
      <c r="AM841" s="2">
        <v>0</v>
      </c>
    </row>
    <row r="842" spans="1:39">
      <c r="A842" s="335">
        <v>99101</v>
      </c>
      <c r="B842" s="328" t="s">
        <v>1536</v>
      </c>
      <c r="C842" s="239">
        <v>2.1218000000000001E-3</v>
      </c>
      <c r="E842" s="2">
        <v>1001234</v>
      </c>
      <c r="F842" s="2">
        <v>293948</v>
      </c>
      <c r="G842" s="2">
        <v>524704</v>
      </c>
      <c r="H842" s="2">
        <v>132708</v>
      </c>
      <c r="I842" s="2">
        <v>0</v>
      </c>
      <c r="K842" s="2">
        <v>317860</v>
      </c>
      <c r="L842" s="2">
        <v>299004</v>
      </c>
      <c r="M842" s="2">
        <v>267994</v>
      </c>
      <c r="N842" s="2">
        <v>107302</v>
      </c>
      <c r="O842" s="2">
        <v>0</v>
      </c>
      <c r="Q842" s="2">
        <v>337453</v>
      </c>
      <c r="R842" s="2">
        <v>-290273</v>
      </c>
      <c r="S842" s="2">
        <v>40910</v>
      </c>
      <c r="T842" s="2">
        <v>53244</v>
      </c>
      <c r="U842" s="2">
        <v>0</v>
      </c>
      <c r="W842" s="2">
        <v>380146</v>
      </c>
      <c r="X842" s="2">
        <v>311429</v>
      </c>
      <c r="Y842" s="2">
        <v>252827</v>
      </c>
      <c r="Z842" s="2">
        <v>0</v>
      </c>
      <c r="AA842" s="2">
        <v>0</v>
      </c>
      <c r="AC842" s="2">
        <v>10814</v>
      </c>
      <c r="AD842" s="2">
        <v>10815</v>
      </c>
      <c r="AE842" s="2">
        <v>0</v>
      </c>
      <c r="AF842" s="2">
        <v>0</v>
      </c>
      <c r="AG842" s="2">
        <v>0</v>
      </c>
      <c r="AI842" s="2">
        <v>-45039</v>
      </c>
      <c r="AJ842" s="2">
        <v>-37027</v>
      </c>
      <c r="AK842" s="2">
        <v>-37027</v>
      </c>
      <c r="AL842" s="2">
        <v>-27838</v>
      </c>
      <c r="AM842" s="2">
        <v>0</v>
      </c>
    </row>
    <row r="843" spans="1:39">
      <c r="A843" s="335">
        <v>99104</v>
      </c>
      <c r="B843" s="328" t="s">
        <v>2788</v>
      </c>
      <c r="C843" s="239">
        <v>3.2700000000000002E-5</v>
      </c>
      <c r="E843" s="2">
        <v>22809</v>
      </c>
      <c r="F843" s="2">
        <v>9934</v>
      </c>
      <c r="G843" s="2">
        <v>12377</v>
      </c>
      <c r="H843" s="2">
        <v>4325</v>
      </c>
      <c r="I843" s="2">
        <v>0</v>
      </c>
      <c r="K843" s="2">
        <v>4899</v>
      </c>
      <c r="L843" s="2">
        <v>4608</v>
      </c>
      <c r="M843" s="2">
        <v>4130</v>
      </c>
      <c r="N843" s="2">
        <v>1654</v>
      </c>
      <c r="O843" s="2">
        <v>0</v>
      </c>
      <c r="Q843" s="2">
        <v>5201</v>
      </c>
      <c r="R843" s="2">
        <v>-4474</v>
      </c>
      <c r="S843" s="2">
        <v>630</v>
      </c>
      <c r="T843" s="2">
        <v>821</v>
      </c>
      <c r="U843" s="2">
        <v>0</v>
      </c>
      <c r="W843" s="2">
        <v>5859</v>
      </c>
      <c r="X843" s="2">
        <v>4800</v>
      </c>
      <c r="Y843" s="2">
        <v>3896</v>
      </c>
      <c r="Z843" s="2">
        <v>0</v>
      </c>
      <c r="AA843" s="2">
        <v>0</v>
      </c>
      <c r="AC843" s="2">
        <v>6850</v>
      </c>
      <c r="AD843" s="2">
        <v>5000</v>
      </c>
      <c r="AE843" s="2">
        <v>3721</v>
      </c>
      <c r="AF843" s="2">
        <v>1850</v>
      </c>
      <c r="AG843" s="2">
        <v>0</v>
      </c>
      <c r="AI843" s="2">
        <v>0</v>
      </c>
      <c r="AJ843" s="2">
        <v>0</v>
      </c>
      <c r="AK843" s="2">
        <v>0</v>
      </c>
      <c r="AL843" s="2">
        <v>0</v>
      </c>
      <c r="AM843" s="2">
        <v>0</v>
      </c>
    </row>
    <row r="844" spans="1:39">
      <c r="A844" s="335">
        <v>99109</v>
      </c>
      <c r="B844" s="328" t="s">
        <v>2807</v>
      </c>
      <c r="C844" s="239">
        <v>1.169E-4</v>
      </c>
      <c r="E844" s="2">
        <v>53708</v>
      </c>
      <c r="F844" s="2">
        <v>17177</v>
      </c>
      <c r="G844" s="2">
        <v>29730</v>
      </c>
      <c r="H844" s="2">
        <v>8309</v>
      </c>
      <c r="I844" s="2">
        <v>0</v>
      </c>
      <c r="K844" s="2">
        <v>17512</v>
      </c>
      <c r="L844" s="2">
        <v>16474</v>
      </c>
      <c r="M844" s="2">
        <v>14765</v>
      </c>
      <c r="N844" s="2">
        <v>5912</v>
      </c>
      <c r="O844" s="2">
        <v>0</v>
      </c>
      <c r="Q844" s="2">
        <v>18592</v>
      </c>
      <c r="R844" s="2">
        <v>-15993</v>
      </c>
      <c r="S844" s="2">
        <v>2254</v>
      </c>
      <c r="T844" s="2">
        <v>2933</v>
      </c>
      <c r="U844" s="2">
        <v>0</v>
      </c>
      <c r="W844" s="2">
        <v>20944</v>
      </c>
      <c r="X844" s="2">
        <v>17158</v>
      </c>
      <c r="Y844" s="2">
        <v>13929</v>
      </c>
      <c r="Z844" s="2">
        <v>0</v>
      </c>
      <c r="AA844" s="2">
        <v>0</v>
      </c>
      <c r="AC844" s="2">
        <v>759</v>
      </c>
      <c r="AD844" s="2">
        <v>758</v>
      </c>
      <c r="AE844" s="2">
        <v>0</v>
      </c>
      <c r="AF844" s="2">
        <v>0</v>
      </c>
      <c r="AG844" s="2">
        <v>0</v>
      </c>
      <c r="AI844" s="2">
        <v>-4099</v>
      </c>
      <c r="AJ844" s="2">
        <v>-1220</v>
      </c>
      <c r="AK844" s="2">
        <v>-1218</v>
      </c>
      <c r="AL844" s="2">
        <v>-536</v>
      </c>
      <c r="AM844" s="2">
        <v>0</v>
      </c>
    </row>
    <row r="845" spans="1:39">
      <c r="A845" s="335">
        <v>99110</v>
      </c>
      <c r="B845" s="328" t="s">
        <v>1539</v>
      </c>
      <c r="C845" s="239">
        <v>1.437E-4</v>
      </c>
      <c r="E845" s="2">
        <v>93979</v>
      </c>
      <c r="F845" s="2">
        <v>39554</v>
      </c>
      <c r="G845" s="2">
        <v>49317</v>
      </c>
      <c r="H845" s="2">
        <v>14783</v>
      </c>
      <c r="I845" s="2">
        <v>0</v>
      </c>
      <c r="K845" s="2">
        <v>21527</v>
      </c>
      <c r="L845" s="2">
        <v>20250</v>
      </c>
      <c r="M845" s="2">
        <v>18150</v>
      </c>
      <c r="N845" s="2">
        <v>7267</v>
      </c>
      <c r="O845" s="2">
        <v>0</v>
      </c>
      <c r="Q845" s="2">
        <v>22854</v>
      </c>
      <c r="R845" s="2">
        <v>-19659</v>
      </c>
      <c r="S845" s="2">
        <v>2771</v>
      </c>
      <c r="T845" s="2">
        <v>3606</v>
      </c>
      <c r="U845" s="2">
        <v>0</v>
      </c>
      <c r="W845" s="2">
        <v>25746</v>
      </c>
      <c r="X845" s="2">
        <v>21092</v>
      </c>
      <c r="Y845" s="2">
        <v>17123</v>
      </c>
      <c r="Z845" s="2">
        <v>0</v>
      </c>
      <c r="AA845" s="2">
        <v>0</v>
      </c>
      <c r="AC845" s="2">
        <v>23852</v>
      </c>
      <c r="AD845" s="2">
        <v>17871</v>
      </c>
      <c r="AE845" s="2">
        <v>11273</v>
      </c>
      <c r="AF845" s="2">
        <v>3910</v>
      </c>
      <c r="AG845" s="2">
        <v>0</v>
      </c>
      <c r="AI845" s="2">
        <v>0</v>
      </c>
      <c r="AJ845" s="2">
        <v>0</v>
      </c>
      <c r="AK845" s="2">
        <v>0</v>
      </c>
      <c r="AL845" s="2">
        <v>0</v>
      </c>
      <c r="AM845" s="2">
        <v>0</v>
      </c>
    </row>
    <row r="846" spans="1:39">
      <c r="A846" s="335">
        <v>99111</v>
      </c>
      <c r="B846" s="328" t="s">
        <v>1540</v>
      </c>
      <c r="C846" s="239">
        <v>1.3064999999999999E-3</v>
      </c>
      <c r="E846" s="2">
        <v>606137</v>
      </c>
      <c r="F846" s="2">
        <v>178736</v>
      </c>
      <c r="G846" s="2">
        <v>336952</v>
      </c>
      <c r="H846" s="2">
        <v>92372</v>
      </c>
      <c r="I846" s="2">
        <v>0</v>
      </c>
      <c r="K846" s="2">
        <v>195723</v>
      </c>
      <c r="L846" s="2">
        <v>184112</v>
      </c>
      <c r="M846" s="2">
        <v>165017</v>
      </c>
      <c r="N846" s="2">
        <v>66071</v>
      </c>
      <c r="O846" s="2">
        <v>0</v>
      </c>
      <c r="Q846" s="2">
        <v>207787</v>
      </c>
      <c r="R846" s="2">
        <v>-178736</v>
      </c>
      <c r="S846" s="2">
        <v>25191</v>
      </c>
      <c r="T846" s="2">
        <v>32785</v>
      </c>
      <c r="U846" s="2">
        <v>0</v>
      </c>
      <c r="W846" s="2">
        <v>234075</v>
      </c>
      <c r="X846" s="2">
        <v>191763</v>
      </c>
      <c r="Y846" s="2">
        <v>155679</v>
      </c>
      <c r="Z846" s="2">
        <v>0</v>
      </c>
      <c r="AA846" s="2">
        <v>0</v>
      </c>
      <c r="AC846" s="2">
        <v>0</v>
      </c>
      <c r="AD846" s="2">
        <v>0</v>
      </c>
      <c r="AE846" s="2">
        <v>0</v>
      </c>
      <c r="AF846" s="2">
        <v>0</v>
      </c>
      <c r="AG846" s="2">
        <v>0</v>
      </c>
      <c r="AI846" s="2">
        <v>-31448</v>
      </c>
      <c r="AJ846" s="2">
        <v>-18403</v>
      </c>
      <c r="AK846" s="2">
        <v>-8935</v>
      </c>
      <c r="AL846" s="2">
        <v>-6484</v>
      </c>
      <c r="AM846" s="2">
        <v>0</v>
      </c>
    </row>
    <row r="847" spans="1:39">
      <c r="A847" s="335">
        <v>99201</v>
      </c>
      <c r="B847" s="328" t="s">
        <v>1541</v>
      </c>
      <c r="C847" s="239">
        <v>3.5284299999999998E-2</v>
      </c>
      <c r="E847" s="2">
        <v>17767424</v>
      </c>
      <c r="F847" s="2">
        <v>5767275</v>
      </c>
      <c r="G847" s="2">
        <v>9643328</v>
      </c>
      <c r="H847" s="2">
        <v>2830177</v>
      </c>
      <c r="I847" s="2">
        <v>0</v>
      </c>
      <c r="K847" s="2">
        <v>5285835</v>
      </c>
      <c r="L847" s="2">
        <v>4972264</v>
      </c>
      <c r="M847" s="2">
        <v>4456584</v>
      </c>
      <c r="N847" s="2">
        <v>1784362</v>
      </c>
      <c r="O847" s="2">
        <v>0</v>
      </c>
      <c r="Q847" s="2">
        <v>5611650</v>
      </c>
      <c r="R847" s="2">
        <v>-4827069</v>
      </c>
      <c r="S847" s="2">
        <v>680317</v>
      </c>
      <c r="T847" s="2">
        <v>885424</v>
      </c>
      <c r="U847" s="2">
        <v>0</v>
      </c>
      <c r="W847" s="2">
        <v>6321606</v>
      </c>
      <c r="X847" s="2">
        <v>5178888</v>
      </c>
      <c r="Y847" s="2">
        <v>4204371</v>
      </c>
      <c r="Z847" s="2">
        <v>0</v>
      </c>
      <c r="AA847" s="2">
        <v>0</v>
      </c>
      <c r="AC847" s="2">
        <v>548333</v>
      </c>
      <c r="AD847" s="2">
        <v>443192</v>
      </c>
      <c r="AE847" s="2">
        <v>302056</v>
      </c>
      <c r="AF847" s="2">
        <v>160391</v>
      </c>
      <c r="AG847" s="2">
        <v>0</v>
      </c>
      <c r="AI847" s="2">
        <v>0</v>
      </c>
      <c r="AJ847" s="2">
        <v>0</v>
      </c>
      <c r="AK847" s="2">
        <v>0</v>
      </c>
      <c r="AL847" s="2">
        <v>0</v>
      </c>
      <c r="AM847" s="2">
        <v>0</v>
      </c>
    </row>
    <row r="848" spans="1:39">
      <c r="A848" s="335">
        <v>99202</v>
      </c>
      <c r="B848" s="328" t="s">
        <v>1542</v>
      </c>
      <c r="C848" s="239">
        <v>2.8322E-3</v>
      </c>
      <c r="E848" s="2">
        <v>1336577</v>
      </c>
      <c r="F848" s="2">
        <v>413203</v>
      </c>
      <c r="G848" s="2">
        <v>746614</v>
      </c>
      <c r="H848" s="2">
        <v>213319</v>
      </c>
      <c r="I848" s="2">
        <v>0</v>
      </c>
      <c r="K848" s="2">
        <v>424283</v>
      </c>
      <c r="L848" s="2">
        <v>399114</v>
      </c>
      <c r="M848" s="2">
        <v>357721</v>
      </c>
      <c r="N848" s="2">
        <v>143227</v>
      </c>
      <c r="O848" s="2">
        <v>0</v>
      </c>
      <c r="Q848" s="2">
        <v>450436</v>
      </c>
      <c r="R848" s="2">
        <v>-387459</v>
      </c>
      <c r="S848" s="2">
        <v>54608</v>
      </c>
      <c r="T848" s="2">
        <v>71071</v>
      </c>
      <c r="U848" s="2">
        <v>0</v>
      </c>
      <c r="W848" s="2">
        <v>507423</v>
      </c>
      <c r="X848" s="2">
        <v>415699</v>
      </c>
      <c r="Y848" s="2">
        <v>337476</v>
      </c>
      <c r="Z848" s="2">
        <v>0</v>
      </c>
      <c r="AA848" s="2">
        <v>0</v>
      </c>
      <c r="AC848" s="2">
        <v>0</v>
      </c>
      <c r="AD848" s="2">
        <v>0</v>
      </c>
      <c r="AE848" s="2">
        <v>0</v>
      </c>
      <c r="AF848" s="2">
        <v>0</v>
      </c>
      <c r="AG848" s="2">
        <v>0</v>
      </c>
      <c r="AI848" s="2">
        <v>-45565</v>
      </c>
      <c r="AJ848" s="2">
        <v>-14151</v>
      </c>
      <c r="AK848" s="2">
        <v>-3191</v>
      </c>
      <c r="AL848" s="2">
        <v>-979</v>
      </c>
      <c r="AM848" s="2">
        <v>0</v>
      </c>
    </row>
    <row r="849" spans="1:39">
      <c r="A849" s="335">
        <v>99203</v>
      </c>
      <c r="B849" s="328" t="s">
        <v>1543</v>
      </c>
      <c r="C849" s="239">
        <v>3.5179999999999999E-4</v>
      </c>
      <c r="E849" s="2">
        <v>176264</v>
      </c>
      <c r="F849" s="2">
        <v>53970</v>
      </c>
      <c r="G849" s="2">
        <v>99201</v>
      </c>
      <c r="H849" s="2">
        <v>35351</v>
      </c>
      <c r="I849" s="2">
        <v>0</v>
      </c>
      <c r="K849" s="2">
        <v>52702</v>
      </c>
      <c r="L849" s="2">
        <v>49576</v>
      </c>
      <c r="M849" s="2">
        <v>44434</v>
      </c>
      <c r="N849" s="2">
        <v>17791</v>
      </c>
      <c r="O849" s="2">
        <v>0</v>
      </c>
      <c r="Q849" s="2">
        <v>55951</v>
      </c>
      <c r="R849" s="2">
        <v>-48128</v>
      </c>
      <c r="S849" s="2">
        <v>6783</v>
      </c>
      <c r="T849" s="2">
        <v>8828</v>
      </c>
      <c r="U849" s="2">
        <v>0</v>
      </c>
      <c r="W849" s="2">
        <v>63029</v>
      </c>
      <c r="X849" s="2">
        <v>51636</v>
      </c>
      <c r="Y849" s="2">
        <v>41919</v>
      </c>
      <c r="Z849" s="2">
        <v>0</v>
      </c>
      <c r="AA849" s="2">
        <v>0</v>
      </c>
      <c r="AC849" s="2">
        <v>12428</v>
      </c>
      <c r="AD849" s="2">
        <v>8730</v>
      </c>
      <c r="AE849" s="2">
        <v>8730</v>
      </c>
      <c r="AF849" s="2">
        <v>8732</v>
      </c>
      <c r="AG849" s="2">
        <v>0</v>
      </c>
      <c r="AI849" s="2">
        <v>-7846</v>
      </c>
      <c r="AJ849" s="2">
        <v>-7844</v>
      </c>
      <c r="AK849" s="2">
        <v>-2665</v>
      </c>
      <c r="AL849" s="2">
        <v>0</v>
      </c>
      <c r="AM849" s="2">
        <v>0</v>
      </c>
    </row>
    <row r="850" spans="1:39">
      <c r="A850" s="335">
        <v>99204</v>
      </c>
      <c r="B850" s="328" t="s">
        <v>1544</v>
      </c>
      <c r="C850" s="239">
        <v>9.4149999999999995E-4</v>
      </c>
      <c r="E850" s="2">
        <v>499504</v>
      </c>
      <c r="F850" s="2">
        <v>169430</v>
      </c>
      <c r="G850" s="2">
        <v>263799</v>
      </c>
      <c r="H850" s="2">
        <v>71988</v>
      </c>
      <c r="I850" s="2">
        <v>0</v>
      </c>
      <c r="K850" s="2">
        <v>141043</v>
      </c>
      <c r="L850" s="2">
        <v>132676</v>
      </c>
      <c r="M850" s="2">
        <v>118916</v>
      </c>
      <c r="N850" s="2">
        <v>47613</v>
      </c>
      <c r="O850" s="2">
        <v>0</v>
      </c>
      <c r="Q850" s="2">
        <v>149737</v>
      </c>
      <c r="R850" s="2">
        <v>-128802</v>
      </c>
      <c r="S850" s="2">
        <v>18153</v>
      </c>
      <c r="T850" s="2">
        <v>23626</v>
      </c>
      <c r="U850" s="2">
        <v>0</v>
      </c>
      <c r="W850" s="2">
        <v>168681</v>
      </c>
      <c r="X850" s="2">
        <v>138190</v>
      </c>
      <c r="Y850" s="2">
        <v>112186</v>
      </c>
      <c r="Z850" s="2">
        <v>0</v>
      </c>
      <c r="AA850" s="2">
        <v>0</v>
      </c>
      <c r="AC850" s="2">
        <v>40043</v>
      </c>
      <c r="AD850" s="2">
        <v>27366</v>
      </c>
      <c r="AE850" s="2">
        <v>14544</v>
      </c>
      <c r="AF850" s="2">
        <v>749</v>
      </c>
      <c r="AG850" s="2">
        <v>0</v>
      </c>
      <c r="AI850" s="2">
        <v>0</v>
      </c>
      <c r="AJ850" s="2">
        <v>0</v>
      </c>
      <c r="AK850" s="2">
        <v>0</v>
      </c>
      <c r="AL850" s="2">
        <v>0</v>
      </c>
      <c r="AM850" s="2">
        <v>0</v>
      </c>
    </row>
    <row r="851" spans="1:39">
      <c r="A851" s="335">
        <v>99206</v>
      </c>
      <c r="B851" s="328" t="s">
        <v>1545</v>
      </c>
      <c r="C851" s="239">
        <v>1.6375999999999999E-3</v>
      </c>
      <c r="E851" s="2">
        <v>1009816</v>
      </c>
      <c r="F851" s="2">
        <v>416864</v>
      </c>
      <c r="G851" s="2">
        <v>512056</v>
      </c>
      <c r="H851" s="2">
        <v>98680</v>
      </c>
      <c r="I851" s="2">
        <v>0</v>
      </c>
      <c r="K851" s="2">
        <v>245324</v>
      </c>
      <c r="L851" s="2">
        <v>230771</v>
      </c>
      <c r="M851" s="2">
        <v>206837</v>
      </c>
      <c r="N851" s="2">
        <v>82815</v>
      </c>
      <c r="O851" s="2">
        <v>0</v>
      </c>
      <c r="Q851" s="2">
        <v>260446</v>
      </c>
      <c r="R851" s="2">
        <v>-224032</v>
      </c>
      <c r="S851" s="2">
        <v>31575</v>
      </c>
      <c r="T851" s="2">
        <v>41094</v>
      </c>
      <c r="U851" s="2">
        <v>0</v>
      </c>
      <c r="W851" s="2">
        <v>293396</v>
      </c>
      <c r="X851" s="2">
        <v>240360</v>
      </c>
      <c r="Y851" s="2">
        <v>195132</v>
      </c>
      <c r="Z851" s="2">
        <v>0</v>
      </c>
      <c r="AA851" s="2">
        <v>0</v>
      </c>
      <c r="AC851" s="2">
        <v>235877</v>
      </c>
      <c r="AD851" s="2">
        <v>194992</v>
      </c>
      <c r="AE851" s="2">
        <v>103739</v>
      </c>
      <c r="AF851" s="2">
        <v>0</v>
      </c>
      <c r="AG851" s="2">
        <v>0</v>
      </c>
      <c r="AI851" s="2">
        <v>-25227</v>
      </c>
      <c r="AJ851" s="2">
        <v>-25227</v>
      </c>
      <c r="AK851" s="2">
        <v>-25227</v>
      </c>
      <c r="AL851" s="2">
        <v>-25229</v>
      </c>
      <c r="AM851" s="2">
        <v>0</v>
      </c>
    </row>
    <row r="852" spans="1:39">
      <c r="A852" s="335">
        <v>99207</v>
      </c>
      <c r="B852" s="328" t="s">
        <v>1546</v>
      </c>
      <c r="C852" s="239">
        <v>1.206E-4</v>
      </c>
      <c r="E852" s="2">
        <v>138774</v>
      </c>
      <c r="F852" s="2">
        <v>87212</v>
      </c>
      <c r="G852" s="2">
        <v>78334</v>
      </c>
      <c r="H852" s="2">
        <v>32534</v>
      </c>
      <c r="I852" s="2">
        <v>0</v>
      </c>
      <c r="K852" s="2">
        <v>18067</v>
      </c>
      <c r="L852" s="2">
        <v>16995</v>
      </c>
      <c r="M852" s="2">
        <v>15232</v>
      </c>
      <c r="N852" s="2">
        <v>6099</v>
      </c>
      <c r="O852" s="2">
        <v>0</v>
      </c>
      <c r="Q852" s="2">
        <v>19180</v>
      </c>
      <c r="R852" s="2">
        <v>-16499</v>
      </c>
      <c r="S852" s="2">
        <v>2325</v>
      </c>
      <c r="T852" s="2">
        <v>3026</v>
      </c>
      <c r="U852" s="2">
        <v>0</v>
      </c>
      <c r="W852" s="2">
        <v>21607</v>
      </c>
      <c r="X852" s="2">
        <v>17701</v>
      </c>
      <c r="Y852" s="2">
        <v>14370</v>
      </c>
      <c r="Z852" s="2">
        <v>0</v>
      </c>
      <c r="AA852" s="2">
        <v>0</v>
      </c>
      <c r="AC852" s="2">
        <v>79920</v>
      </c>
      <c r="AD852" s="2">
        <v>69015</v>
      </c>
      <c r="AE852" s="2">
        <v>46407</v>
      </c>
      <c r="AF852" s="2">
        <v>23409</v>
      </c>
      <c r="AG852" s="2">
        <v>0</v>
      </c>
      <c r="AI852" s="2">
        <v>0</v>
      </c>
      <c r="AJ852" s="2">
        <v>0</v>
      </c>
      <c r="AK852" s="2">
        <v>0</v>
      </c>
      <c r="AL852" s="2">
        <v>0</v>
      </c>
      <c r="AM852" s="2">
        <v>0</v>
      </c>
    </row>
    <row r="853" spans="1:39">
      <c r="A853" s="335">
        <v>99208</v>
      </c>
      <c r="B853" s="328" t="s">
        <v>1547</v>
      </c>
      <c r="C853" s="239">
        <v>3.0939999999999999E-4</v>
      </c>
      <c r="E853" s="2">
        <v>164164</v>
      </c>
      <c r="F853" s="2">
        <v>66432</v>
      </c>
      <c r="G853" s="2">
        <v>101967</v>
      </c>
      <c r="H853" s="2">
        <v>30952</v>
      </c>
      <c r="I853" s="2">
        <v>0</v>
      </c>
      <c r="K853" s="2">
        <v>46350</v>
      </c>
      <c r="L853" s="2">
        <v>43601</v>
      </c>
      <c r="M853" s="2">
        <v>39079</v>
      </c>
      <c r="N853" s="2">
        <v>15647</v>
      </c>
      <c r="O853" s="2">
        <v>0</v>
      </c>
      <c r="Q853" s="2">
        <v>49207</v>
      </c>
      <c r="R853" s="2">
        <v>-42327</v>
      </c>
      <c r="S853" s="2">
        <v>5966</v>
      </c>
      <c r="T853" s="2">
        <v>7764</v>
      </c>
      <c r="U853" s="2">
        <v>0</v>
      </c>
      <c r="W853" s="2">
        <v>55433</v>
      </c>
      <c r="X853" s="2">
        <v>45412</v>
      </c>
      <c r="Y853" s="2">
        <v>36867</v>
      </c>
      <c r="Z853" s="2">
        <v>0</v>
      </c>
      <c r="AA853" s="2">
        <v>0</v>
      </c>
      <c r="AC853" s="2">
        <v>20055</v>
      </c>
      <c r="AD853" s="2">
        <v>20055</v>
      </c>
      <c r="AE853" s="2">
        <v>20055</v>
      </c>
      <c r="AF853" s="2">
        <v>7541</v>
      </c>
      <c r="AG853" s="2">
        <v>0</v>
      </c>
      <c r="AI853" s="2">
        <v>-6881</v>
      </c>
      <c r="AJ853" s="2">
        <v>-309</v>
      </c>
      <c r="AK853" s="2">
        <v>0</v>
      </c>
      <c r="AL853" s="2">
        <v>0</v>
      </c>
      <c r="AM853" s="2">
        <v>0</v>
      </c>
    </row>
    <row r="854" spans="1:39">
      <c r="A854" s="335">
        <v>99210</v>
      </c>
      <c r="B854" s="328" t="s">
        <v>3724</v>
      </c>
      <c r="C854" s="239">
        <v>1.7913E-3</v>
      </c>
      <c r="E854" s="2">
        <v>957519</v>
      </c>
      <c r="F854" s="2">
        <v>348466</v>
      </c>
      <c r="G854" s="2">
        <v>540913</v>
      </c>
      <c r="H854" s="2">
        <v>179274</v>
      </c>
      <c r="I854" s="2">
        <v>0</v>
      </c>
      <c r="K854" s="2">
        <v>268349</v>
      </c>
      <c r="L854" s="2">
        <v>252430</v>
      </c>
      <c r="M854" s="2">
        <v>226250</v>
      </c>
      <c r="N854" s="2">
        <v>90588</v>
      </c>
      <c r="O854" s="2">
        <v>0</v>
      </c>
      <c r="Q854" s="2">
        <v>284890</v>
      </c>
      <c r="R854" s="2">
        <v>-245059</v>
      </c>
      <c r="S854" s="2">
        <v>34538</v>
      </c>
      <c r="T854" s="2">
        <v>44951</v>
      </c>
      <c r="U854" s="2">
        <v>0</v>
      </c>
      <c r="W854" s="2">
        <v>320933</v>
      </c>
      <c r="X854" s="2">
        <v>262920</v>
      </c>
      <c r="Y854" s="2">
        <v>213446</v>
      </c>
      <c r="Z854" s="2">
        <v>0</v>
      </c>
      <c r="AA854" s="2">
        <v>0</v>
      </c>
      <c r="AC854" s="2">
        <v>83347</v>
      </c>
      <c r="AD854" s="2">
        <v>78175</v>
      </c>
      <c r="AE854" s="2">
        <v>66679</v>
      </c>
      <c r="AF854" s="2">
        <v>43735</v>
      </c>
      <c r="AG854" s="2">
        <v>0</v>
      </c>
      <c r="AI854" s="2">
        <v>0</v>
      </c>
      <c r="AJ854" s="2">
        <v>0</v>
      </c>
      <c r="AK854" s="2">
        <v>0</v>
      </c>
      <c r="AL854" s="2">
        <v>0</v>
      </c>
      <c r="AM854" s="2">
        <v>0</v>
      </c>
    </row>
    <row r="855" spans="1:39">
      <c r="A855" s="335">
        <v>99211</v>
      </c>
      <c r="B855" s="328" t="s">
        <v>1549</v>
      </c>
      <c r="C855" s="239">
        <v>3.8786099999999997E-2</v>
      </c>
      <c r="E855" s="2">
        <v>18521703</v>
      </c>
      <c r="F855" s="2">
        <v>5643245</v>
      </c>
      <c r="G855" s="2">
        <v>10264045</v>
      </c>
      <c r="H855" s="2">
        <v>2767940</v>
      </c>
      <c r="I855" s="2">
        <v>0</v>
      </c>
      <c r="K855" s="2">
        <v>5810429</v>
      </c>
      <c r="L855" s="2">
        <v>5465737</v>
      </c>
      <c r="M855" s="2">
        <v>4898878</v>
      </c>
      <c r="N855" s="2">
        <v>1961452</v>
      </c>
      <c r="O855" s="2">
        <v>0</v>
      </c>
      <c r="Q855" s="2">
        <v>6168580</v>
      </c>
      <c r="R855" s="2">
        <v>-5306132</v>
      </c>
      <c r="S855" s="2">
        <v>747835</v>
      </c>
      <c r="T855" s="2">
        <v>973298</v>
      </c>
      <c r="U855" s="2">
        <v>0</v>
      </c>
      <c r="W855" s="2">
        <v>6948995</v>
      </c>
      <c r="X855" s="2">
        <v>5692869</v>
      </c>
      <c r="Y855" s="2">
        <v>4621635</v>
      </c>
      <c r="Z855" s="2">
        <v>0</v>
      </c>
      <c r="AA855" s="2">
        <v>0</v>
      </c>
      <c r="AC855" s="2">
        <v>162507</v>
      </c>
      <c r="AD855" s="2">
        <v>162507</v>
      </c>
      <c r="AE855" s="2">
        <v>162508</v>
      </c>
      <c r="AF855" s="2">
        <v>0</v>
      </c>
      <c r="AG855" s="2">
        <v>0</v>
      </c>
      <c r="AI855" s="2">
        <v>-568808</v>
      </c>
      <c r="AJ855" s="2">
        <v>-371736</v>
      </c>
      <c r="AK855" s="2">
        <v>-166811</v>
      </c>
      <c r="AL855" s="2">
        <v>-166810</v>
      </c>
      <c r="AM855" s="2">
        <v>0</v>
      </c>
    </row>
    <row r="856" spans="1:39">
      <c r="A856" s="335">
        <v>99212</v>
      </c>
      <c r="B856" s="328" t="s">
        <v>3725</v>
      </c>
      <c r="C856" s="239">
        <v>6.7999999999999999E-5</v>
      </c>
      <c r="E856" s="2">
        <v>22629</v>
      </c>
      <c r="F856" s="2">
        <v>6863</v>
      </c>
      <c r="G856" s="2">
        <v>14548</v>
      </c>
      <c r="H856" s="2">
        <v>3993</v>
      </c>
      <c r="I856" s="2">
        <v>0</v>
      </c>
      <c r="K856" s="2">
        <v>10187</v>
      </c>
      <c r="L856" s="2">
        <v>9583</v>
      </c>
      <c r="M856" s="2">
        <v>8589</v>
      </c>
      <c r="N856" s="2">
        <v>3439</v>
      </c>
      <c r="O856" s="2">
        <v>0</v>
      </c>
      <c r="Q856" s="2">
        <v>10815</v>
      </c>
      <c r="R856" s="2">
        <v>-9303</v>
      </c>
      <c r="S856" s="2">
        <v>1311</v>
      </c>
      <c r="T856" s="2">
        <v>1706</v>
      </c>
      <c r="U856" s="2">
        <v>0</v>
      </c>
      <c r="W856" s="2">
        <v>12183</v>
      </c>
      <c r="X856" s="2">
        <v>9981</v>
      </c>
      <c r="Y856" s="2">
        <v>8103</v>
      </c>
      <c r="Z856" s="2">
        <v>0</v>
      </c>
      <c r="AA856" s="2">
        <v>0</v>
      </c>
      <c r="AC856" s="2">
        <v>61</v>
      </c>
      <c r="AD856" s="2">
        <v>59</v>
      </c>
      <c r="AE856" s="2">
        <v>0</v>
      </c>
      <c r="AF856" s="2">
        <v>0</v>
      </c>
      <c r="AG856" s="2">
        <v>0</v>
      </c>
      <c r="AI856" s="2">
        <v>-10617</v>
      </c>
      <c r="AJ856" s="2">
        <v>-3457</v>
      </c>
      <c r="AK856" s="2">
        <v>-3455</v>
      </c>
      <c r="AL856" s="2">
        <v>-1152</v>
      </c>
      <c r="AM856" s="2">
        <v>0</v>
      </c>
    </row>
    <row r="857" spans="1:39">
      <c r="A857" s="335">
        <v>99213</v>
      </c>
      <c r="B857" s="328" t="s">
        <v>1551</v>
      </c>
      <c r="C857" s="239">
        <v>6.7770000000000005E-4</v>
      </c>
      <c r="E857" s="2">
        <v>306211</v>
      </c>
      <c r="F857" s="2">
        <v>81948</v>
      </c>
      <c r="G857" s="2">
        <v>166692</v>
      </c>
      <c r="H857" s="2">
        <v>34893</v>
      </c>
      <c r="I857" s="2">
        <v>0</v>
      </c>
      <c r="K857" s="2">
        <v>101524</v>
      </c>
      <c r="L857" s="2">
        <v>95501</v>
      </c>
      <c r="M857" s="2">
        <v>85597</v>
      </c>
      <c r="N857" s="2">
        <v>34272</v>
      </c>
      <c r="O857" s="2">
        <v>0</v>
      </c>
      <c r="Q857" s="2">
        <v>107782</v>
      </c>
      <c r="R857" s="2">
        <v>-92713</v>
      </c>
      <c r="S857" s="2">
        <v>13067</v>
      </c>
      <c r="T857" s="2">
        <v>17006</v>
      </c>
      <c r="U857" s="2">
        <v>0</v>
      </c>
      <c r="W857" s="2">
        <v>121418</v>
      </c>
      <c r="X857" s="2">
        <v>99470</v>
      </c>
      <c r="Y857" s="2">
        <v>80753</v>
      </c>
      <c r="Z857" s="2">
        <v>0</v>
      </c>
      <c r="AA857" s="2">
        <v>0</v>
      </c>
      <c r="AC857" s="2">
        <v>3656</v>
      </c>
      <c r="AD857" s="2">
        <v>3656</v>
      </c>
      <c r="AE857" s="2">
        <v>3658</v>
      </c>
      <c r="AF857" s="2">
        <v>0</v>
      </c>
      <c r="AG857" s="2">
        <v>0</v>
      </c>
      <c r="AI857" s="2">
        <v>-28169</v>
      </c>
      <c r="AJ857" s="2">
        <v>-23966</v>
      </c>
      <c r="AK857" s="2">
        <v>-16383</v>
      </c>
      <c r="AL857" s="2">
        <v>-16385</v>
      </c>
      <c r="AM857" s="2">
        <v>0</v>
      </c>
    </row>
    <row r="858" spans="1:39">
      <c r="A858" s="335">
        <v>99218</v>
      </c>
      <c r="B858" s="328" t="s">
        <v>1552</v>
      </c>
      <c r="C858" s="239">
        <v>3.4424E-3</v>
      </c>
      <c r="E858" s="2">
        <v>1802223</v>
      </c>
      <c r="F858" s="2">
        <v>611324</v>
      </c>
      <c r="G858" s="2">
        <v>991869</v>
      </c>
      <c r="H858" s="2">
        <v>293943</v>
      </c>
      <c r="I858" s="2">
        <v>0</v>
      </c>
      <c r="K858" s="2">
        <v>515696</v>
      </c>
      <c r="L858" s="2">
        <v>485103</v>
      </c>
      <c r="M858" s="2">
        <v>434792</v>
      </c>
      <c r="N858" s="2">
        <v>174086</v>
      </c>
      <c r="O858" s="2">
        <v>0</v>
      </c>
      <c r="Q858" s="2">
        <v>547483</v>
      </c>
      <c r="R858" s="2">
        <v>-470938</v>
      </c>
      <c r="S858" s="2">
        <v>66373</v>
      </c>
      <c r="T858" s="2">
        <v>86384</v>
      </c>
      <c r="U858" s="2">
        <v>0</v>
      </c>
      <c r="W858" s="2">
        <v>616747</v>
      </c>
      <c r="X858" s="2">
        <v>505262</v>
      </c>
      <c r="Y858" s="2">
        <v>410186</v>
      </c>
      <c r="Z858" s="2">
        <v>0</v>
      </c>
      <c r="AA858" s="2">
        <v>0</v>
      </c>
      <c r="AC858" s="2">
        <v>122297</v>
      </c>
      <c r="AD858" s="2">
        <v>91897</v>
      </c>
      <c r="AE858" s="2">
        <v>80518</v>
      </c>
      <c r="AF858" s="2">
        <v>33473</v>
      </c>
      <c r="AG858" s="2">
        <v>0</v>
      </c>
      <c r="AI858" s="2">
        <v>0</v>
      </c>
      <c r="AJ858" s="2">
        <v>0</v>
      </c>
      <c r="AK858" s="2">
        <v>0</v>
      </c>
      <c r="AL858" s="2">
        <v>0</v>
      </c>
      <c r="AM858" s="2">
        <v>0</v>
      </c>
    </row>
    <row r="859" spans="1:39">
      <c r="A859" s="335">
        <v>99221</v>
      </c>
      <c r="B859" s="328" t="s">
        <v>1553</v>
      </c>
      <c r="C859" s="239">
        <v>1.26739E-2</v>
      </c>
      <c r="E859" s="2">
        <v>5963234</v>
      </c>
      <c r="F859" s="2">
        <v>1796448</v>
      </c>
      <c r="G859" s="2">
        <v>3290616</v>
      </c>
      <c r="H859" s="2">
        <v>934795</v>
      </c>
      <c r="I859" s="2">
        <v>0</v>
      </c>
      <c r="K859" s="2">
        <v>1898639</v>
      </c>
      <c r="L859" s="2">
        <v>1786006</v>
      </c>
      <c r="M859" s="2">
        <v>1600777</v>
      </c>
      <c r="N859" s="2">
        <v>640932</v>
      </c>
      <c r="O859" s="2">
        <v>0</v>
      </c>
      <c r="Q859" s="2">
        <v>2015670</v>
      </c>
      <c r="R859" s="2">
        <v>-1733853</v>
      </c>
      <c r="S859" s="2">
        <v>244365</v>
      </c>
      <c r="T859" s="2">
        <v>318039</v>
      </c>
      <c r="U859" s="2">
        <v>0</v>
      </c>
      <c r="W859" s="2">
        <v>2270681</v>
      </c>
      <c r="X859" s="2">
        <v>1860224</v>
      </c>
      <c r="Y859" s="2">
        <v>1510184</v>
      </c>
      <c r="Z859" s="2">
        <v>0</v>
      </c>
      <c r="AA859" s="2">
        <v>0</v>
      </c>
      <c r="AC859" s="2">
        <v>0</v>
      </c>
      <c r="AD859" s="2">
        <v>0</v>
      </c>
      <c r="AE859" s="2">
        <v>0</v>
      </c>
      <c r="AF859" s="2">
        <v>0</v>
      </c>
      <c r="AG859" s="2">
        <v>0</v>
      </c>
      <c r="AI859" s="2">
        <v>-221756</v>
      </c>
      <c r="AJ859" s="2">
        <v>-115929</v>
      </c>
      <c r="AK859" s="2">
        <v>-64710</v>
      </c>
      <c r="AL859" s="2">
        <v>-24176</v>
      </c>
      <c r="AM859" s="2">
        <v>0</v>
      </c>
    </row>
    <row r="860" spans="1:39">
      <c r="A860" s="335">
        <v>99222</v>
      </c>
      <c r="B860" s="328" t="s">
        <v>1554</v>
      </c>
      <c r="C860" s="239">
        <v>3.5599999999999998E-5</v>
      </c>
      <c r="E860" s="2">
        <v>15183</v>
      </c>
      <c r="F860" s="2">
        <v>3453</v>
      </c>
      <c r="G860" s="2">
        <v>8173</v>
      </c>
      <c r="H860" s="2">
        <v>2110</v>
      </c>
      <c r="I860" s="2">
        <v>0</v>
      </c>
      <c r="K860" s="2">
        <v>5333</v>
      </c>
      <c r="L860" s="2">
        <v>5017</v>
      </c>
      <c r="M860" s="2">
        <v>4496</v>
      </c>
      <c r="N860" s="2">
        <v>1800</v>
      </c>
      <c r="O860" s="2">
        <v>0</v>
      </c>
      <c r="Q860" s="2">
        <v>5662</v>
      </c>
      <c r="R860" s="2">
        <v>-4870</v>
      </c>
      <c r="S860" s="2">
        <v>686</v>
      </c>
      <c r="T860" s="2">
        <v>893</v>
      </c>
      <c r="U860" s="2">
        <v>0</v>
      </c>
      <c r="W860" s="2">
        <v>6378</v>
      </c>
      <c r="X860" s="2">
        <v>5225</v>
      </c>
      <c r="Y860" s="2">
        <v>4242</v>
      </c>
      <c r="Z860" s="2">
        <v>0</v>
      </c>
      <c r="AA860" s="2">
        <v>0</v>
      </c>
      <c r="AC860" s="2">
        <v>0</v>
      </c>
      <c r="AD860" s="2">
        <v>0</v>
      </c>
      <c r="AE860" s="2">
        <v>0</v>
      </c>
      <c r="AF860" s="2">
        <v>0</v>
      </c>
      <c r="AG860" s="2">
        <v>0</v>
      </c>
      <c r="AI860" s="2">
        <v>-2190</v>
      </c>
      <c r="AJ860" s="2">
        <v>-1919</v>
      </c>
      <c r="AK860" s="2">
        <v>-1251</v>
      </c>
      <c r="AL860" s="2">
        <v>-583</v>
      </c>
      <c r="AM860" s="2">
        <v>0</v>
      </c>
    </row>
    <row r="861" spans="1:39">
      <c r="A861" s="335">
        <v>99231</v>
      </c>
      <c r="B861" s="328" t="s">
        <v>1555</v>
      </c>
      <c r="C861" s="239">
        <v>3.5159999999999998E-4</v>
      </c>
      <c r="E861" s="2">
        <v>161099</v>
      </c>
      <c r="F861" s="2">
        <v>44098</v>
      </c>
      <c r="G861" s="2">
        <v>88043</v>
      </c>
      <c r="H861" s="2">
        <v>24504</v>
      </c>
      <c r="I861" s="2">
        <v>0</v>
      </c>
      <c r="K861" s="2">
        <v>52672</v>
      </c>
      <c r="L861" s="2">
        <v>49547</v>
      </c>
      <c r="M861" s="2">
        <v>44409</v>
      </c>
      <c r="N861" s="2">
        <v>17781</v>
      </c>
      <c r="O861" s="2">
        <v>0</v>
      </c>
      <c r="Q861" s="2">
        <v>55919</v>
      </c>
      <c r="R861" s="2">
        <v>-48101</v>
      </c>
      <c r="S861" s="2">
        <v>6779</v>
      </c>
      <c r="T861" s="2">
        <v>8823</v>
      </c>
      <c r="U861" s="2">
        <v>0</v>
      </c>
      <c r="W861" s="2">
        <v>62993</v>
      </c>
      <c r="X861" s="2">
        <v>51606</v>
      </c>
      <c r="Y861" s="2">
        <v>41896</v>
      </c>
      <c r="Z861" s="2">
        <v>0</v>
      </c>
      <c r="AA861" s="2">
        <v>0</v>
      </c>
      <c r="AC861" s="2">
        <v>0</v>
      </c>
      <c r="AD861" s="2">
        <v>0</v>
      </c>
      <c r="AE861" s="2">
        <v>0</v>
      </c>
      <c r="AF861" s="2">
        <v>0</v>
      </c>
      <c r="AG861" s="2">
        <v>0</v>
      </c>
      <c r="AI861" s="2">
        <v>-10485</v>
      </c>
      <c r="AJ861" s="2">
        <v>-8954</v>
      </c>
      <c r="AK861" s="2">
        <v>-5041</v>
      </c>
      <c r="AL861" s="2">
        <v>-2100</v>
      </c>
      <c r="AM861" s="2">
        <v>0</v>
      </c>
    </row>
    <row r="862" spans="1:39">
      <c r="A862" s="335">
        <v>99241</v>
      </c>
      <c r="B862" s="328" t="s">
        <v>1556</v>
      </c>
      <c r="C862" s="239">
        <v>5.6070000000000002E-4</v>
      </c>
      <c r="E862" s="2">
        <v>252598</v>
      </c>
      <c r="F862" s="2">
        <v>73391</v>
      </c>
      <c r="G862" s="2">
        <v>144011</v>
      </c>
      <c r="H862" s="2">
        <v>41131</v>
      </c>
      <c r="I862" s="2">
        <v>0</v>
      </c>
      <c r="K862" s="2">
        <v>83997</v>
      </c>
      <c r="L862" s="2">
        <v>79014</v>
      </c>
      <c r="M862" s="2">
        <v>70819</v>
      </c>
      <c r="N862" s="2">
        <v>28355</v>
      </c>
      <c r="O862" s="2">
        <v>0</v>
      </c>
      <c r="Q862" s="2">
        <v>89174</v>
      </c>
      <c r="R862" s="2">
        <v>-76707</v>
      </c>
      <c r="S862" s="2">
        <v>10811</v>
      </c>
      <c r="T862" s="2">
        <v>14070</v>
      </c>
      <c r="U862" s="2">
        <v>0</v>
      </c>
      <c r="W862" s="2">
        <v>100456</v>
      </c>
      <c r="X862" s="2">
        <v>82297</v>
      </c>
      <c r="Y862" s="2">
        <v>66811</v>
      </c>
      <c r="Z862" s="2">
        <v>0</v>
      </c>
      <c r="AA862" s="2">
        <v>0</v>
      </c>
      <c r="AC862" s="2">
        <v>0</v>
      </c>
      <c r="AD862" s="2">
        <v>0</v>
      </c>
      <c r="AE862" s="2">
        <v>0</v>
      </c>
      <c r="AF862" s="2">
        <v>0</v>
      </c>
      <c r="AG862" s="2">
        <v>0</v>
      </c>
      <c r="AI862" s="2">
        <v>-21029</v>
      </c>
      <c r="AJ862" s="2">
        <v>-11213</v>
      </c>
      <c r="AK862" s="2">
        <v>-4430</v>
      </c>
      <c r="AL862" s="2">
        <v>-1294</v>
      </c>
      <c r="AM862" s="2">
        <v>0</v>
      </c>
    </row>
    <row r="863" spans="1:39">
      <c r="A863" s="335">
        <v>99251</v>
      </c>
      <c r="B863" s="328" t="s">
        <v>1557</v>
      </c>
      <c r="C863" s="239">
        <v>1.6358E-3</v>
      </c>
      <c r="E863" s="2">
        <v>791121</v>
      </c>
      <c r="F863" s="2">
        <v>239240</v>
      </c>
      <c r="G863" s="2">
        <v>431515</v>
      </c>
      <c r="H863" s="2">
        <v>126142</v>
      </c>
      <c r="I863" s="2">
        <v>0</v>
      </c>
      <c r="K863" s="2">
        <v>245054</v>
      </c>
      <c r="L863" s="2">
        <v>230517</v>
      </c>
      <c r="M863" s="2">
        <v>206610</v>
      </c>
      <c r="N863" s="2">
        <v>82724</v>
      </c>
      <c r="O863" s="2">
        <v>0</v>
      </c>
      <c r="Q863" s="2">
        <v>260159</v>
      </c>
      <c r="R863" s="2">
        <v>-223786</v>
      </c>
      <c r="S863" s="2">
        <v>31540</v>
      </c>
      <c r="T863" s="2">
        <v>41049</v>
      </c>
      <c r="U863" s="2">
        <v>0</v>
      </c>
      <c r="W863" s="2">
        <v>293073</v>
      </c>
      <c r="X863" s="2">
        <v>240096</v>
      </c>
      <c r="Y863" s="2">
        <v>194917</v>
      </c>
      <c r="Z863" s="2">
        <v>0</v>
      </c>
      <c r="AA863" s="2">
        <v>0</v>
      </c>
      <c r="AC863" s="2">
        <v>2791</v>
      </c>
      <c r="AD863" s="2">
        <v>2369</v>
      </c>
      <c r="AE863" s="2">
        <v>2369</v>
      </c>
      <c r="AF863" s="2">
        <v>2369</v>
      </c>
      <c r="AG863" s="2">
        <v>0</v>
      </c>
      <c r="AI863" s="2">
        <v>-9956</v>
      </c>
      <c r="AJ863" s="2">
        <v>-9956</v>
      </c>
      <c r="AK863" s="2">
        <v>-3921</v>
      </c>
      <c r="AL863" s="2">
        <v>0</v>
      </c>
      <c r="AM863" s="2">
        <v>0</v>
      </c>
    </row>
    <row r="864" spans="1:39">
      <c r="A864" s="335">
        <v>99252</v>
      </c>
      <c r="B864" s="328" t="s">
        <v>3726</v>
      </c>
      <c r="C864" s="239">
        <v>6.6200000000000005E-4</v>
      </c>
      <c r="E864" s="2">
        <v>254771</v>
      </c>
      <c r="F864" s="2">
        <v>62098</v>
      </c>
      <c r="G864" s="2">
        <v>146238</v>
      </c>
      <c r="H864" s="2">
        <v>28684</v>
      </c>
      <c r="I864" s="2">
        <v>0</v>
      </c>
      <c r="K864" s="2">
        <v>99172</v>
      </c>
      <c r="L864" s="2">
        <v>93289</v>
      </c>
      <c r="M864" s="2">
        <v>83614</v>
      </c>
      <c r="N864" s="2">
        <v>33478</v>
      </c>
      <c r="O864" s="2">
        <v>0</v>
      </c>
      <c r="Q864" s="2">
        <v>105285</v>
      </c>
      <c r="R864" s="2">
        <v>-90565</v>
      </c>
      <c r="S864" s="2">
        <v>12764</v>
      </c>
      <c r="T864" s="2">
        <v>16612</v>
      </c>
      <c r="U864" s="2">
        <v>0</v>
      </c>
      <c r="W864" s="2">
        <v>118605</v>
      </c>
      <c r="X864" s="2">
        <v>97166</v>
      </c>
      <c r="Y864" s="2">
        <v>78882</v>
      </c>
      <c r="Z864" s="2">
        <v>0</v>
      </c>
      <c r="AA864" s="2">
        <v>0</v>
      </c>
      <c r="AC864" s="2">
        <v>0</v>
      </c>
      <c r="AD864" s="2">
        <v>0</v>
      </c>
      <c r="AE864" s="2">
        <v>0</v>
      </c>
      <c r="AF864" s="2">
        <v>0</v>
      </c>
      <c r="AG864" s="2">
        <v>0</v>
      </c>
      <c r="AI864" s="2">
        <v>-68291</v>
      </c>
      <c r="AJ864" s="2">
        <v>-37792</v>
      </c>
      <c r="AK864" s="2">
        <v>-29022</v>
      </c>
      <c r="AL864" s="2">
        <v>-21406</v>
      </c>
      <c r="AM864" s="2">
        <v>0</v>
      </c>
    </row>
    <row r="865" spans="1:39">
      <c r="A865" s="335">
        <v>99261</v>
      </c>
      <c r="B865" s="328" t="s">
        <v>1559</v>
      </c>
      <c r="C865" s="239">
        <v>2.2407E-3</v>
      </c>
      <c r="E865" s="2">
        <v>1061154</v>
      </c>
      <c r="F865" s="2">
        <v>324893</v>
      </c>
      <c r="G865" s="2">
        <v>588009</v>
      </c>
      <c r="H865" s="2">
        <v>170014</v>
      </c>
      <c r="I865" s="2">
        <v>0</v>
      </c>
      <c r="K865" s="2">
        <v>335673</v>
      </c>
      <c r="L865" s="2">
        <v>315759</v>
      </c>
      <c r="M865" s="2">
        <v>283012</v>
      </c>
      <c r="N865" s="2">
        <v>113314</v>
      </c>
      <c r="O865" s="2">
        <v>0</v>
      </c>
      <c r="Q865" s="2">
        <v>356363</v>
      </c>
      <c r="R865" s="2">
        <v>-306539</v>
      </c>
      <c r="S865" s="2">
        <v>43203</v>
      </c>
      <c r="T865" s="2">
        <v>56228</v>
      </c>
      <c r="U865" s="2">
        <v>0</v>
      </c>
      <c r="W865" s="2">
        <v>401448</v>
      </c>
      <c r="X865" s="2">
        <v>328881</v>
      </c>
      <c r="Y865" s="2">
        <v>266995</v>
      </c>
      <c r="Z865" s="2">
        <v>0</v>
      </c>
      <c r="AA865" s="2">
        <v>0</v>
      </c>
      <c r="AC865" s="2">
        <v>470</v>
      </c>
      <c r="AD865" s="2">
        <v>470</v>
      </c>
      <c r="AE865" s="2">
        <v>470</v>
      </c>
      <c r="AF865" s="2">
        <v>472</v>
      </c>
      <c r="AG865" s="2">
        <v>0</v>
      </c>
      <c r="AI865" s="2">
        <v>-32800</v>
      </c>
      <c r="AJ865" s="2">
        <v>-13678</v>
      </c>
      <c r="AK865" s="2">
        <v>-5671</v>
      </c>
      <c r="AL865" s="2">
        <v>0</v>
      </c>
      <c r="AM865" s="2">
        <v>0</v>
      </c>
    </row>
    <row r="866" spans="1:39">
      <c r="A866" s="335">
        <v>99271</v>
      </c>
      <c r="B866" s="328" t="s">
        <v>1560</v>
      </c>
      <c r="C866" s="239">
        <v>4.2773000000000004E-3</v>
      </c>
      <c r="E866" s="2">
        <v>2053202</v>
      </c>
      <c r="F866" s="2">
        <v>639632</v>
      </c>
      <c r="G866" s="2">
        <v>1129899</v>
      </c>
      <c r="H866" s="2">
        <v>302551</v>
      </c>
      <c r="I866" s="2">
        <v>0</v>
      </c>
      <c r="K866" s="2">
        <v>640769</v>
      </c>
      <c r="L866" s="2">
        <v>602757</v>
      </c>
      <c r="M866" s="2">
        <v>540244</v>
      </c>
      <c r="N866" s="2">
        <v>216307</v>
      </c>
      <c r="O866" s="2">
        <v>0</v>
      </c>
      <c r="Q866" s="2">
        <v>680266</v>
      </c>
      <c r="R866" s="2">
        <v>-585156</v>
      </c>
      <c r="S866" s="2">
        <v>82471</v>
      </c>
      <c r="T866" s="2">
        <v>107335</v>
      </c>
      <c r="U866" s="2">
        <v>0</v>
      </c>
      <c r="W866" s="2">
        <v>766330</v>
      </c>
      <c r="X866" s="2">
        <v>627805</v>
      </c>
      <c r="Y866" s="2">
        <v>509670</v>
      </c>
      <c r="Z866" s="2">
        <v>0</v>
      </c>
      <c r="AA866" s="2">
        <v>0</v>
      </c>
      <c r="AC866" s="2">
        <v>18606</v>
      </c>
      <c r="AD866" s="2">
        <v>18606</v>
      </c>
      <c r="AE866" s="2">
        <v>18607</v>
      </c>
      <c r="AF866" s="2">
        <v>0</v>
      </c>
      <c r="AG866" s="2">
        <v>0</v>
      </c>
      <c r="AI866" s="2">
        <v>-52769</v>
      </c>
      <c r="AJ866" s="2">
        <v>-24380</v>
      </c>
      <c r="AK866" s="2">
        <v>-21093</v>
      </c>
      <c r="AL866" s="2">
        <v>-21091</v>
      </c>
      <c r="AM866" s="2">
        <v>0</v>
      </c>
    </row>
    <row r="867" spans="1:39">
      <c r="A867" s="335">
        <v>99281</v>
      </c>
      <c r="B867" s="328" t="s">
        <v>1561</v>
      </c>
      <c r="C867" s="239">
        <v>2.4237E-3</v>
      </c>
      <c r="E867" s="2">
        <v>1157108</v>
      </c>
      <c r="F867" s="2">
        <v>358578</v>
      </c>
      <c r="G867" s="2">
        <v>646408</v>
      </c>
      <c r="H867" s="2">
        <v>183376</v>
      </c>
      <c r="I867" s="2">
        <v>0</v>
      </c>
      <c r="K867" s="2">
        <v>363087</v>
      </c>
      <c r="L867" s="2">
        <v>341548</v>
      </c>
      <c r="M867" s="2">
        <v>306125</v>
      </c>
      <c r="N867" s="2">
        <v>122569</v>
      </c>
      <c r="O867" s="2">
        <v>0</v>
      </c>
      <c r="Q867" s="2">
        <v>385468</v>
      </c>
      <c r="R867" s="2">
        <v>-331574</v>
      </c>
      <c r="S867" s="2">
        <v>46731</v>
      </c>
      <c r="T867" s="2">
        <v>60820</v>
      </c>
      <c r="U867" s="2">
        <v>0</v>
      </c>
      <c r="W867" s="2">
        <v>434235</v>
      </c>
      <c r="X867" s="2">
        <v>355741</v>
      </c>
      <c r="Y867" s="2">
        <v>288801</v>
      </c>
      <c r="Z867" s="2">
        <v>0</v>
      </c>
      <c r="AA867" s="2">
        <v>0</v>
      </c>
      <c r="AC867" s="2">
        <v>4762</v>
      </c>
      <c r="AD867" s="2">
        <v>4762</v>
      </c>
      <c r="AE867" s="2">
        <v>4762</v>
      </c>
      <c r="AF867" s="2">
        <v>0</v>
      </c>
      <c r="AG867" s="2">
        <v>0</v>
      </c>
      <c r="AI867" s="2">
        <v>-30444</v>
      </c>
      <c r="AJ867" s="2">
        <v>-11899</v>
      </c>
      <c r="AK867" s="2">
        <v>-11</v>
      </c>
      <c r="AL867" s="2">
        <v>-13</v>
      </c>
      <c r="AM867" s="2">
        <v>0</v>
      </c>
    </row>
    <row r="868" spans="1:39">
      <c r="A868" s="335">
        <v>99291</v>
      </c>
      <c r="B868" s="328" t="s">
        <v>1562</v>
      </c>
      <c r="C868" s="239">
        <v>8.4909999999999998E-4</v>
      </c>
      <c r="E868" s="2">
        <v>381806</v>
      </c>
      <c r="F868" s="2">
        <v>108731</v>
      </c>
      <c r="G868" s="2">
        <v>219275</v>
      </c>
      <c r="H868" s="2">
        <v>55586</v>
      </c>
      <c r="I868" s="2">
        <v>0</v>
      </c>
      <c r="K868" s="2">
        <v>127201</v>
      </c>
      <c r="L868" s="2">
        <v>119655</v>
      </c>
      <c r="M868" s="2">
        <v>107246</v>
      </c>
      <c r="N868" s="2">
        <v>42940</v>
      </c>
      <c r="O868" s="2">
        <v>0</v>
      </c>
      <c r="Q868" s="2">
        <v>135042</v>
      </c>
      <c r="R868" s="2">
        <v>-116161</v>
      </c>
      <c r="S868" s="2">
        <v>16371</v>
      </c>
      <c r="T868" s="2">
        <v>21307</v>
      </c>
      <c r="U868" s="2">
        <v>0</v>
      </c>
      <c r="W868" s="2">
        <v>152126</v>
      </c>
      <c r="X868" s="2">
        <v>124628</v>
      </c>
      <c r="Y868" s="2">
        <v>101176</v>
      </c>
      <c r="Z868" s="2">
        <v>0</v>
      </c>
      <c r="AA868" s="2">
        <v>0</v>
      </c>
      <c r="AC868" s="2">
        <v>3140</v>
      </c>
      <c r="AD868" s="2">
        <v>3140</v>
      </c>
      <c r="AE868" s="2">
        <v>3142</v>
      </c>
      <c r="AF868" s="2">
        <v>0</v>
      </c>
      <c r="AG868" s="2">
        <v>0</v>
      </c>
      <c r="AI868" s="2">
        <v>-35703</v>
      </c>
      <c r="AJ868" s="2">
        <v>-22531</v>
      </c>
      <c r="AK868" s="2">
        <v>-8660</v>
      </c>
      <c r="AL868" s="2">
        <v>-8661</v>
      </c>
      <c r="AM868" s="2">
        <v>0</v>
      </c>
    </row>
    <row r="869" spans="1:39">
      <c r="A869" s="335">
        <v>99301</v>
      </c>
      <c r="B869" s="328" t="s">
        <v>1563</v>
      </c>
      <c r="C869" s="239">
        <v>1.6092999999999999E-3</v>
      </c>
      <c r="E869" s="2">
        <v>728351</v>
      </c>
      <c r="F869" s="2">
        <v>186040</v>
      </c>
      <c r="G869" s="2">
        <v>385350</v>
      </c>
      <c r="H869" s="2">
        <v>96451</v>
      </c>
      <c r="I869" s="2">
        <v>0</v>
      </c>
      <c r="K869" s="2">
        <v>241084</v>
      </c>
      <c r="L869" s="2">
        <v>226783</v>
      </c>
      <c r="M869" s="2">
        <v>203263</v>
      </c>
      <c r="N869" s="2">
        <v>81384</v>
      </c>
      <c r="O869" s="2">
        <v>0</v>
      </c>
      <c r="Q869" s="2">
        <v>255945</v>
      </c>
      <c r="R869" s="2">
        <v>-220160</v>
      </c>
      <c r="S869" s="2">
        <v>31029</v>
      </c>
      <c r="T869" s="2">
        <v>40384</v>
      </c>
      <c r="U869" s="2">
        <v>0</v>
      </c>
      <c r="W869" s="2">
        <v>288325</v>
      </c>
      <c r="X869" s="2">
        <v>236207</v>
      </c>
      <c r="Y869" s="2">
        <v>191759</v>
      </c>
      <c r="Z869" s="2">
        <v>0</v>
      </c>
      <c r="AA869" s="2">
        <v>0</v>
      </c>
      <c r="AC869" s="2">
        <v>0</v>
      </c>
      <c r="AD869" s="2">
        <v>0</v>
      </c>
      <c r="AE869" s="2">
        <v>0</v>
      </c>
      <c r="AF869" s="2">
        <v>0</v>
      </c>
      <c r="AG869" s="2">
        <v>0</v>
      </c>
      <c r="AI869" s="2">
        <v>-57003</v>
      </c>
      <c r="AJ869" s="2">
        <v>-56790</v>
      </c>
      <c r="AK869" s="2">
        <v>-40701</v>
      </c>
      <c r="AL869" s="2">
        <v>-25317</v>
      </c>
      <c r="AM869" s="2">
        <v>0</v>
      </c>
    </row>
    <row r="870" spans="1:39">
      <c r="A870" s="335">
        <v>99304</v>
      </c>
      <c r="B870" s="328" t="s">
        <v>1564</v>
      </c>
      <c r="C870" s="239">
        <v>7.6000000000000001E-6</v>
      </c>
      <c r="E870" s="2">
        <v>6085</v>
      </c>
      <c r="F870" s="2">
        <v>3096</v>
      </c>
      <c r="G870" s="2">
        <v>3416</v>
      </c>
      <c r="H870" s="2">
        <v>1287</v>
      </c>
      <c r="I870" s="2">
        <v>0</v>
      </c>
      <c r="K870" s="2">
        <v>1139</v>
      </c>
      <c r="L870" s="2">
        <v>1071</v>
      </c>
      <c r="M870" s="2">
        <v>960</v>
      </c>
      <c r="N870" s="2">
        <v>384</v>
      </c>
      <c r="O870" s="2">
        <v>0</v>
      </c>
      <c r="Q870" s="2">
        <v>1209</v>
      </c>
      <c r="R870" s="2">
        <v>-1040</v>
      </c>
      <c r="S870" s="2">
        <v>147</v>
      </c>
      <c r="T870" s="2">
        <v>191</v>
      </c>
      <c r="U870" s="2">
        <v>0</v>
      </c>
      <c r="W870" s="2">
        <v>1362</v>
      </c>
      <c r="X870" s="2">
        <v>1115</v>
      </c>
      <c r="Y870" s="2">
        <v>906</v>
      </c>
      <c r="Z870" s="2">
        <v>0</v>
      </c>
      <c r="AA870" s="2">
        <v>0</v>
      </c>
      <c r="AC870" s="2">
        <v>2375</v>
      </c>
      <c r="AD870" s="2">
        <v>1950</v>
      </c>
      <c r="AE870" s="2">
        <v>1403</v>
      </c>
      <c r="AF870" s="2">
        <v>712</v>
      </c>
      <c r="AG870" s="2">
        <v>0</v>
      </c>
      <c r="AI870" s="2">
        <v>0</v>
      </c>
      <c r="AJ870" s="2">
        <v>0</v>
      </c>
      <c r="AK870" s="2">
        <v>0</v>
      </c>
      <c r="AL870" s="2">
        <v>0</v>
      </c>
      <c r="AM870" s="2">
        <v>0</v>
      </c>
    </row>
    <row r="871" spans="1:39">
      <c r="A871" s="335">
        <v>99311</v>
      </c>
      <c r="B871" s="328" t="s">
        <v>1565</v>
      </c>
      <c r="C871" s="239">
        <v>5.9700000000000001E-5</v>
      </c>
      <c r="E871" s="2">
        <v>27634</v>
      </c>
      <c r="F871" s="2">
        <v>8505</v>
      </c>
      <c r="G871" s="2">
        <v>15768</v>
      </c>
      <c r="H871" s="2">
        <v>3458</v>
      </c>
      <c r="I871" s="2">
        <v>0</v>
      </c>
      <c r="K871" s="2">
        <v>8943</v>
      </c>
      <c r="L871" s="2">
        <v>8413</v>
      </c>
      <c r="M871" s="2">
        <v>7540</v>
      </c>
      <c r="N871" s="2">
        <v>3019</v>
      </c>
      <c r="O871" s="2">
        <v>0</v>
      </c>
      <c r="Q871" s="2">
        <v>9495</v>
      </c>
      <c r="R871" s="2">
        <v>-8167</v>
      </c>
      <c r="S871" s="2">
        <v>1151</v>
      </c>
      <c r="T871" s="2">
        <v>1498</v>
      </c>
      <c r="U871" s="2">
        <v>0</v>
      </c>
      <c r="W871" s="2">
        <v>10696</v>
      </c>
      <c r="X871" s="2">
        <v>8763</v>
      </c>
      <c r="Y871" s="2">
        <v>7114</v>
      </c>
      <c r="Z871" s="2">
        <v>0</v>
      </c>
      <c r="AA871" s="2">
        <v>0</v>
      </c>
      <c r="AC871" s="2">
        <v>1019</v>
      </c>
      <c r="AD871" s="2">
        <v>1019</v>
      </c>
      <c r="AE871" s="2">
        <v>1021</v>
      </c>
      <c r="AF871" s="2">
        <v>0</v>
      </c>
      <c r="AG871" s="2">
        <v>0</v>
      </c>
      <c r="AI871" s="2">
        <v>-2519</v>
      </c>
      <c r="AJ871" s="2">
        <v>-1523</v>
      </c>
      <c r="AK871" s="2">
        <v>-1058</v>
      </c>
      <c r="AL871" s="2">
        <v>-1059</v>
      </c>
      <c r="AM871" s="2">
        <v>0</v>
      </c>
    </row>
    <row r="872" spans="1:39">
      <c r="A872" s="335">
        <v>99321</v>
      </c>
      <c r="B872" s="328" t="s">
        <v>1566</v>
      </c>
      <c r="C872" s="239">
        <v>8.6399999999999999E-5</v>
      </c>
      <c r="E872" s="2">
        <v>77620</v>
      </c>
      <c r="F872" s="2">
        <v>38801</v>
      </c>
      <c r="G872" s="2">
        <v>40564</v>
      </c>
      <c r="H872" s="2">
        <v>17708</v>
      </c>
      <c r="I872" s="2">
        <v>0</v>
      </c>
      <c r="K872" s="2">
        <v>12943</v>
      </c>
      <c r="L872" s="2">
        <v>12175</v>
      </c>
      <c r="M872" s="2">
        <v>10913</v>
      </c>
      <c r="N872" s="2">
        <v>4369</v>
      </c>
      <c r="O872" s="2">
        <v>0</v>
      </c>
      <c r="Q872" s="2">
        <v>13741</v>
      </c>
      <c r="R872" s="2">
        <v>-11820</v>
      </c>
      <c r="S872" s="2">
        <v>1666</v>
      </c>
      <c r="T872" s="2">
        <v>2168</v>
      </c>
      <c r="U872" s="2">
        <v>0</v>
      </c>
      <c r="W872" s="2">
        <v>15480</v>
      </c>
      <c r="X872" s="2">
        <v>12681</v>
      </c>
      <c r="Y872" s="2">
        <v>10295</v>
      </c>
      <c r="Z872" s="2">
        <v>0</v>
      </c>
      <c r="AA872" s="2">
        <v>0</v>
      </c>
      <c r="AC872" s="2">
        <v>35456</v>
      </c>
      <c r="AD872" s="2">
        <v>25765</v>
      </c>
      <c r="AE872" s="2">
        <v>17690</v>
      </c>
      <c r="AF872" s="2">
        <v>11171</v>
      </c>
      <c r="AG872" s="2">
        <v>0</v>
      </c>
      <c r="AI872" s="2">
        <v>0</v>
      </c>
      <c r="AJ872" s="2">
        <v>0</v>
      </c>
      <c r="AK872" s="2">
        <v>0</v>
      </c>
      <c r="AL872" s="2">
        <v>0</v>
      </c>
      <c r="AM872" s="2">
        <v>0</v>
      </c>
    </row>
    <row r="873" spans="1:39">
      <c r="A873" s="335">
        <v>99401</v>
      </c>
      <c r="B873" s="328" t="s">
        <v>1567</v>
      </c>
      <c r="C873" s="239">
        <v>7.7590000000000005E-4</v>
      </c>
      <c r="E873" s="2">
        <v>355657</v>
      </c>
      <c r="F873" s="2">
        <v>90947</v>
      </c>
      <c r="G873" s="2">
        <v>183685</v>
      </c>
      <c r="H873" s="2">
        <v>51545</v>
      </c>
      <c r="I873" s="2">
        <v>0</v>
      </c>
      <c r="K873" s="2">
        <v>116235</v>
      </c>
      <c r="L873" s="2">
        <v>109340</v>
      </c>
      <c r="M873" s="2">
        <v>98000</v>
      </c>
      <c r="N873" s="2">
        <v>39238</v>
      </c>
      <c r="O873" s="2">
        <v>0</v>
      </c>
      <c r="Q873" s="2">
        <v>123400</v>
      </c>
      <c r="R873" s="2">
        <v>-106147</v>
      </c>
      <c r="S873" s="2">
        <v>14960</v>
      </c>
      <c r="T873" s="2">
        <v>19470</v>
      </c>
      <c r="U873" s="2">
        <v>0</v>
      </c>
      <c r="W873" s="2">
        <v>139012</v>
      </c>
      <c r="X873" s="2">
        <v>113883</v>
      </c>
      <c r="Y873" s="2">
        <v>92454</v>
      </c>
      <c r="Z873" s="2">
        <v>0</v>
      </c>
      <c r="AA873" s="2">
        <v>0</v>
      </c>
      <c r="AC873" s="2">
        <v>3138</v>
      </c>
      <c r="AD873" s="2">
        <v>0</v>
      </c>
      <c r="AE873" s="2">
        <v>0</v>
      </c>
      <c r="AF873" s="2">
        <v>0</v>
      </c>
      <c r="AG873" s="2">
        <v>0</v>
      </c>
      <c r="AI873" s="2">
        <v>-26128</v>
      </c>
      <c r="AJ873" s="2">
        <v>-26129</v>
      </c>
      <c r="AK873" s="2">
        <v>-21729</v>
      </c>
      <c r="AL873" s="2">
        <v>-7163</v>
      </c>
      <c r="AM873" s="2">
        <v>0</v>
      </c>
    </row>
    <row r="874" spans="1:39">
      <c r="A874" s="335">
        <v>99404</v>
      </c>
      <c r="B874" s="328" t="s">
        <v>1568</v>
      </c>
      <c r="C874" s="239">
        <v>8.4999999999999999E-6</v>
      </c>
      <c r="E874" s="2">
        <v>4845</v>
      </c>
      <c r="F874" s="2">
        <v>1854</v>
      </c>
      <c r="G874" s="2">
        <v>2640</v>
      </c>
      <c r="H874" s="2">
        <v>844</v>
      </c>
      <c r="I874" s="2">
        <v>0</v>
      </c>
      <c r="K874" s="2">
        <v>1273</v>
      </c>
      <c r="L874" s="2">
        <v>1198</v>
      </c>
      <c r="M874" s="2">
        <v>1074</v>
      </c>
      <c r="N874" s="2">
        <v>430</v>
      </c>
      <c r="O874" s="2">
        <v>0</v>
      </c>
      <c r="Q874" s="2">
        <v>1352</v>
      </c>
      <c r="R874" s="2">
        <v>-1163</v>
      </c>
      <c r="S874" s="2">
        <v>164</v>
      </c>
      <c r="T874" s="2">
        <v>213</v>
      </c>
      <c r="U874" s="2">
        <v>0</v>
      </c>
      <c r="W874" s="2">
        <v>1523</v>
      </c>
      <c r="X874" s="2">
        <v>1248</v>
      </c>
      <c r="Y874" s="2">
        <v>1013</v>
      </c>
      <c r="Z874" s="2">
        <v>0</v>
      </c>
      <c r="AA874" s="2">
        <v>0</v>
      </c>
      <c r="AC874" s="2">
        <v>697</v>
      </c>
      <c r="AD874" s="2">
        <v>571</v>
      </c>
      <c r="AE874" s="2">
        <v>389</v>
      </c>
      <c r="AF874" s="2">
        <v>201</v>
      </c>
      <c r="AG874" s="2">
        <v>0</v>
      </c>
      <c r="AI874" s="2">
        <v>0</v>
      </c>
      <c r="AJ874" s="2">
        <v>0</v>
      </c>
      <c r="AK874" s="2">
        <v>0</v>
      </c>
      <c r="AL874" s="2">
        <v>0</v>
      </c>
      <c r="AM874" s="2">
        <v>0</v>
      </c>
    </row>
    <row r="875" spans="1:39">
      <c r="A875" s="335">
        <v>99405</v>
      </c>
      <c r="B875" s="328" t="s">
        <v>1569</v>
      </c>
      <c r="C875" s="239">
        <v>5.9799999999999997E-5</v>
      </c>
      <c r="E875" s="2">
        <v>36712</v>
      </c>
      <c r="F875" s="2">
        <v>15658</v>
      </c>
      <c r="G875" s="2">
        <v>19895</v>
      </c>
      <c r="H875" s="2">
        <v>8022</v>
      </c>
      <c r="I875" s="2">
        <v>0</v>
      </c>
      <c r="K875" s="2">
        <v>8958</v>
      </c>
      <c r="L875" s="2">
        <v>8427</v>
      </c>
      <c r="M875" s="2">
        <v>7553</v>
      </c>
      <c r="N875" s="2">
        <v>3024</v>
      </c>
      <c r="O875" s="2">
        <v>0</v>
      </c>
      <c r="Q875" s="2">
        <v>9511</v>
      </c>
      <c r="R875" s="2">
        <v>-8181</v>
      </c>
      <c r="S875" s="2">
        <v>1153</v>
      </c>
      <c r="T875" s="2">
        <v>1501</v>
      </c>
      <c r="U875" s="2">
        <v>0</v>
      </c>
      <c r="W875" s="2">
        <v>10714</v>
      </c>
      <c r="X875" s="2">
        <v>8777</v>
      </c>
      <c r="Y875" s="2">
        <v>7126</v>
      </c>
      <c r="Z875" s="2">
        <v>0</v>
      </c>
      <c r="AA875" s="2">
        <v>0</v>
      </c>
      <c r="AC875" s="2">
        <v>7529</v>
      </c>
      <c r="AD875" s="2">
        <v>6635</v>
      </c>
      <c r="AE875" s="2">
        <v>4063</v>
      </c>
      <c r="AF875" s="2">
        <v>3497</v>
      </c>
      <c r="AG875" s="2">
        <v>0</v>
      </c>
      <c r="AI875" s="2">
        <v>0</v>
      </c>
      <c r="AJ875" s="2">
        <v>0</v>
      </c>
      <c r="AK875" s="2">
        <v>0</v>
      </c>
      <c r="AL875" s="2">
        <v>0</v>
      </c>
      <c r="AM875" s="2">
        <v>0</v>
      </c>
    </row>
    <row r="876" spans="1:39">
      <c r="A876" s="335">
        <v>99411</v>
      </c>
      <c r="B876" s="328" t="s">
        <v>1570</v>
      </c>
      <c r="C876" s="239">
        <v>1.7139999999999999E-4</v>
      </c>
      <c r="E876" s="2">
        <v>97629</v>
      </c>
      <c r="F876" s="2">
        <v>36020</v>
      </c>
      <c r="G876" s="2">
        <v>49340</v>
      </c>
      <c r="H876" s="2">
        <v>13813</v>
      </c>
      <c r="I876" s="2">
        <v>0</v>
      </c>
      <c r="K876" s="2">
        <v>25677</v>
      </c>
      <c r="L876" s="2">
        <v>24154</v>
      </c>
      <c r="M876" s="2">
        <v>21649</v>
      </c>
      <c r="N876" s="2">
        <v>8668</v>
      </c>
      <c r="O876" s="2">
        <v>0</v>
      </c>
      <c r="Q876" s="2">
        <v>27260</v>
      </c>
      <c r="R876" s="2">
        <v>-23448</v>
      </c>
      <c r="S876" s="2">
        <v>3305</v>
      </c>
      <c r="T876" s="2">
        <v>4301</v>
      </c>
      <c r="U876" s="2">
        <v>0</v>
      </c>
      <c r="W876" s="2">
        <v>30708</v>
      </c>
      <c r="X876" s="2">
        <v>25157</v>
      </c>
      <c r="Y876" s="2">
        <v>20424</v>
      </c>
      <c r="Z876" s="2">
        <v>0</v>
      </c>
      <c r="AA876" s="2">
        <v>0</v>
      </c>
      <c r="AC876" s="2">
        <v>13984</v>
      </c>
      <c r="AD876" s="2">
        <v>10157</v>
      </c>
      <c r="AE876" s="2">
        <v>3962</v>
      </c>
      <c r="AF876" s="2">
        <v>844</v>
      </c>
      <c r="AG876" s="2">
        <v>0</v>
      </c>
      <c r="AI876" s="2">
        <v>0</v>
      </c>
      <c r="AJ876" s="2">
        <v>0</v>
      </c>
      <c r="AK876" s="2">
        <v>0</v>
      </c>
      <c r="AL876" s="2">
        <v>0</v>
      </c>
      <c r="AM876" s="2">
        <v>0</v>
      </c>
    </row>
    <row r="877" spans="1:39">
      <c r="A877" s="335">
        <v>99413</v>
      </c>
      <c r="B877" s="328" t="s">
        <v>1571</v>
      </c>
      <c r="C877" s="239">
        <v>2.0400000000000001E-5</v>
      </c>
      <c r="E877" s="2">
        <v>11351</v>
      </c>
      <c r="F877" s="2">
        <v>5107</v>
      </c>
      <c r="G877" s="2">
        <v>5995</v>
      </c>
      <c r="H877" s="2">
        <v>2993</v>
      </c>
      <c r="I877" s="2">
        <v>0</v>
      </c>
      <c r="K877" s="2">
        <v>3056</v>
      </c>
      <c r="L877" s="2">
        <v>2875</v>
      </c>
      <c r="M877" s="2">
        <v>2577</v>
      </c>
      <c r="N877" s="2">
        <v>1032</v>
      </c>
      <c r="O877" s="2">
        <v>0</v>
      </c>
      <c r="Q877" s="2">
        <v>3244</v>
      </c>
      <c r="R877" s="2">
        <v>-2791</v>
      </c>
      <c r="S877" s="2">
        <v>393</v>
      </c>
      <c r="T877" s="2">
        <v>512</v>
      </c>
      <c r="U877" s="2">
        <v>0</v>
      </c>
      <c r="W877" s="2">
        <v>3655</v>
      </c>
      <c r="X877" s="2">
        <v>2994</v>
      </c>
      <c r="Y877" s="2">
        <v>2431</v>
      </c>
      <c r="Z877" s="2">
        <v>0</v>
      </c>
      <c r="AA877" s="2">
        <v>0</v>
      </c>
      <c r="AC877" s="2">
        <v>2884</v>
      </c>
      <c r="AD877" s="2">
        <v>2884</v>
      </c>
      <c r="AE877" s="2">
        <v>1447</v>
      </c>
      <c r="AF877" s="2">
        <v>1449</v>
      </c>
      <c r="AG877" s="2">
        <v>0</v>
      </c>
      <c r="AI877" s="2">
        <v>-1488</v>
      </c>
      <c r="AJ877" s="2">
        <v>-855</v>
      </c>
      <c r="AK877" s="2">
        <v>-853</v>
      </c>
      <c r="AL877" s="2">
        <v>0</v>
      </c>
      <c r="AM877" s="2">
        <v>0</v>
      </c>
    </row>
    <row r="878" spans="1:39">
      <c r="A878" s="335">
        <v>99421</v>
      </c>
      <c r="B878" s="328" t="s">
        <v>1572</v>
      </c>
      <c r="C878" s="239">
        <v>1.3499999999999999E-5</v>
      </c>
      <c r="E878" s="2">
        <v>5620</v>
      </c>
      <c r="F878" s="2">
        <v>1856</v>
      </c>
      <c r="G878" s="2">
        <v>3877</v>
      </c>
      <c r="H878" s="2">
        <v>1094</v>
      </c>
      <c r="I878" s="2">
        <v>0</v>
      </c>
      <c r="K878" s="2">
        <v>2022</v>
      </c>
      <c r="L878" s="2">
        <v>1902</v>
      </c>
      <c r="M878" s="2">
        <v>1705</v>
      </c>
      <c r="N878" s="2">
        <v>683</v>
      </c>
      <c r="O878" s="2">
        <v>0</v>
      </c>
      <c r="Q878" s="2">
        <v>2147</v>
      </c>
      <c r="R878" s="2">
        <v>-1847</v>
      </c>
      <c r="S878" s="2">
        <v>260</v>
      </c>
      <c r="T878" s="2">
        <v>339</v>
      </c>
      <c r="U878" s="2">
        <v>0</v>
      </c>
      <c r="W878" s="2">
        <v>2419</v>
      </c>
      <c r="X878" s="2">
        <v>1981</v>
      </c>
      <c r="Y878" s="2">
        <v>1609</v>
      </c>
      <c r="Z878" s="2">
        <v>0</v>
      </c>
      <c r="AA878" s="2">
        <v>0</v>
      </c>
      <c r="AC878" s="2">
        <v>302</v>
      </c>
      <c r="AD878" s="2">
        <v>302</v>
      </c>
      <c r="AE878" s="2">
        <v>303</v>
      </c>
      <c r="AF878" s="2">
        <v>72</v>
      </c>
      <c r="AG878" s="2">
        <v>0</v>
      </c>
      <c r="AI878" s="2">
        <v>-1270</v>
      </c>
      <c r="AJ878" s="2">
        <v>-482</v>
      </c>
      <c r="AK878" s="2">
        <v>0</v>
      </c>
      <c r="AL878" s="2">
        <v>0</v>
      </c>
      <c r="AM878" s="2">
        <v>0</v>
      </c>
    </row>
    <row r="879" spans="1:39">
      <c r="A879" s="335">
        <v>99431</v>
      </c>
      <c r="B879" s="328" t="s">
        <v>1573</v>
      </c>
      <c r="C879" s="239">
        <v>1.4800000000000001E-5</v>
      </c>
      <c r="E879" s="2">
        <v>4526</v>
      </c>
      <c r="F879" s="2">
        <v>-188</v>
      </c>
      <c r="G879" s="2">
        <v>1917</v>
      </c>
      <c r="H879" s="2">
        <v>-342</v>
      </c>
      <c r="I879" s="2">
        <v>0</v>
      </c>
      <c r="K879" s="2">
        <v>2217</v>
      </c>
      <c r="L879" s="2">
        <v>2086</v>
      </c>
      <c r="M879" s="2">
        <v>1869</v>
      </c>
      <c r="N879" s="2">
        <v>748</v>
      </c>
      <c r="O879" s="2">
        <v>0</v>
      </c>
      <c r="Q879" s="2">
        <v>2354</v>
      </c>
      <c r="R879" s="2">
        <v>-2025</v>
      </c>
      <c r="S879" s="2">
        <v>285</v>
      </c>
      <c r="T879" s="2">
        <v>371</v>
      </c>
      <c r="U879" s="2">
        <v>0</v>
      </c>
      <c r="W879" s="2">
        <v>2652</v>
      </c>
      <c r="X879" s="2">
        <v>2172</v>
      </c>
      <c r="Y879" s="2">
        <v>1764</v>
      </c>
      <c r="Z879" s="2">
        <v>0</v>
      </c>
      <c r="AA879" s="2">
        <v>0</v>
      </c>
      <c r="AC879" s="2">
        <v>0</v>
      </c>
      <c r="AD879" s="2">
        <v>0</v>
      </c>
      <c r="AE879" s="2">
        <v>0</v>
      </c>
      <c r="AF879" s="2">
        <v>0</v>
      </c>
      <c r="AG879" s="2">
        <v>0</v>
      </c>
      <c r="AI879" s="2">
        <v>-2697</v>
      </c>
      <c r="AJ879" s="2">
        <v>-2421</v>
      </c>
      <c r="AK879" s="2">
        <v>-2001</v>
      </c>
      <c r="AL879" s="2">
        <v>-1461</v>
      </c>
      <c r="AM879" s="2">
        <v>0</v>
      </c>
    </row>
    <row r="880" spans="1:39">
      <c r="A880" s="335">
        <v>99501</v>
      </c>
      <c r="B880" s="328" t="s">
        <v>1574</v>
      </c>
      <c r="C880" s="239">
        <v>1.6478E-3</v>
      </c>
      <c r="E880" s="2">
        <v>815227</v>
      </c>
      <c r="F880" s="2">
        <v>259403</v>
      </c>
      <c r="G880" s="2">
        <v>452383</v>
      </c>
      <c r="H880" s="2">
        <v>134746</v>
      </c>
      <c r="I880" s="2">
        <v>0</v>
      </c>
      <c r="K880" s="2">
        <v>246852</v>
      </c>
      <c r="L880" s="2">
        <v>232208</v>
      </c>
      <c r="M880" s="2">
        <v>208125</v>
      </c>
      <c r="N880" s="2">
        <v>83331</v>
      </c>
      <c r="O880" s="2">
        <v>0</v>
      </c>
      <c r="Q880" s="2">
        <v>262068</v>
      </c>
      <c r="R880" s="2">
        <v>-225427</v>
      </c>
      <c r="S880" s="2">
        <v>31771</v>
      </c>
      <c r="T880" s="2">
        <v>41350</v>
      </c>
      <c r="U880" s="2">
        <v>0</v>
      </c>
      <c r="W880" s="2">
        <v>295223</v>
      </c>
      <c r="X880" s="2">
        <v>241857</v>
      </c>
      <c r="Y880" s="2">
        <v>196347</v>
      </c>
      <c r="Z880" s="2">
        <v>0</v>
      </c>
      <c r="AA880" s="2">
        <v>0</v>
      </c>
      <c r="AC880" s="2">
        <v>16460</v>
      </c>
      <c r="AD880" s="2">
        <v>16142</v>
      </c>
      <c r="AE880" s="2">
        <v>16140</v>
      </c>
      <c r="AF880" s="2">
        <v>10065</v>
      </c>
      <c r="AG880" s="2">
        <v>0</v>
      </c>
      <c r="AI880" s="2">
        <v>-5376</v>
      </c>
      <c r="AJ880" s="2">
        <v>-5377</v>
      </c>
      <c r="AK880" s="2">
        <v>0</v>
      </c>
      <c r="AL880" s="2">
        <v>0</v>
      </c>
      <c r="AM880" s="2">
        <v>0</v>
      </c>
    </row>
    <row r="881" spans="1:39">
      <c r="A881" s="335">
        <v>99502</v>
      </c>
      <c r="B881" s="328" t="s">
        <v>1575</v>
      </c>
      <c r="C881" s="239">
        <v>1.4459999999999999E-4</v>
      </c>
      <c r="E881" s="2">
        <v>72571</v>
      </c>
      <c r="F881" s="2">
        <v>21331</v>
      </c>
      <c r="G881" s="2">
        <v>37318</v>
      </c>
      <c r="H881" s="2">
        <v>7699</v>
      </c>
      <c r="I881" s="2">
        <v>0</v>
      </c>
      <c r="K881" s="2">
        <v>21662</v>
      </c>
      <c r="L881" s="2">
        <v>20377</v>
      </c>
      <c r="M881" s="2">
        <v>18264</v>
      </c>
      <c r="N881" s="2">
        <v>7313</v>
      </c>
      <c r="O881" s="2">
        <v>0</v>
      </c>
      <c r="Q881" s="2">
        <v>22997</v>
      </c>
      <c r="R881" s="2">
        <v>-19782</v>
      </c>
      <c r="S881" s="2">
        <v>2788</v>
      </c>
      <c r="T881" s="2">
        <v>3629</v>
      </c>
      <c r="U881" s="2">
        <v>0</v>
      </c>
      <c r="W881" s="2">
        <v>25907</v>
      </c>
      <c r="X881" s="2">
        <v>21224</v>
      </c>
      <c r="Y881" s="2">
        <v>17230</v>
      </c>
      <c r="Z881" s="2">
        <v>0</v>
      </c>
      <c r="AA881" s="2">
        <v>0</v>
      </c>
      <c r="AC881" s="2">
        <v>5249</v>
      </c>
      <c r="AD881" s="2">
        <v>2756</v>
      </c>
      <c r="AE881" s="2">
        <v>2280</v>
      </c>
      <c r="AF881" s="2">
        <v>0</v>
      </c>
      <c r="AG881" s="2">
        <v>0</v>
      </c>
      <c r="AI881" s="2">
        <v>-3244</v>
      </c>
      <c r="AJ881" s="2">
        <v>-3244</v>
      </c>
      <c r="AK881" s="2">
        <v>-3244</v>
      </c>
      <c r="AL881" s="2">
        <v>-3243</v>
      </c>
      <c r="AM881" s="2">
        <v>0</v>
      </c>
    </row>
    <row r="882" spans="1:39">
      <c r="A882" s="335">
        <v>99508</v>
      </c>
      <c r="B882" s="328" t="s">
        <v>1576</v>
      </c>
      <c r="C882" s="239">
        <v>2.0999999999999999E-5</v>
      </c>
      <c r="E882" s="2">
        <v>9916</v>
      </c>
      <c r="F882" s="2">
        <v>3042</v>
      </c>
      <c r="G882" s="2">
        <v>5425</v>
      </c>
      <c r="H882" s="2">
        <v>1517</v>
      </c>
      <c r="I882" s="2">
        <v>0</v>
      </c>
      <c r="K882" s="2">
        <v>3146</v>
      </c>
      <c r="L882" s="2">
        <v>2959</v>
      </c>
      <c r="M882" s="2">
        <v>2652</v>
      </c>
      <c r="N882" s="2">
        <v>1062</v>
      </c>
      <c r="O882" s="2">
        <v>0</v>
      </c>
      <c r="Q882" s="2">
        <v>3340</v>
      </c>
      <c r="R882" s="2">
        <v>-2873</v>
      </c>
      <c r="S882" s="2">
        <v>405</v>
      </c>
      <c r="T882" s="2">
        <v>527</v>
      </c>
      <c r="U882" s="2">
        <v>0</v>
      </c>
      <c r="W882" s="2">
        <v>3762</v>
      </c>
      <c r="X882" s="2">
        <v>3082</v>
      </c>
      <c r="Y882" s="2">
        <v>2502</v>
      </c>
      <c r="Z882" s="2">
        <v>0</v>
      </c>
      <c r="AA882" s="2">
        <v>0</v>
      </c>
      <c r="AC882" s="2">
        <v>9</v>
      </c>
      <c r="AD882" s="2">
        <v>10</v>
      </c>
      <c r="AE882" s="2">
        <v>0</v>
      </c>
      <c r="AF882" s="2">
        <v>0</v>
      </c>
      <c r="AG882" s="2">
        <v>0</v>
      </c>
      <c r="AI882" s="2">
        <v>-341</v>
      </c>
      <c r="AJ882" s="2">
        <v>-136</v>
      </c>
      <c r="AK882" s="2">
        <v>-134</v>
      </c>
      <c r="AL882" s="2">
        <v>-72</v>
      </c>
      <c r="AM882" s="2">
        <v>0</v>
      </c>
    </row>
    <row r="883" spans="1:39">
      <c r="A883" s="335">
        <v>99509</v>
      </c>
      <c r="B883" s="328" t="s">
        <v>3727</v>
      </c>
      <c r="C883" s="239">
        <v>2.5199999999999999E-5</v>
      </c>
      <c r="E883" s="2">
        <v>11034</v>
      </c>
      <c r="F883" s="2">
        <v>2781</v>
      </c>
      <c r="G883" s="2">
        <v>6120</v>
      </c>
      <c r="H883" s="2">
        <v>1727</v>
      </c>
      <c r="I883" s="2">
        <v>0</v>
      </c>
      <c r="K883" s="2">
        <v>3775</v>
      </c>
      <c r="L883" s="2">
        <v>3551</v>
      </c>
      <c r="M883" s="2">
        <v>3183</v>
      </c>
      <c r="N883" s="2">
        <v>1274</v>
      </c>
      <c r="O883" s="2">
        <v>0</v>
      </c>
      <c r="Q883" s="2">
        <v>4008</v>
      </c>
      <c r="R883" s="2">
        <v>-3447</v>
      </c>
      <c r="S883" s="2">
        <v>486</v>
      </c>
      <c r="T883" s="2">
        <v>632</v>
      </c>
      <c r="U883" s="2">
        <v>0</v>
      </c>
      <c r="W883" s="2">
        <v>4515</v>
      </c>
      <c r="X883" s="2">
        <v>3699</v>
      </c>
      <c r="Y883" s="2">
        <v>3003</v>
      </c>
      <c r="Z883" s="2">
        <v>0</v>
      </c>
      <c r="AA883" s="2">
        <v>0</v>
      </c>
      <c r="AC883" s="2">
        <v>0</v>
      </c>
      <c r="AD883" s="2">
        <v>0</v>
      </c>
      <c r="AE883" s="2">
        <v>0</v>
      </c>
      <c r="AF883" s="2">
        <v>0</v>
      </c>
      <c r="AG883" s="2">
        <v>0</v>
      </c>
      <c r="AI883" s="2">
        <v>-1264</v>
      </c>
      <c r="AJ883" s="2">
        <v>-1022</v>
      </c>
      <c r="AK883" s="2">
        <v>-552</v>
      </c>
      <c r="AL883" s="2">
        <v>-179</v>
      </c>
      <c r="AM883" s="2">
        <v>0</v>
      </c>
    </row>
    <row r="884" spans="1:39">
      <c r="A884" s="335">
        <v>99511</v>
      </c>
      <c r="B884" s="328" t="s">
        <v>1578</v>
      </c>
      <c r="C884" s="239">
        <v>1.3293999999999999E-3</v>
      </c>
      <c r="E884" s="2">
        <v>591884</v>
      </c>
      <c r="F884" s="2">
        <v>159371</v>
      </c>
      <c r="G884" s="2">
        <v>316887</v>
      </c>
      <c r="H884" s="2">
        <v>86045</v>
      </c>
      <c r="I884" s="2">
        <v>0</v>
      </c>
      <c r="K884" s="2">
        <v>199153</v>
      </c>
      <c r="L884" s="2">
        <v>187339</v>
      </c>
      <c r="M884" s="2">
        <v>167910</v>
      </c>
      <c r="N884" s="2">
        <v>67229</v>
      </c>
      <c r="O884" s="2">
        <v>0</v>
      </c>
      <c r="Q884" s="2">
        <v>211429</v>
      </c>
      <c r="R884" s="2">
        <v>-181869</v>
      </c>
      <c r="S884" s="2">
        <v>25632</v>
      </c>
      <c r="T884" s="2">
        <v>33360</v>
      </c>
      <c r="U884" s="2">
        <v>0</v>
      </c>
      <c r="W884" s="2">
        <v>238178</v>
      </c>
      <c r="X884" s="2">
        <v>195124</v>
      </c>
      <c r="Y884" s="2">
        <v>158407</v>
      </c>
      <c r="Z884" s="2">
        <v>0</v>
      </c>
      <c r="AA884" s="2">
        <v>0</v>
      </c>
      <c r="AC884" s="2">
        <v>0</v>
      </c>
      <c r="AD884" s="2">
        <v>0</v>
      </c>
      <c r="AE884" s="2">
        <v>0</v>
      </c>
      <c r="AF884" s="2">
        <v>0</v>
      </c>
      <c r="AG884" s="2">
        <v>0</v>
      </c>
      <c r="AI884" s="2">
        <v>-56876</v>
      </c>
      <c r="AJ884" s="2">
        <v>-41223</v>
      </c>
      <c r="AK884" s="2">
        <v>-35062</v>
      </c>
      <c r="AL884" s="2">
        <v>-14544</v>
      </c>
      <c r="AM884" s="2">
        <v>0</v>
      </c>
    </row>
    <row r="885" spans="1:39">
      <c r="A885" s="335">
        <v>99521</v>
      </c>
      <c r="B885" s="328" t="s">
        <v>1579</v>
      </c>
      <c r="C885" s="239">
        <v>4.8200000000000001E-4</v>
      </c>
      <c r="E885" s="2">
        <v>227351</v>
      </c>
      <c r="F885" s="2">
        <v>68510</v>
      </c>
      <c r="G885" s="2">
        <v>123062</v>
      </c>
      <c r="H885" s="2">
        <v>26622</v>
      </c>
      <c r="I885" s="2">
        <v>0</v>
      </c>
      <c r="K885" s="2">
        <v>72207</v>
      </c>
      <c r="L885" s="2">
        <v>67923</v>
      </c>
      <c r="M885" s="2">
        <v>60879</v>
      </c>
      <c r="N885" s="2">
        <v>24375</v>
      </c>
      <c r="O885" s="2">
        <v>0</v>
      </c>
      <c r="Q885" s="2">
        <v>76658</v>
      </c>
      <c r="R885" s="2">
        <v>-65940</v>
      </c>
      <c r="S885" s="2">
        <v>9293</v>
      </c>
      <c r="T885" s="2">
        <v>12095</v>
      </c>
      <c r="U885" s="2">
        <v>0</v>
      </c>
      <c r="W885" s="2">
        <v>86356</v>
      </c>
      <c r="X885" s="2">
        <v>70746</v>
      </c>
      <c r="Y885" s="2">
        <v>57434</v>
      </c>
      <c r="Z885" s="2">
        <v>0</v>
      </c>
      <c r="AA885" s="2">
        <v>0</v>
      </c>
      <c r="AC885" s="2">
        <v>5625</v>
      </c>
      <c r="AD885" s="2">
        <v>5627</v>
      </c>
      <c r="AE885" s="2">
        <v>5302</v>
      </c>
      <c r="AF885" s="2">
        <v>0</v>
      </c>
      <c r="AG885" s="2">
        <v>0</v>
      </c>
      <c r="AI885" s="2">
        <v>-13495</v>
      </c>
      <c r="AJ885" s="2">
        <v>-9846</v>
      </c>
      <c r="AK885" s="2">
        <v>-9846</v>
      </c>
      <c r="AL885" s="2">
        <v>-9848</v>
      </c>
      <c r="AM885" s="2">
        <v>0</v>
      </c>
    </row>
    <row r="886" spans="1:39">
      <c r="A886" s="335">
        <v>99527</v>
      </c>
      <c r="B886" s="328" t="s">
        <v>3728</v>
      </c>
      <c r="C886" s="239">
        <v>1.1E-5</v>
      </c>
      <c r="E886" s="2">
        <v>5828</v>
      </c>
      <c r="F886" s="2">
        <v>2032</v>
      </c>
      <c r="G886" s="2">
        <v>3224</v>
      </c>
      <c r="H886" s="2">
        <v>1007</v>
      </c>
      <c r="I886" s="2">
        <v>0</v>
      </c>
      <c r="K886" s="2">
        <v>1648</v>
      </c>
      <c r="L886" s="2">
        <v>1550</v>
      </c>
      <c r="M886" s="2">
        <v>1389</v>
      </c>
      <c r="N886" s="2">
        <v>556</v>
      </c>
      <c r="O886" s="2">
        <v>0</v>
      </c>
      <c r="Q886" s="2">
        <v>1749</v>
      </c>
      <c r="R886" s="2">
        <v>-1505</v>
      </c>
      <c r="S886" s="2">
        <v>212</v>
      </c>
      <c r="T886" s="2">
        <v>276</v>
      </c>
      <c r="U886" s="2">
        <v>0</v>
      </c>
      <c r="W886" s="2">
        <v>1971</v>
      </c>
      <c r="X886" s="2">
        <v>1615</v>
      </c>
      <c r="Y886" s="2">
        <v>1311</v>
      </c>
      <c r="Z886" s="2">
        <v>0</v>
      </c>
      <c r="AA886" s="2">
        <v>0</v>
      </c>
      <c r="AC886" s="2">
        <v>460</v>
      </c>
      <c r="AD886" s="2">
        <v>372</v>
      </c>
      <c r="AE886" s="2">
        <v>312</v>
      </c>
      <c r="AF886" s="2">
        <v>175</v>
      </c>
      <c r="AG886" s="2">
        <v>0</v>
      </c>
      <c r="AI886" s="2">
        <v>0</v>
      </c>
      <c r="AJ886" s="2">
        <v>0</v>
      </c>
      <c r="AK886" s="2">
        <v>0</v>
      </c>
      <c r="AL886" s="2">
        <v>0</v>
      </c>
      <c r="AM886" s="2">
        <v>0</v>
      </c>
    </row>
    <row r="887" spans="1:39">
      <c r="A887" s="335">
        <v>99531</v>
      </c>
      <c r="B887" s="328" t="s">
        <v>1581</v>
      </c>
      <c r="C887" s="239">
        <v>8.6299999999999997E-5</v>
      </c>
      <c r="E887" s="2">
        <v>66713</v>
      </c>
      <c r="F887" s="2">
        <v>32125</v>
      </c>
      <c r="G887" s="2">
        <v>35069</v>
      </c>
      <c r="H887" s="2">
        <v>12967</v>
      </c>
      <c r="I887" s="2">
        <v>0</v>
      </c>
      <c r="K887" s="2">
        <v>12928</v>
      </c>
      <c r="L887" s="2">
        <v>12161</v>
      </c>
      <c r="M887" s="2">
        <v>10900</v>
      </c>
      <c r="N887" s="2">
        <v>4364</v>
      </c>
      <c r="O887" s="2">
        <v>0</v>
      </c>
      <c r="Q887" s="2">
        <v>13725</v>
      </c>
      <c r="R887" s="2">
        <v>-11806</v>
      </c>
      <c r="S887" s="2">
        <v>1664</v>
      </c>
      <c r="T887" s="2">
        <v>2166</v>
      </c>
      <c r="U887" s="2">
        <v>0</v>
      </c>
      <c r="W887" s="2">
        <v>15462</v>
      </c>
      <c r="X887" s="2">
        <v>12667</v>
      </c>
      <c r="Y887" s="2">
        <v>10283</v>
      </c>
      <c r="Z887" s="2">
        <v>0</v>
      </c>
      <c r="AA887" s="2">
        <v>0</v>
      </c>
      <c r="AC887" s="2">
        <v>24598</v>
      </c>
      <c r="AD887" s="2">
        <v>19103</v>
      </c>
      <c r="AE887" s="2">
        <v>12222</v>
      </c>
      <c r="AF887" s="2">
        <v>6437</v>
      </c>
      <c r="AG887" s="2">
        <v>0</v>
      </c>
      <c r="AI887" s="2">
        <v>0</v>
      </c>
      <c r="AJ887" s="2">
        <v>0</v>
      </c>
      <c r="AK887" s="2">
        <v>0</v>
      </c>
      <c r="AL887" s="2">
        <v>0</v>
      </c>
      <c r="AM887" s="2">
        <v>0</v>
      </c>
    </row>
    <row r="888" spans="1:39">
      <c r="A888" s="335">
        <v>99601</v>
      </c>
      <c r="B888" s="328" t="s">
        <v>1582</v>
      </c>
      <c r="C888" s="239">
        <v>5.9021999999999998E-3</v>
      </c>
      <c r="E888" s="2">
        <v>2873336</v>
      </c>
      <c r="F888" s="2">
        <v>904051</v>
      </c>
      <c r="G888" s="2">
        <v>1513458</v>
      </c>
      <c r="H888" s="2">
        <v>396143</v>
      </c>
      <c r="I888" s="2">
        <v>0</v>
      </c>
      <c r="K888" s="2">
        <v>884191</v>
      </c>
      <c r="L888" s="2">
        <v>831738</v>
      </c>
      <c r="M888" s="2">
        <v>745477</v>
      </c>
      <c r="N888" s="2">
        <v>298480</v>
      </c>
      <c r="O888" s="2">
        <v>0</v>
      </c>
      <c r="Q888" s="2">
        <v>938692</v>
      </c>
      <c r="R888" s="2">
        <v>-807450</v>
      </c>
      <c r="S888" s="2">
        <v>113800</v>
      </c>
      <c r="T888" s="2">
        <v>148110</v>
      </c>
      <c r="U888" s="2">
        <v>0</v>
      </c>
      <c r="W888" s="2">
        <v>1057450</v>
      </c>
      <c r="X888" s="2">
        <v>866301</v>
      </c>
      <c r="Y888" s="2">
        <v>703288</v>
      </c>
      <c r="Z888" s="2">
        <v>0</v>
      </c>
      <c r="AA888" s="2">
        <v>0</v>
      </c>
      <c r="AC888" s="2">
        <v>63907</v>
      </c>
      <c r="AD888" s="2">
        <v>63908</v>
      </c>
      <c r="AE888" s="2">
        <v>1339</v>
      </c>
      <c r="AF888" s="2">
        <v>0</v>
      </c>
      <c r="AG888" s="2">
        <v>0</v>
      </c>
      <c r="AI888" s="2">
        <v>-70904</v>
      </c>
      <c r="AJ888" s="2">
        <v>-50446</v>
      </c>
      <c r="AK888" s="2">
        <v>-50446</v>
      </c>
      <c r="AL888" s="2">
        <v>-50447</v>
      </c>
      <c r="AM888" s="2">
        <v>0</v>
      </c>
    </row>
    <row r="889" spans="1:39">
      <c r="A889" s="335">
        <v>99602</v>
      </c>
      <c r="B889" s="328" t="s">
        <v>3729</v>
      </c>
      <c r="C889" s="239">
        <v>6.1500000000000004E-5</v>
      </c>
      <c r="E889" s="2">
        <v>31065</v>
      </c>
      <c r="F889" s="2">
        <v>9893</v>
      </c>
      <c r="G889" s="2">
        <v>15235</v>
      </c>
      <c r="H889" s="2">
        <v>3712</v>
      </c>
      <c r="I889" s="2">
        <v>0</v>
      </c>
      <c r="K889" s="2">
        <v>9213</v>
      </c>
      <c r="L889" s="2">
        <v>8667</v>
      </c>
      <c r="M889" s="2">
        <v>7768</v>
      </c>
      <c r="N889" s="2">
        <v>3110</v>
      </c>
      <c r="O889" s="2">
        <v>0</v>
      </c>
      <c r="Q889" s="2">
        <v>9781</v>
      </c>
      <c r="R889" s="2">
        <v>-8414</v>
      </c>
      <c r="S889" s="2">
        <v>1186</v>
      </c>
      <c r="T889" s="2">
        <v>1543</v>
      </c>
      <c r="U889" s="2">
        <v>0</v>
      </c>
      <c r="W889" s="2">
        <v>11018</v>
      </c>
      <c r="X889" s="2">
        <v>9027</v>
      </c>
      <c r="Y889" s="2">
        <v>7328</v>
      </c>
      <c r="Z889" s="2">
        <v>0</v>
      </c>
      <c r="AA889" s="2">
        <v>0</v>
      </c>
      <c r="AC889" s="2">
        <v>2098</v>
      </c>
      <c r="AD889" s="2">
        <v>1658</v>
      </c>
      <c r="AE889" s="2">
        <v>0</v>
      </c>
      <c r="AF889" s="2">
        <v>0</v>
      </c>
      <c r="AG889" s="2">
        <v>0</v>
      </c>
      <c r="AI889" s="2">
        <v>-1045</v>
      </c>
      <c r="AJ889" s="2">
        <v>-1045</v>
      </c>
      <c r="AK889" s="2">
        <v>-1047</v>
      </c>
      <c r="AL889" s="2">
        <v>-941</v>
      </c>
      <c r="AM889" s="2">
        <v>0</v>
      </c>
    </row>
    <row r="890" spans="1:39">
      <c r="A890" s="335">
        <v>99603</v>
      </c>
      <c r="B890" s="328" t="s">
        <v>3730</v>
      </c>
      <c r="C890" s="239">
        <v>1.5540000000000001E-4</v>
      </c>
      <c r="E890" s="2">
        <v>97613</v>
      </c>
      <c r="F890" s="2">
        <v>31848</v>
      </c>
      <c r="G890" s="2">
        <v>43685</v>
      </c>
      <c r="H890" s="2">
        <v>9855</v>
      </c>
      <c r="I890" s="2">
        <v>0</v>
      </c>
      <c r="K890" s="2">
        <v>23280</v>
      </c>
      <c r="L890" s="2">
        <v>21899</v>
      </c>
      <c r="M890" s="2">
        <v>19628</v>
      </c>
      <c r="N890" s="2">
        <v>7859</v>
      </c>
      <c r="O890" s="2">
        <v>0</v>
      </c>
      <c r="Q890" s="2">
        <v>24715</v>
      </c>
      <c r="R890" s="2">
        <v>-21259</v>
      </c>
      <c r="S890" s="2">
        <v>2996</v>
      </c>
      <c r="T890" s="2">
        <v>3900</v>
      </c>
      <c r="U890" s="2">
        <v>0</v>
      </c>
      <c r="W890" s="2">
        <v>27842</v>
      </c>
      <c r="X890" s="2">
        <v>22809</v>
      </c>
      <c r="Y890" s="2">
        <v>18517</v>
      </c>
      <c r="Z890" s="2">
        <v>0</v>
      </c>
      <c r="AA890" s="2">
        <v>0</v>
      </c>
      <c r="AC890" s="2">
        <v>23681</v>
      </c>
      <c r="AD890" s="2">
        <v>10304</v>
      </c>
      <c r="AE890" s="2">
        <v>4449</v>
      </c>
      <c r="AF890" s="2">
        <v>0</v>
      </c>
      <c r="AG890" s="2">
        <v>0</v>
      </c>
      <c r="AI890" s="2">
        <v>-1905</v>
      </c>
      <c r="AJ890" s="2">
        <v>-1905</v>
      </c>
      <c r="AK890" s="2">
        <v>-1905</v>
      </c>
      <c r="AL890" s="2">
        <v>-1904</v>
      </c>
      <c r="AM890" s="2">
        <v>0</v>
      </c>
    </row>
    <row r="891" spans="1:39">
      <c r="A891" s="335">
        <v>99604</v>
      </c>
      <c r="B891" s="328" t="s">
        <v>1585</v>
      </c>
      <c r="C891" s="239">
        <v>9.1100000000000005E-5</v>
      </c>
      <c r="E891" s="2">
        <v>50410</v>
      </c>
      <c r="F891" s="2">
        <v>18244</v>
      </c>
      <c r="G891" s="2">
        <v>26737</v>
      </c>
      <c r="H891" s="2">
        <v>7098</v>
      </c>
      <c r="I891" s="2">
        <v>0</v>
      </c>
      <c r="K891" s="2">
        <v>13647</v>
      </c>
      <c r="L891" s="2">
        <v>12838</v>
      </c>
      <c r="M891" s="2">
        <v>11506</v>
      </c>
      <c r="N891" s="2">
        <v>4607</v>
      </c>
      <c r="O891" s="2">
        <v>0</v>
      </c>
      <c r="Q891" s="2">
        <v>14489</v>
      </c>
      <c r="R891" s="2">
        <v>-12463</v>
      </c>
      <c r="S891" s="2">
        <v>1756</v>
      </c>
      <c r="T891" s="2">
        <v>2286</v>
      </c>
      <c r="U891" s="2">
        <v>0</v>
      </c>
      <c r="W891" s="2">
        <v>16322</v>
      </c>
      <c r="X891" s="2">
        <v>13371</v>
      </c>
      <c r="Y891" s="2">
        <v>10855</v>
      </c>
      <c r="Z891" s="2">
        <v>0</v>
      </c>
      <c r="AA891" s="2">
        <v>0</v>
      </c>
      <c r="AC891" s="2">
        <v>5952</v>
      </c>
      <c r="AD891" s="2">
        <v>4498</v>
      </c>
      <c r="AE891" s="2">
        <v>2620</v>
      </c>
      <c r="AF891" s="2">
        <v>205</v>
      </c>
      <c r="AG891" s="2">
        <v>0</v>
      </c>
      <c r="AI891" s="2">
        <v>0</v>
      </c>
      <c r="AJ891" s="2">
        <v>0</v>
      </c>
      <c r="AK891" s="2">
        <v>0</v>
      </c>
      <c r="AL891" s="2">
        <v>0</v>
      </c>
      <c r="AM891" s="2">
        <v>0</v>
      </c>
    </row>
    <row r="892" spans="1:39">
      <c r="A892" s="335">
        <v>99609</v>
      </c>
      <c r="B892" s="328" t="s">
        <v>1586</v>
      </c>
      <c r="C892" s="239">
        <v>2.8799999999999999E-5</v>
      </c>
      <c r="E892" s="2">
        <v>16485</v>
      </c>
      <c r="F892" s="2">
        <v>6251</v>
      </c>
      <c r="G892" s="2">
        <v>9911</v>
      </c>
      <c r="H892" s="2">
        <v>3429</v>
      </c>
      <c r="I892" s="2">
        <v>0</v>
      </c>
      <c r="K892" s="2">
        <v>4314</v>
      </c>
      <c r="L892" s="2">
        <v>4058</v>
      </c>
      <c r="M892" s="2">
        <v>3638</v>
      </c>
      <c r="N892" s="2">
        <v>1456</v>
      </c>
      <c r="O892" s="2">
        <v>0</v>
      </c>
      <c r="Q892" s="2">
        <v>4580</v>
      </c>
      <c r="R892" s="2">
        <v>-3940</v>
      </c>
      <c r="S892" s="2">
        <v>555</v>
      </c>
      <c r="T892" s="2">
        <v>723</v>
      </c>
      <c r="U892" s="2">
        <v>0</v>
      </c>
      <c r="W892" s="2">
        <v>5160</v>
      </c>
      <c r="X892" s="2">
        <v>4227</v>
      </c>
      <c r="Y892" s="2">
        <v>3432</v>
      </c>
      <c r="Z892" s="2">
        <v>0</v>
      </c>
      <c r="AA892" s="2">
        <v>0</v>
      </c>
      <c r="AC892" s="2">
        <v>2812</v>
      </c>
      <c r="AD892" s="2">
        <v>2286</v>
      </c>
      <c r="AE892" s="2">
        <v>2286</v>
      </c>
      <c r="AF892" s="2">
        <v>1250</v>
      </c>
      <c r="AG892" s="2">
        <v>0</v>
      </c>
      <c r="AI892" s="2">
        <v>-381</v>
      </c>
      <c r="AJ892" s="2">
        <v>-380</v>
      </c>
      <c r="AK892" s="2">
        <v>0</v>
      </c>
      <c r="AL892" s="2">
        <v>0</v>
      </c>
      <c r="AM892" s="2">
        <v>0</v>
      </c>
    </row>
    <row r="893" spans="1:39">
      <c r="A893" s="335">
        <v>99610</v>
      </c>
      <c r="B893" s="328" t="s">
        <v>3731</v>
      </c>
      <c r="C893" s="239">
        <v>1.683E-4</v>
      </c>
      <c r="E893" s="2">
        <v>77978</v>
      </c>
      <c r="F893" s="2">
        <v>20843</v>
      </c>
      <c r="G893" s="2">
        <v>40836</v>
      </c>
      <c r="H893" s="2">
        <v>10312</v>
      </c>
      <c r="I893" s="2">
        <v>0</v>
      </c>
      <c r="K893" s="2">
        <v>25213</v>
      </c>
      <c r="L893" s="2">
        <v>23717</v>
      </c>
      <c r="M893" s="2">
        <v>21257</v>
      </c>
      <c r="N893" s="2">
        <v>8511</v>
      </c>
      <c r="O893" s="2">
        <v>0</v>
      </c>
      <c r="Q893" s="2">
        <v>26767</v>
      </c>
      <c r="R893" s="2">
        <v>-23024</v>
      </c>
      <c r="S893" s="2">
        <v>3245</v>
      </c>
      <c r="T893" s="2">
        <v>4223</v>
      </c>
      <c r="U893" s="2">
        <v>0</v>
      </c>
      <c r="W893" s="2">
        <v>30153</v>
      </c>
      <c r="X893" s="2">
        <v>24702</v>
      </c>
      <c r="Y893" s="2">
        <v>20054</v>
      </c>
      <c r="Z893" s="2">
        <v>0</v>
      </c>
      <c r="AA893" s="2">
        <v>0</v>
      </c>
      <c r="AC893" s="2">
        <v>396</v>
      </c>
      <c r="AD893" s="2">
        <v>0</v>
      </c>
      <c r="AE893" s="2">
        <v>0</v>
      </c>
      <c r="AF893" s="2">
        <v>0</v>
      </c>
      <c r="AG893" s="2">
        <v>0</v>
      </c>
      <c r="AI893" s="2">
        <v>-4551</v>
      </c>
      <c r="AJ893" s="2">
        <v>-4552</v>
      </c>
      <c r="AK893" s="2">
        <v>-3720</v>
      </c>
      <c r="AL893" s="2">
        <v>-2422</v>
      </c>
      <c r="AM893" s="2">
        <v>0</v>
      </c>
    </row>
    <row r="894" spans="1:39">
      <c r="A894" s="335">
        <v>99611</v>
      </c>
      <c r="B894" s="328" t="s">
        <v>1588</v>
      </c>
      <c r="C894" s="239">
        <v>3.2022000000000001E-3</v>
      </c>
      <c r="E894" s="2">
        <v>1514058</v>
      </c>
      <c r="F894" s="2">
        <v>474049</v>
      </c>
      <c r="G894" s="2">
        <v>829499</v>
      </c>
      <c r="H894" s="2">
        <v>215424</v>
      </c>
      <c r="I894" s="2">
        <v>0</v>
      </c>
      <c r="K894" s="2">
        <v>479712</v>
      </c>
      <c r="L894" s="2">
        <v>451254</v>
      </c>
      <c r="M894" s="2">
        <v>404454</v>
      </c>
      <c r="N894" s="2">
        <v>161938</v>
      </c>
      <c r="O894" s="2">
        <v>0</v>
      </c>
      <c r="Q894" s="2">
        <v>509281</v>
      </c>
      <c r="R894" s="2">
        <v>-438077</v>
      </c>
      <c r="S894" s="2">
        <v>61742</v>
      </c>
      <c r="T894" s="2">
        <v>80356</v>
      </c>
      <c r="U894" s="2">
        <v>0</v>
      </c>
      <c r="W894" s="2">
        <v>573713</v>
      </c>
      <c r="X894" s="2">
        <v>470006</v>
      </c>
      <c r="Y894" s="2">
        <v>381565</v>
      </c>
      <c r="Z894" s="2">
        <v>0</v>
      </c>
      <c r="AA894" s="2">
        <v>0</v>
      </c>
      <c r="AC894" s="2">
        <v>17737</v>
      </c>
      <c r="AD894" s="2">
        <v>17736</v>
      </c>
      <c r="AE894" s="2">
        <v>8608</v>
      </c>
      <c r="AF894" s="2">
        <v>0</v>
      </c>
      <c r="AG894" s="2">
        <v>0</v>
      </c>
      <c r="AI894" s="2">
        <v>-66385</v>
      </c>
      <c r="AJ894" s="2">
        <v>-26870</v>
      </c>
      <c r="AK894" s="2">
        <v>-26870</v>
      </c>
      <c r="AL894" s="2">
        <v>-26870</v>
      </c>
      <c r="AM894" s="2">
        <v>0</v>
      </c>
    </row>
    <row r="895" spans="1:39">
      <c r="A895" s="335">
        <v>99613</v>
      </c>
      <c r="B895" s="328" t="s">
        <v>1589</v>
      </c>
      <c r="C895" s="239">
        <v>3.3720000000000001E-4</v>
      </c>
      <c r="E895" s="2">
        <v>265698</v>
      </c>
      <c r="F895" s="2">
        <v>116770</v>
      </c>
      <c r="G895" s="2">
        <v>124505</v>
      </c>
      <c r="H895" s="2">
        <v>21918</v>
      </c>
      <c r="I895" s="2">
        <v>0</v>
      </c>
      <c r="K895" s="2">
        <v>50515</v>
      </c>
      <c r="L895" s="2">
        <v>47518</v>
      </c>
      <c r="M895" s="2">
        <v>42590</v>
      </c>
      <c r="N895" s="2">
        <v>17053</v>
      </c>
      <c r="O895" s="2">
        <v>0</v>
      </c>
      <c r="Q895" s="2">
        <v>53629</v>
      </c>
      <c r="R895" s="2">
        <v>-46131</v>
      </c>
      <c r="S895" s="2">
        <v>6502</v>
      </c>
      <c r="T895" s="2">
        <v>8462</v>
      </c>
      <c r="U895" s="2">
        <v>0</v>
      </c>
      <c r="W895" s="2">
        <v>60413</v>
      </c>
      <c r="X895" s="2">
        <v>49493</v>
      </c>
      <c r="Y895" s="2">
        <v>40180</v>
      </c>
      <c r="Z895" s="2">
        <v>0</v>
      </c>
      <c r="AA895" s="2">
        <v>0</v>
      </c>
      <c r="AC895" s="2">
        <v>104740</v>
      </c>
      <c r="AD895" s="2">
        <v>69489</v>
      </c>
      <c r="AE895" s="2">
        <v>38832</v>
      </c>
      <c r="AF895" s="2">
        <v>0</v>
      </c>
      <c r="AG895" s="2">
        <v>0</v>
      </c>
      <c r="AI895" s="2">
        <v>-3599</v>
      </c>
      <c r="AJ895" s="2">
        <v>-3599</v>
      </c>
      <c r="AK895" s="2">
        <v>-3599</v>
      </c>
      <c r="AL895" s="2">
        <v>-3597</v>
      </c>
      <c r="AM895" s="2">
        <v>0</v>
      </c>
    </row>
    <row r="896" spans="1:39">
      <c r="A896" s="335">
        <v>99621</v>
      </c>
      <c r="B896" s="328" t="s">
        <v>1590</v>
      </c>
      <c r="C896" s="239">
        <v>3.5530000000000002E-4</v>
      </c>
      <c r="E896" s="2">
        <v>177338</v>
      </c>
      <c r="F896" s="2">
        <v>53918</v>
      </c>
      <c r="G896" s="2">
        <v>88048</v>
      </c>
      <c r="H896" s="2">
        <v>21302</v>
      </c>
      <c r="I896" s="2">
        <v>0</v>
      </c>
      <c r="K896" s="2">
        <v>53226</v>
      </c>
      <c r="L896" s="2">
        <v>50069</v>
      </c>
      <c r="M896" s="2">
        <v>44876</v>
      </c>
      <c r="N896" s="2">
        <v>17968</v>
      </c>
      <c r="O896" s="2">
        <v>0</v>
      </c>
      <c r="Q896" s="2">
        <v>56507</v>
      </c>
      <c r="R896" s="2">
        <v>-48607</v>
      </c>
      <c r="S896" s="2">
        <v>6851</v>
      </c>
      <c r="T896" s="2">
        <v>8916</v>
      </c>
      <c r="U896" s="2">
        <v>0</v>
      </c>
      <c r="W896" s="2">
        <v>63656</v>
      </c>
      <c r="X896" s="2">
        <v>52150</v>
      </c>
      <c r="Y896" s="2">
        <v>42336</v>
      </c>
      <c r="Z896" s="2">
        <v>0</v>
      </c>
      <c r="AA896" s="2">
        <v>0</v>
      </c>
      <c r="AC896" s="2">
        <v>9962</v>
      </c>
      <c r="AD896" s="2">
        <v>6319</v>
      </c>
      <c r="AE896" s="2">
        <v>0</v>
      </c>
      <c r="AF896" s="2">
        <v>0</v>
      </c>
      <c r="AG896" s="2">
        <v>0</v>
      </c>
      <c r="AI896" s="2">
        <v>-6013</v>
      </c>
      <c r="AJ896" s="2">
        <v>-6013</v>
      </c>
      <c r="AK896" s="2">
        <v>-6015</v>
      </c>
      <c r="AL896" s="2">
        <v>-5582</v>
      </c>
      <c r="AM896" s="2">
        <v>0</v>
      </c>
    </row>
    <row r="897" spans="1:39">
      <c r="A897" s="335">
        <v>99623</v>
      </c>
      <c r="B897" s="328" t="s">
        <v>3507</v>
      </c>
      <c r="C897" s="239">
        <v>1.08E-5</v>
      </c>
      <c r="E897" s="2">
        <v>54</v>
      </c>
      <c r="F897" s="2">
        <v>-3884</v>
      </c>
      <c r="G897" s="2">
        <v>-1983</v>
      </c>
      <c r="H897" s="2">
        <v>-4016</v>
      </c>
      <c r="I897" s="2">
        <v>0</v>
      </c>
      <c r="K897" s="2">
        <v>1618</v>
      </c>
      <c r="L897" s="2">
        <v>1522</v>
      </c>
      <c r="M897" s="2">
        <v>1364</v>
      </c>
      <c r="N897" s="2">
        <v>546</v>
      </c>
      <c r="O897" s="2">
        <v>0</v>
      </c>
      <c r="Q897" s="2">
        <v>1718</v>
      </c>
      <c r="R897" s="2">
        <v>-1477</v>
      </c>
      <c r="S897" s="2">
        <v>208</v>
      </c>
      <c r="T897" s="2">
        <v>271</v>
      </c>
      <c r="U897" s="2">
        <v>0</v>
      </c>
      <c r="W897" s="2">
        <v>1935</v>
      </c>
      <c r="X897" s="2">
        <v>1585</v>
      </c>
      <c r="Y897" s="2">
        <v>1287</v>
      </c>
      <c r="Z897" s="2">
        <v>0</v>
      </c>
      <c r="AA897" s="2">
        <v>0</v>
      </c>
      <c r="AC897" s="2">
        <v>298</v>
      </c>
      <c r="AD897" s="2">
        <v>0</v>
      </c>
      <c r="AE897" s="2">
        <v>0</v>
      </c>
      <c r="AF897" s="2">
        <v>0</v>
      </c>
      <c r="AG897" s="2">
        <v>0</v>
      </c>
      <c r="AI897" s="2">
        <v>-5515</v>
      </c>
      <c r="AJ897" s="2">
        <v>-5514</v>
      </c>
      <c r="AK897" s="2">
        <v>-4842</v>
      </c>
      <c r="AL897" s="2">
        <v>-4833</v>
      </c>
      <c r="AM897" s="2">
        <v>0</v>
      </c>
    </row>
    <row r="898" spans="1:39">
      <c r="A898" s="335">
        <v>99631</v>
      </c>
      <c r="B898" s="328" t="s">
        <v>1592</v>
      </c>
      <c r="C898" s="239">
        <v>1.078E-4</v>
      </c>
      <c r="E898" s="2">
        <v>49802</v>
      </c>
      <c r="F898" s="2">
        <v>13740</v>
      </c>
      <c r="G898" s="2">
        <v>25749</v>
      </c>
      <c r="H898" s="2">
        <v>5747</v>
      </c>
      <c r="I898" s="2">
        <v>0</v>
      </c>
      <c r="K898" s="2">
        <v>16149</v>
      </c>
      <c r="L898" s="2">
        <v>15191</v>
      </c>
      <c r="M898" s="2">
        <v>13616</v>
      </c>
      <c r="N898" s="2">
        <v>5452</v>
      </c>
      <c r="O898" s="2">
        <v>0</v>
      </c>
      <c r="Q898" s="2">
        <v>17145</v>
      </c>
      <c r="R898" s="2">
        <v>-14748</v>
      </c>
      <c r="S898" s="2">
        <v>2078</v>
      </c>
      <c r="T898" s="2">
        <v>2705</v>
      </c>
      <c r="U898" s="2">
        <v>0</v>
      </c>
      <c r="W898" s="2">
        <v>19314</v>
      </c>
      <c r="X898" s="2">
        <v>15822</v>
      </c>
      <c r="Y898" s="2">
        <v>12845</v>
      </c>
      <c r="Z898" s="2">
        <v>0</v>
      </c>
      <c r="AA898" s="2">
        <v>0</v>
      </c>
      <c r="AC898" s="2">
        <v>268</v>
      </c>
      <c r="AD898" s="2">
        <v>267</v>
      </c>
      <c r="AE898" s="2">
        <v>0</v>
      </c>
      <c r="AF898" s="2">
        <v>0</v>
      </c>
      <c r="AG898" s="2">
        <v>0</v>
      </c>
      <c r="AI898" s="2">
        <v>-3074</v>
      </c>
      <c r="AJ898" s="2">
        <v>-2792</v>
      </c>
      <c r="AK898" s="2">
        <v>-2790</v>
      </c>
      <c r="AL898" s="2">
        <v>-2410</v>
      </c>
      <c r="AM898" s="2">
        <v>0</v>
      </c>
    </row>
    <row r="899" spans="1:39">
      <c r="A899" s="335">
        <v>99651</v>
      </c>
      <c r="B899" s="328" t="s">
        <v>1593</v>
      </c>
      <c r="C899" s="239">
        <v>6.5300000000000002E-5</v>
      </c>
      <c r="E899" s="2">
        <v>32749</v>
      </c>
      <c r="F899" s="2">
        <v>10104</v>
      </c>
      <c r="G899" s="2">
        <v>17644</v>
      </c>
      <c r="H899" s="2">
        <v>6852</v>
      </c>
      <c r="I899" s="2">
        <v>0</v>
      </c>
      <c r="K899" s="2">
        <v>9782</v>
      </c>
      <c r="L899" s="2">
        <v>9202</v>
      </c>
      <c r="M899" s="2">
        <v>8248</v>
      </c>
      <c r="N899" s="2">
        <v>3302</v>
      </c>
      <c r="O899" s="2">
        <v>0</v>
      </c>
      <c r="Q899" s="2">
        <v>10385</v>
      </c>
      <c r="R899" s="2">
        <v>-8933</v>
      </c>
      <c r="S899" s="2">
        <v>1259</v>
      </c>
      <c r="T899" s="2">
        <v>1639</v>
      </c>
      <c r="U899" s="2">
        <v>0</v>
      </c>
      <c r="W899" s="2">
        <v>11699</v>
      </c>
      <c r="X899" s="2">
        <v>9584</v>
      </c>
      <c r="Y899" s="2">
        <v>7781</v>
      </c>
      <c r="Z899" s="2">
        <v>0</v>
      </c>
      <c r="AA899" s="2">
        <v>0</v>
      </c>
      <c r="AC899" s="2">
        <v>2544</v>
      </c>
      <c r="AD899" s="2">
        <v>1912</v>
      </c>
      <c r="AE899" s="2">
        <v>1912</v>
      </c>
      <c r="AF899" s="2">
        <v>1911</v>
      </c>
      <c r="AG899" s="2">
        <v>0</v>
      </c>
      <c r="AI899" s="2">
        <v>-1661</v>
      </c>
      <c r="AJ899" s="2">
        <v>-1661</v>
      </c>
      <c r="AK899" s="2">
        <v>-1556</v>
      </c>
      <c r="AL899" s="2">
        <v>0</v>
      </c>
      <c r="AM899" s="2">
        <v>0</v>
      </c>
    </row>
    <row r="900" spans="1:39">
      <c r="A900" s="335">
        <v>99661</v>
      </c>
      <c r="B900" s="328" t="s">
        <v>1594</v>
      </c>
      <c r="C900" s="239">
        <v>3.4799999999999999E-5</v>
      </c>
      <c r="E900" s="2">
        <v>37088</v>
      </c>
      <c r="F900" s="2">
        <v>21797</v>
      </c>
      <c r="G900" s="2">
        <v>22335</v>
      </c>
      <c r="H900" s="2">
        <v>10851</v>
      </c>
      <c r="I900" s="2">
        <v>0</v>
      </c>
      <c r="K900" s="2">
        <v>5213</v>
      </c>
      <c r="L900" s="2">
        <v>4904</v>
      </c>
      <c r="M900" s="2">
        <v>4395</v>
      </c>
      <c r="N900" s="2">
        <v>1760</v>
      </c>
      <c r="O900" s="2">
        <v>0</v>
      </c>
      <c r="Q900" s="2">
        <v>5535</v>
      </c>
      <c r="R900" s="2">
        <v>-4761</v>
      </c>
      <c r="S900" s="2">
        <v>671</v>
      </c>
      <c r="T900" s="2">
        <v>873</v>
      </c>
      <c r="U900" s="2">
        <v>0</v>
      </c>
      <c r="W900" s="2">
        <v>6235</v>
      </c>
      <c r="X900" s="2">
        <v>5108</v>
      </c>
      <c r="Y900" s="2">
        <v>4147</v>
      </c>
      <c r="Z900" s="2">
        <v>0</v>
      </c>
      <c r="AA900" s="2">
        <v>0</v>
      </c>
      <c r="AC900" s="2">
        <v>20105</v>
      </c>
      <c r="AD900" s="2">
        <v>16546</v>
      </c>
      <c r="AE900" s="2">
        <v>13122</v>
      </c>
      <c r="AF900" s="2">
        <v>8218</v>
      </c>
      <c r="AG900" s="2">
        <v>0</v>
      </c>
      <c r="AI900" s="2">
        <v>0</v>
      </c>
      <c r="AJ900" s="2">
        <v>0</v>
      </c>
      <c r="AK900" s="2">
        <v>0</v>
      </c>
      <c r="AL900" s="2">
        <v>0</v>
      </c>
      <c r="AM900" s="2">
        <v>0</v>
      </c>
    </row>
    <row r="901" spans="1:39">
      <c r="A901" s="335">
        <v>99701</v>
      </c>
      <c r="B901" s="328" t="s">
        <v>1595</v>
      </c>
      <c r="C901" s="239">
        <v>2.9930999999999998E-3</v>
      </c>
      <c r="E901" s="2">
        <v>1454277</v>
      </c>
      <c r="F901" s="2">
        <v>442609</v>
      </c>
      <c r="G901" s="2">
        <v>785344</v>
      </c>
      <c r="H901" s="2">
        <v>223062</v>
      </c>
      <c r="I901" s="2">
        <v>0</v>
      </c>
      <c r="K901" s="2">
        <v>448387</v>
      </c>
      <c r="L901" s="2">
        <v>421788</v>
      </c>
      <c r="M901" s="2">
        <v>378043</v>
      </c>
      <c r="N901" s="2">
        <v>151364</v>
      </c>
      <c r="O901" s="2">
        <v>0</v>
      </c>
      <c r="Q901" s="2">
        <v>476026</v>
      </c>
      <c r="R901" s="2">
        <v>-409471</v>
      </c>
      <c r="S901" s="2">
        <v>57710</v>
      </c>
      <c r="T901" s="2">
        <v>75109</v>
      </c>
      <c r="U901" s="2">
        <v>0</v>
      </c>
      <c r="W901" s="2">
        <v>536250</v>
      </c>
      <c r="X901" s="2">
        <v>439315</v>
      </c>
      <c r="Y901" s="2">
        <v>356649</v>
      </c>
      <c r="Z901" s="2">
        <v>0</v>
      </c>
      <c r="AA901" s="2">
        <v>0</v>
      </c>
      <c r="AC901" s="2">
        <v>2637</v>
      </c>
      <c r="AD901" s="2">
        <v>0</v>
      </c>
      <c r="AE901" s="2">
        <v>0</v>
      </c>
      <c r="AF901" s="2">
        <v>0</v>
      </c>
      <c r="AG901" s="2">
        <v>0</v>
      </c>
      <c r="AI901" s="2">
        <v>-9023</v>
      </c>
      <c r="AJ901" s="2">
        <v>-9023</v>
      </c>
      <c r="AK901" s="2">
        <v>-7058</v>
      </c>
      <c r="AL901" s="2">
        <v>-3411</v>
      </c>
      <c r="AM901" s="2">
        <v>0</v>
      </c>
    </row>
    <row r="902" spans="1:39">
      <c r="A902" s="335">
        <v>99705</v>
      </c>
      <c r="B902" s="328" t="s">
        <v>1596</v>
      </c>
      <c r="C902" s="239">
        <v>1.5530000000000001E-4</v>
      </c>
      <c r="E902" s="2">
        <v>81153</v>
      </c>
      <c r="F902" s="2">
        <v>28266</v>
      </c>
      <c r="G902" s="2">
        <v>44728</v>
      </c>
      <c r="H902" s="2">
        <v>14288</v>
      </c>
      <c r="I902" s="2">
        <v>0</v>
      </c>
      <c r="K902" s="2">
        <v>23265</v>
      </c>
      <c r="L902" s="2">
        <v>21885</v>
      </c>
      <c r="M902" s="2">
        <v>19615</v>
      </c>
      <c r="N902" s="2">
        <v>7854</v>
      </c>
      <c r="O902" s="2">
        <v>0</v>
      </c>
      <c r="Q902" s="2">
        <v>24699</v>
      </c>
      <c r="R902" s="2">
        <v>-21246</v>
      </c>
      <c r="S902" s="2">
        <v>2994</v>
      </c>
      <c r="T902" s="2">
        <v>3897</v>
      </c>
      <c r="U902" s="2">
        <v>0</v>
      </c>
      <c r="W902" s="2">
        <v>27824</v>
      </c>
      <c r="X902" s="2">
        <v>22794</v>
      </c>
      <c r="Y902" s="2">
        <v>18505</v>
      </c>
      <c r="Z902" s="2">
        <v>0</v>
      </c>
      <c r="AA902" s="2">
        <v>0</v>
      </c>
      <c r="AC902" s="2">
        <v>5365</v>
      </c>
      <c r="AD902" s="2">
        <v>4833</v>
      </c>
      <c r="AE902" s="2">
        <v>3614</v>
      </c>
      <c r="AF902" s="2">
        <v>2537</v>
      </c>
      <c r="AG902" s="2">
        <v>0</v>
      </c>
      <c r="AI902" s="2">
        <v>0</v>
      </c>
      <c r="AJ902" s="2">
        <v>0</v>
      </c>
      <c r="AK902" s="2">
        <v>0</v>
      </c>
      <c r="AL902" s="2">
        <v>0</v>
      </c>
      <c r="AM902" s="2">
        <v>0</v>
      </c>
    </row>
    <row r="903" spans="1:39">
      <c r="A903" s="335">
        <v>99711</v>
      </c>
      <c r="B903" s="328" t="s">
        <v>3732</v>
      </c>
      <c r="C903" s="239">
        <v>4.2489999999999997E-4</v>
      </c>
      <c r="E903" s="2">
        <v>207882</v>
      </c>
      <c r="F903" s="2">
        <v>65347</v>
      </c>
      <c r="G903" s="2">
        <v>110346</v>
      </c>
      <c r="H903" s="2">
        <v>30040</v>
      </c>
      <c r="I903" s="2">
        <v>0</v>
      </c>
      <c r="K903" s="2">
        <v>63653</v>
      </c>
      <c r="L903" s="2">
        <v>59877</v>
      </c>
      <c r="M903" s="2">
        <v>53667</v>
      </c>
      <c r="N903" s="2">
        <v>21488</v>
      </c>
      <c r="O903" s="2">
        <v>0</v>
      </c>
      <c r="Q903" s="2">
        <v>67577</v>
      </c>
      <c r="R903" s="2">
        <v>-58128</v>
      </c>
      <c r="S903" s="2">
        <v>8192</v>
      </c>
      <c r="T903" s="2">
        <v>10662</v>
      </c>
      <c r="U903" s="2">
        <v>0</v>
      </c>
      <c r="W903" s="2">
        <v>76126</v>
      </c>
      <c r="X903" s="2">
        <v>62365</v>
      </c>
      <c r="Y903" s="2">
        <v>50630</v>
      </c>
      <c r="Z903" s="2">
        <v>0</v>
      </c>
      <c r="AA903" s="2">
        <v>0</v>
      </c>
      <c r="AC903" s="2">
        <v>3377</v>
      </c>
      <c r="AD903" s="2">
        <v>3378</v>
      </c>
      <c r="AE903" s="2">
        <v>0</v>
      </c>
      <c r="AF903" s="2">
        <v>0</v>
      </c>
      <c r="AG903" s="2">
        <v>0</v>
      </c>
      <c r="AI903" s="2">
        <v>-2851</v>
      </c>
      <c r="AJ903" s="2">
        <v>-2145</v>
      </c>
      <c r="AK903" s="2">
        <v>-2143</v>
      </c>
      <c r="AL903" s="2">
        <v>-2110</v>
      </c>
      <c r="AM903" s="2">
        <v>0</v>
      </c>
    </row>
    <row r="904" spans="1:39">
      <c r="A904" s="335">
        <v>99717</v>
      </c>
      <c r="B904" s="328" t="s">
        <v>3733</v>
      </c>
      <c r="C904" s="239">
        <v>2.6599999999999999E-5</v>
      </c>
      <c r="E904" s="2">
        <v>11980</v>
      </c>
      <c r="F904" s="2">
        <v>3255</v>
      </c>
      <c r="G904" s="2">
        <v>6903</v>
      </c>
      <c r="H904" s="2">
        <v>2226</v>
      </c>
      <c r="I904" s="2">
        <v>0</v>
      </c>
      <c r="K904" s="2">
        <v>3985</v>
      </c>
      <c r="L904" s="2">
        <v>3748</v>
      </c>
      <c r="M904" s="2">
        <v>3360</v>
      </c>
      <c r="N904" s="2">
        <v>1345</v>
      </c>
      <c r="O904" s="2">
        <v>0</v>
      </c>
      <c r="Q904" s="2">
        <v>4230</v>
      </c>
      <c r="R904" s="2">
        <v>-3639</v>
      </c>
      <c r="S904" s="2">
        <v>513</v>
      </c>
      <c r="T904" s="2">
        <v>668</v>
      </c>
      <c r="U904" s="2">
        <v>0</v>
      </c>
      <c r="W904" s="2">
        <v>4766</v>
      </c>
      <c r="X904" s="2">
        <v>3904</v>
      </c>
      <c r="Y904" s="2">
        <v>3170</v>
      </c>
      <c r="Z904" s="2">
        <v>0</v>
      </c>
      <c r="AA904" s="2">
        <v>0</v>
      </c>
      <c r="AC904" s="2">
        <v>215</v>
      </c>
      <c r="AD904" s="2">
        <v>215</v>
      </c>
      <c r="AE904" s="2">
        <v>215</v>
      </c>
      <c r="AF904" s="2">
        <v>213</v>
      </c>
      <c r="AG904" s="2">
        <v>0</v>
      </c>
      <c r="AI904" s="2">
        <v>-1216</v>
      </c>
      <c r="AJ904" s="2">
        <v>-973</v>
      </c>
      <c r="AK904" s="2">
        <v>-355</v>
      </c>
      <c r="AL904" s="2">
        <v>0</v>
      </c>
      <c r="AM904" s="2">
        <v>0</v>
      </c>
    </row>
    <row r="905" spans="1:39">
      <c r="A905" s="335">
        <v>99721</v>
      </c>
      <c r="B905" s="328" t="s">
        <v>1599</v>
      </c>
      <c r="C905" s="239">
        <v>6.1160000000000001E-4</v>
      </c>
      <c r="E905" s="2">
        <v>285667</v>
      </c>
      <c r="F905" s="2">
        <v>81052</v>
      </c>
      <c r="G905" s="2">
        <v>161017</v>
      </c>
      <c r="H905" s="2">
        <v>46856</v>
      </c>
      <c r="I905" s="2">
        <v>0</v>
      </c>
      <c r="K905" s="2">
        <v>91622</v>
      </c>
      <c r="L905" s="2">
        <v>86187</v>
      </c>
      <c r="M905" s="2">
        <v>77248</v>
      </c>
      <c r="N905" s="2">
        <v>30929</v>
      </c>
      <c r="O905" s="2">
        <v>0</v>
      </c>
      <c r="Q905" s="2">
        <v>97269</v>
      </c>
      <c r="R905" s="2">
        <v>-83670</v>
      </c>
      <c r="S905" s="2">
        <v>11792</v>
      </c>
      <c r="T905" s="2">
        <v>15347</v>
      </c>
      <c r="U905" s="2">
        <v>0</v>
      </c>
      <c r="W905" s="2">
        <v>109575</v>
      </c>
      <c r="X905" s="2">
        <v>89768</v>
      </c>
      <c r="Y905" s="2">
        <v>72876</v>
      </c>
      <c r="Z905" s="2">
        <v>0</v>
      </c>
      <c r="AA905" s="2">
        <v>0</v>
      </c>
      <c r="AC905" s="2">
        <v>579</v>
      </c>
      <c r="AD905" s="2">
        <v>579</v>
      </c>
      <c r="AE905" s="2">
        <v>579</v>
      </c>
      <c r="AF905" s="2">
        <v>580</v>
      </c>
      <c r="AG905" s="2">
        <v>0</v>
      </c>
      <c r="AI905" s="2">
        <v>-13378</v>
      </c>
      <c r="AJ905" s="2">
        <v>-11812</v>
      </c>
      <c r="AK905" s="2">
        <v>-1478</v>
      </c>
      <c r="AL905" s="2">
        <v>0</v>
      </c>
      <c r="AM905" s="2">
        <v>0</v>
      </c>
    </row>
    <row r="906" spans="1:39">
      <c r="A906" s="335">
        <v>99727</v>
      </c>
      <c r="B906" s="328" t="s">
        <v>1600</v>
      </c>
      <c r="C906" s="239">
        <v>1.98E-5</v>
      </c>
      <c r="E906" s="2">
        <v>36652</v>
      </c>
      <c r="F906" s="2">
        <v>24187</v>
      </c>
      <c r="G906" s="2">
        <v>19607</v>
      </c>
      <c r="H906" s="2">
        <v>8489</v>
      </c>
      <c r="I906" s="2">
        <v>0</v>
      </c>
      <c r="K906" s="2">
        <v>2966</v>
      </c>
      <c r="L906" s="2">
        <v>2790</v>
      </c>
      <c r="M906" s="2">
        <v>2501</v>
      </c>
      <c r="N906" s="2">
        <v>1001</v>
      </c>
      <c r="O906" s="2">
        <v>0</v>
      </c>
      <c r="Q906" s="2">
        <v>3149</v>
      </c>
      <c r="R906" s="2">
        <v>-2709</v>
      </c>
      <c r="S906" s="2">
        <v>382</v>
      </c>
      <c r="T906" s="2">
        <v>497</v>
      </c>
      <c r="U906" s="2">
        <v>0</v>
      </c>
      <c r="W906" s="2">
        <v>3547</v>
      </c>
      <c r="X906" s="2">
        <v>2906</v>
      </c>
      <c r="Y906" s="2">
        <v>2359</v>
      </c>
      <c r="Z906" s="2">
        <v>0</v>
      </c>
      <c r="AA906" s="2">
        <v>0</v>
      </c>
      <c r="AC906" s="2">
        <v>26990</v>
      </c>
      <c r="AD906" s="2">
        <v>21200</v>
      </c>
      <c r="AE906" s="2">
        <v>14365</v>
      </c>
      <c r="AF906" s="2">
        <v>6991</v>
      </c>
      <c r="AG906" s="2">
        <v>0</v>
      </c>
      <c r="AI906" s="2">
        <v>0</v>
      </c>
      <c r="AJ906" s="2">
        <v>0</v>
      </c>
      <c r="AK906" s="2">
        <v>0</v>
      </c>
      <c r="AL906" s="2">
        <v>0</v>
      </c>
      <c r="AM906" s="2">
        <v>0</v>
      </c>
    </row>
    <row r="907" spans="1:39">
      <c r="A907" s="335">
        <v>99801</v>
      </c>
      <c r="B907" s="328" t="s">
        <v>1601</v>
      </c>
      <c r="C907" s="239">
        <v>4.7737999999999999E-3</v>
      </c>
      <c r="E907" s="2">
        <v>2173023</v>
      </c>
      <c r="F907" s="2">
        <v>570826</v>
      </c>
      <c r="G907" s="2">
        <v>1140152</v>
      </c>
      <c r="H907" s="2">
        <v>297576</v>
      </c>
      <c r="I907" s="2">
        <v>0</v>
      </c>
      <c r="K907" s="2">
        <v>715149</v>
      </c>
      <c r="L907" s="2">
        <v>672724</v>
      </c>
      <c r="M907" s="2">
        <v>602955</v>
      </c>
      <c r="N907" s="2">
        <v>241416</v>
      </c>
      <c r="O907" s="2">
        <v>0</v>
      </c>
      <c r="Q907" s="2">
        <v>759230</v>
      </c>
      <c r="R907" s="2">
        <v>-653080</v>
      </c>
      <c r="S907" s="2">
        <v>92044</v>
      </c>
      <c r="T907" s="2">
        <v>119794</v>
      </c>
      <c r="U907" s="2">
        <v>0</v>
      </c>
      <c r="W907" s="2">
        <v>855284</v>
      </c>
      <c r="X907" s="2">
        <v>700679</v>
      </c>
      <c r="Y907" s="2">
        <v>568832</v>
      </c>
      <c r="Z907" s="2">
        <v>0</v>
      </c>
      <c r="AA907" s="2">
        <v>0</v>
      </c>
      <c r="AC907" s="2">
        <v>0</v>
      </c>
      <c r="AD907" s="2">
        <v>0</v>
      </c>
      <c r="AE907" s="2">
        <v>0</v>
      </c>
      <c r="AF907" s="2">
        <v>0</v>
      </c>
      <c r="AG907" s="2">
        <v>0</v>
      </c>
      <c r="AI907" s="2">
        <v>-156640</v>
      </c>
      <c r="AJ907" s="2">
        <v>-149497</v>
      </c>
      <c r="AK907" s="2">
        <v>-123679</v>
      </c>
      <c r="AL907" s="2">
        <v>-63634</v>
      </c>
      <c r="AM907" s="2">
        <v>0</v>
      </c>
    </row>
    <row r="908" spans="1:39">
      <c r="A908" s="335">
        <v>99802</v>
      </c>
      <c r="B908" s="328" t="s">
        <v>2773</v>
      </c>
      <c r="C908" s="239">
        <v>1.1600000000000001E-5</v>
      </c>
      <c r="E908" s="2">
        <v>7515</v>
      </c>
      <c r="F908" s="2">
        <v>3558</v>
      </c>
      <c r="G908" s="2">
        <v>4596</v>
      </c>
      <c r="H908" s="2">
        <v>1162</v>
      </c>
      <c r="I908" s="2">
        <v>0</v>
      </c>
      <c r="K908" s="2">
        <v>1738</v>
      </c>
      <c r="L908" s="2">
        <v>1635</v>
      </c>
      <c r="M908" s="2">
        <v>1465</v>
      </c>
      <c r="N908" s="2">
        <v>587</v>
      </c>
      <c r="O908" s="2">
        <v>0</v>
      </c>
      <c r="Q908" s="2">
        <v>1845</v>
      </c>
      <c r="R908" s="2">
        <v>-1587</v>
      </c>
      <c r="S908" s="2">
        <v>224</v>
      </c>
      <c r="T908" s="2">
        <v>291</v>
      </c>
      <c r="U908" s="2">
        <v>0</v>
      </c>
      <c r="W908" s="2">
        <v>2078</v>
      </c>
      <c r="X908" s="2">
        <v>1703</v>
      </c>
      <c r="Y908" s="2">
        <v>1382</v>
      </c>
      <c r="Z908" s="2">
        <v>0</v>
      </c>
      <c r="AA908" s="2">
        <v>0</v>
      </c>
      <c r="AC908" s="2">
        <v>1854</v>
      </c>
      <c r="AD908" s="2">
        <v>1807</v>
      </c>
      <c r="AE908" s="2">
        <v>1525</v>
      </c>
      <c r="AF908" s="2">
        <v>284</v>
      </c>
      <c r="AG908" s="2">
        <v>0</v>
      </c>
      <c r="AI908" s="2">
        <v>0</v>
      </c>
      <c r="AJ908" s="2">
        <v>0</v>
      </c>
      <c r="AK908" s="2">
        <v>0</v>
      </c>
      <c r="AL908" s="2">
        <v>0</v>
      </c>
      <c r="AM908" s="2">
        <v>0</v>
      </c>
    </row>
    <row r="909" spans="1:39">
      <c r="A909" s="335">
        <v>99804</v>
      </c>
      <c r="B909" s="328" t="s">
        <v>1603</v>
      </c>
      <c r="C909" s="239">
        <v>7.2200000000000007E-5</v>
      </c>
      <c r="E909" s="2">
        <v>38217</v>
      </c>
      <c r="F909" s="2">
        <v>12984</v>
      </c>
      <c r="G909" s="2">
        <v>19509</v>
      </c>
      <c r="H909" s="2">
        <v>5893</v>
      </c>
      <c r="I909" s="2">
        <v>0</v>
      </c>
      <c r="K909" s="2">
        <v>10816</v>
      </c>
      <c r="L909" s="2">
        <v>10174</v>
      </c>
      <c r="M909" s="2">
        <v>9119</v>
      </c>
      <c r="N909" s="2">
        <v>3651</v>
      </c>
      <c r="O909" s="2">
        <v>0</v>
      </c>
      <c r="Q909" s="2">
        <v>11483</v>
      </c>
      <c r="R909" s="2">
        <v>-9877</v>
      </c>
      <c r="S909" s="2">
        <v>1392</v>
      </c>
      <c r="T909" s="2">
        <v>1812</v>
      </c>
      <c r="U909" s="2">
        <v>0</v>
      </c>
      <c r="W909" s="2">
        <v>12935</v>
      </c>
      <c r="X909" s="2">
        <v>10597</v>
      </c>
      <c r="Y909" s="2">
        <v>8603</v>
      </c>
      <c r="Z909" s="2">
        <v>0</v>
      </c>
      <c r="AA909" s="2">
        <v>0</v>
      </c>
      <c r="AC909" s="2">
        <v>3015</v>
      </c>
      <c r="AD909" s="2">
        <v>2122</v>
      </c>
      <c r="AE909" s="2">
        <v>428</v>
      </c>
      <c r="AF909" s="2">
        <v>430</v>
      </c>
      <c r="AG909" s="2">
        <v>0</v>
      </c>
      <c r="AI909" s="2">
        <v>-32</v>
      </c>
      <c r="AJ909" s="2">
        <v>-32</v>
      </c>
      <c r="AK909" s="2">
        <v>-33</v>
      </c>
      <c r="AL909" s="2">
        <v>0</v>
      </c>
      <c r="AM909" s="2">
        <v>0</v>
      </c>
    </row>
    <row r="910" spans="1:39">
      <c r="A910" s="335">
        <v>99811</v>
      </c>
      <c r="B910" s="328" t="s">
        <v>1604</v>
      </c>
      <c r="C910" s="239">
        <v>6.4218000000000001E-3</v>
      </c>
      <c r="E910" s="2">
        <v>2914143</v>
      </c>
      <c r="F910" s="2">
        <v>807842</v>
      </c>
      <c r="G910" s="2">
        <v>1600792</v>
      </c>
      <c r="H910" s="2">
        <v>447394</v>
      </c>
      <c r="I910" s="2">
        <v>0</v>
      </c>
      <c r="K910" s="2">
        <v>962031</v>
      </c>
      <c r="L910" s="2">
        <v>904960</v>
      </c>
      <c r="M910" s="2">
        <v>811105</v>
      </c>
      <c r="N910" s="2">
        <v>324757</v>
      </c>
      <c r="O910" s="2">
        <v>0</v>
      </c>
      <c r="Q910" s="2">
        <v>1021329</v>
      </c>
      <c r="R910" s="2">
        <v>-878534</v>
      </c>
      <c r="S910" s="2">
        <v>123819</v>
      </c>
      <c r="T910" s="2">
        <v>161149</v>
      </c>
      <c r="U910" s="2">
        <v>0</v>
      </c>
      <c r="W910" s="2">
        <v>1150543</v>
      </c>
      <c r="X910" s="2">
        <v>942566</v>
      </c>
      <c r="Y910" s="2">
        <v>765202</v>
      </c>
      <c r="Z910" s="2">
        <v>0</v>
      </c>
      <c r="AA910" s="2">
        <v>0</v>
      </c>
      <c r="AC910" s="2">
        <v>0</v>
      </c>
      <c r="AD910" s="2">
        <v>0</v>
      </c>
      <c r="AE910" s="2">
        <v>0</v>
      </c>
      <c r="AF910" s="2">
        <v>0</v>
      </c>
      <c r="AG910" s="2">
        <v>0</v>
      </c>
      <c r="AI910" s="2">
        <v>-219760</v>
      </c>
      <c r="AJ910" s="2">
        <v>-161150</v>
      </c>
      <c r="AK910" s="2">
        <v>-99334</v>
      </c>
      <c r="AL910" s="2">
        <v>-38512</v>
      </c>
      <c r="AM910" s="2">
        <v>0</v>
      </c>
    </row>
    <row r="911" spans="1:39">
      <c r="A911" s="335">
        <v>99812</v>
      </c>
      <c r="B911" s="328" t="s">
        <v>3734</v>
      </c>
      <c r="C911" s="239">
        <v>1.88E-5</v>
      </c>
      <c r="E911" s="2">
        <v>15941</v>
      </c>
      <c r="F911" s="2">
        <v>8496</v>
      </c>
      <c r="G911" s="2">
        <v>9240</v>
      </c>
      <c r="H911" s="2">
        <v>3759</v>
      </c>
      <c r="I911" s="2">
        <v>0</v>
      </c>
      <c r="K911" s="2">
        <v>2816</v>
      </c>
      <c r="L911" s="2">
        <v>2649</v>
      </c>
      <c r="M911" s="2">
        <v>2375</v>
      </c>
      <c r="N911" s="2">
        <v>951</v>
      </c>
      <c r="O911" s="2">
        <v>0</v>
      </c>
      <c r="Q911" s="2">
        <v>2990</v>
      </c>
      <c r="R911" s="2">
        <v>-2572</v>
      </c>
      <c r="S911" s="2">
        <v>362</v>
      </c>
      <c r="T911" s="2">
        <v>472</v>
      </c>
      <c r="U911" s="2">
        <v>0</v>
      </c>
      <c r="W911" s="2">
        <v>3368</v>
      </c>
      <c r="X911" s="2">
        <v>2759</v>
      </c>
      <c r="Y911" s="2">
        <v>2240</v>
      </c>
      <c r="Z911" s="2">
        <v>0</v>
      </c>
      <c r="AA911" s="2">
        <v>0</v>
      </c>
      <c r="AC911" s="2">
        <v>6767</v>
      </c>
      <c r="AD911" s="2">
        <v>5660</v>
      </c>
      <c r="AE911" s="2">
        <v>4263</v>
      </c>
      <c r="AF911" s="2">
        <v>2336</v>
      </c>
      <c r="AG911" s="2">
        <v>0</v>
      </c>
      <c r="AI911" s="2">
        <v>0</v>
      </c>
      <c r="AJ911" s="2">
        <v>0</v>
      </c>
      <c r="AK911" s="2">
        <v>0</v>
      </c>
      <c r="AL911" s="2">
        <v>0</v>
      </c>
      <c r="AM911" s="2">
        <v>0</v>
      </c>
    </row>
    <row r="912" spans="1:39">
      <c r="A912" s="335">
        <v>99818</v>
      </c>
      <c r="B912" s="328" t="s">
        <v>1606</v>
      </c>
      <c r="C912" s="239">
        <v>3.5599999999999998E-5</v>
      </c>
      <c r="E912" s="2">
        <v>15139</v>
      </c>
      <c r="F912" s="2">
        <v>3805</v>
      </c>
      <c r="G912" s="2">
        <v>8905</v>
      </c>
      <c r="H912" s="2">
        <v>2433</v>
      </c>
      <c r="I912" s="2">
        <v>0</v>
      </c>
      <c r="K912" s="2">
        <v>5333</v>
      </c>
      <c r="L912" s="2">
        <v>5017</v>
      </c>
      <c r="M912" s="2">
        <v>4496</v>
      </c>
      <c r="N912" s="2">
        <v>1800</v>
      </c>
      <c r="O912" s="2">
        <v>0</v>
      </c>
      <c r="Q912" s="2">
        <v>5662</v>
      </c>
      <c r="R912" s="2">
        <v>-4870</v>
      </c>
      <c r="S912" s="2">
        <v>686</v>
      </c>
      <c r="T912" s="2">
        <v>893</v>
      </c>
      <c r="U912" s="2">
        <v>0</v>
      </c>
      <c r="W912" s="2">
        <v>6378</v>
      </c>
      <c r="X912" s="2">
        <v>5225</v>
      </c>
      <c r="Y912" s="2">
        <v>4242</v>
      </c>
      <c r="Z912" s="2">
        <v>0</v>
      </c>
      <c r="AA912" s="2">
        <v>0</v>
      </c>
      <c r="AC912" s="2">
        <v>0</v>
      </c>
      <c r="AD912" s="2">
        <v>0</v>
      </c>
      <c r="AE912" s="2">
        <v>0</v>
      </c>
      <c r="AF912" s="2">
        <v>0</v>
      </c>
      <c r="AG912" s="2">
        <v>0</v>
      </c>
      <c r="AI912" s="2">
        <v>-2234</v>
      </c>
      <c r="AJ912" s="2">
        <v>-1567</v>
      </c>
      <c r="AK912" s="2">
        <v>-519</v>
      </c>
      <c r="AL912" s="2">
        <v>-260</v>
      </c>
      <c r="AM912" s="2">
        <v>0</v>
      </c>
    </row>
    <row r="913" spans="1:92">
      <c r="A913" s="335">
        <v>99821</v>
      </c>
      <c r="B913" s="328" t="s">
        <v>1607</v>
      </c>
      <c r="C913" s="239">
        <v>9.8200000000000002E-5</v>
      </c>
      <c r="E913" s="2">
        <v>55015</v>
      </c>
      <c r="F913" s="2">
        <v>20547</v>
      </c>
      <c r="G913" s="2">
        <v>28955</v>
      </c>
      <c r="H913" s="2">
        <v>9057</v>
      </c>
      <c r="I913" s="2">
        <v>0</v>
      </c>
      <c r="K913" s="2">
        <v>14711</v>
      </c>
      <c r="L913" s="2">
        <v>13838</v>
      </c>
      <c r="M913" s="2">
        <v>12403</v>
      </c>
      <c r="N913" s="2">
        <v>4966</v>
      </c>
      <c r="O913" s="2">
        <v>0</v>
      </c>
      <c r="Q913" s="2">
        <v>15618</v>
      </c>
      <c r="R913" s="2">
        <v>-13434</v>
      </c>
      <c r="S913" s="2">
        <v>1893</v>
      </c>
      <c r="T913" s="2">
        <v>2464</v>
      </c>
      <c r="U913" s="2">
        <v>0</v>
      </c>
      <c r="W913" s="2">
        <v>17594</v>
      </c>
      <c r="X913" s="2">
        <v>14413</v>
      </c>
      <c r="Y913" s="2">
        <v>11701</v>
      </c>
      <c r="Z913" s="2">
        <v>0</v>
      </c>
      <c r="AA913" s="2">
        <v>0</v>
      </c>
      <c r="AC913" s="2">
        <v>7092</v>
      </c>
      <c r="AD913" s="2">
        <v>5730</v>
      </c>
      <c r="AE913" s="2">
        <v>2958</v>
      </c>
      <c r="AF913" s="2">
        <v>1627</v>
      </c>
      <c r="AG913" s="2">
        <v>0</v>
      </c>
      <c r="AI913" s="2">
        <v>0</v>
      </c>
      <c r="AJ913" s="2">
        <v>0</v>
      </c>
      <c r="AK913" s="2">
        <v>0</v>
      </c>
      <c r="AL913" s="2">
        <v>0</v>
      </c>
      <c r="AM913" s="2">
        <v>0</v>
      </c>
    </row>
    <row r="914" spans="1:92">
      <c r="A914" s="335">
        <v>99831</v>
      </c>
      <c r="B914" s="328" t="s">
        <v>1608</v>
      </c>
      <c r="C914" s="239">
        <v>5.5399999999999998E-5</v>
      </c>
      <c r="E914" s="2">
        <v>28911</v>
      </c>
      <c r="F914" s="2">
        <v>9509</v>
      </c>
      <c r="G914" s="2">
        <v>14732</v>
      </c>
      <c r="H914" s="2">
        <v>6056</v>
      </c>
      <c r="I914" s="2">
        <v>0</v>
      </c>
      <c r="K914" s="2">
        <v>8299</v>
      </c>
      <c r="L914" s="2">
        <v>7807</v>
      </c>
      <c r="M914" s="2">
        <v>6997</v>
      </c>
      <c r="N914" s="2">
        <v>2802</v>
      </c>
      <c r="O914" s="2">
        <v>0</v>
      </c>
      <c r="Q914" s="2">
        <v>8811</v>
      </c>
      <c r="R914" s="2">
        <v>-7579</v>
      </c>
      <c r="S914" s="2">
        <v>1068</v>
      </c>
      <c r="T914" s="2">
        <v>1390</v>
      </c>
      <c r="U914" s="2">
        <v>0</v>
      </c>
      <c r="W914" s="2">
        <v>9926</v>
      </c>
      <c r="X914" s="2">
        <v>8131</v>
      </c>
      <c r="Y914" s="2">
        <v>6601</v>
      </c>
      <c r="Z914" s="2">
        <v>0</v>
      </c>
      <c r="AA914" s="2">
        <v>0</v>
      </c>
      <c r="AC914" s="2">
        <v>3675</v>
      </c>
      <c r="AD914" s="2">
        <v>2950</v>
      </c>
      <c r="AE914" s="2">
        <v>1866</v>
      </c>
      <c r="AF914" s="2">
        <v>1864</v>
      </c>
      <c r="AG914" s="2">
        <v>0</v>
      </c>
      <c r="AI914" s="2">
        <v>-1800</v>
      </c>
      <c r="AJ914" s="2">
        <v>-1800</v>
      </c>
      <c r="AK914" s="2">
        <v>-1800</v>
      </c>
      <c r="AL914" s="2">
        <v>0</v>
      </c>
      <c r="AM914" s="2">
        <v>0</v>
      </c>
    </row>
    <row r="915" spans="1:92">
      <c r="A915" s="335">
        <v>99841</v>
      </c>
      <c r="B915" s="328" t="s">
        <v>1609</v>
      </c>
      <c r="C915" s="239">
        <v>1.59E-5</v>
      </c>
      <c r="E915" s="2">
        <v>3134</v>
      </c>
      <c r="F915" s="2">
        <v>-1994</v>
      </c>
      <c r="G915" s="2">
        <v>369</v>
      </c>
      <c r="H915" s="2">
        <v>-960</v>
      </c>
      <c r="I915" s="2">
        <v>0</v>
      </c>
      <c r="K915" s="2">
        <v>2382</v>
      </c>
      <c r="L915" s="2">
        <v>2241</v>
      </c>
      <c r="M915" s="2">
        <v>2008</v>
      </c>
      <c r="N915" s="2">
        <v>804</v>
      </c>
      <c r="O915" s="2">
        <v>0</v>
      </c>
      <c r="Q915" s="2">
        <v>2529</v>
      </c>
      <c r="R915" s="2">
        <v>-2175</v>
      </c>
      <c r="S915" s="2">
        <v>307</v>
      </c>
      <c r="T915" s="2">
        <v>399</v>
      </c>
      <c r="U915" s="2">
        <v>0</v>
      </c>
      <c r="W915" s="2">
        <v>2849</v>
      </c>
      <c r="X915" s="2">
        <v>2334</v>
      </c>
      <c r="Y915" s="2">
        <v>1895</v>
      </c>
      <c r="Z915" s="2">
        <v>0</v>
      </c>
      <c r="AA915" s="2">
        <v>0</v>
      </c>
      <c r="AC915" s="2">
        <v>0</v>
      </c>
      <c r="AD915" s="2">
        <v>0</v>
      </c>
      <c r="AE915" s="2">
        <v>0</v>
      </c>
      <c r="AF915" s="2">
        <v>0</v>
      </c>
      <c r="AG915" s="2">
        <v>0</v>
      </c>
      <c r="AI915" s="2">
        <v>-4626</v>
      </c>
      <c r="AJ915" s="2">
        <v>-4394</v>
      </c>
      <c r="AK915" s="2">
        <v>-3841</v>
      </c>
      <c r="AL915" s="2">
        <v>-2163</v>
      </c>
      <c r="AM915" s="2">
        <v>0</v>
      </c>
    </row>
    <row r="916" spans="1:92">
      <c r="A916" s="335">
        <v>99851</v>
      </c>
      <c r="B916" s="328" t="s">
        <v>1610</v>
      </c>
      <c r="C916" s="239">
        <v>7.9000000000000006E-6</v>
      </c>
      <c r="E916" s="2">
        <v>-437</v>
      </c>
      <c r="F916" s="2">
        <v>-2796</v>
      </c>
      <c r="G916" s="2">
        <v>-1358</v>
      </c>
      <c r="H916" s="2">
        <v>-2365</v>
      </c>
      <c r="I916" s="2">
        <v>0</v>
      </c>
      <c r="K916" s="2">
        <v>1183</v>
      </c>
      <c r="L916" s="2">
        <v>1113</v>
      </c>
      <c r="M916" s="2">
        <v>998</v>
      </c>
      <c r="N916" s="2">
        <v>400</v>
      </c>
      <c r="O916" s="2">
        <v>0</v>
      </c>
      <c r="Q916" s="2">
        <v>1256</v>
      </c>
      <c r="R916" s="2">
        <v>-1081</v>
      </c>
      <c r="S916" s="2">
        <v>152</v>
      </c>
      <c r="T916" s="2">
        <v>198</v>
      </c>
      <c r="U916" s="2">
        <v>0</v>
      </c>
      <c r="W916" s="2">
        <v>1415</v>
      </c>
      <c r="X916" s="2">
        <v>1160</v>
      </c>
      <c r="Y916" s="2">
        <v>941</v>
      </c>
      <c r="Z916" s="2">
        <v>0</v>
      </c>
      <c r="AA916" s="2">
        <v>0</v>
      </c>
      <c r="AC916" s="2">
        <v>0</v>
      </c>
      <c r="AD916" s="2">
        <v>0</v>
      </c>
      <c r="AE916" s="2">
        <v>0</v>
      </c>
      <c r="AF916" s="2">
        <v>0</v>
      </c>
      <c r="AG916" s="2">
        <v>0</v>
      </c>
      <c r="AI916" s="2">
        <v>-4291</v>
      </c>
      <c r="AJ916" s="2">
        <v>-3988</v>
      </c>
      <c r="AK916" s="2">
        <v>-3449</v>
      </c>
      <c r="AL916" s="2">
        <v>-2963</v>
      </c>
      <c r="AM916" s="2">
        <v>0</v>
      </c>
    </row>
    <row r="917" spans="1:92">
      <c r="A917" s="335">
        <v>99901</v>
      </c>
      <c r="B917" s="328" t="s">
        <v>1611</v>
      </c>
      <c r="C917" s="239">
        <v>1.5942E-3</v>
      </c>
      <c r="E917" s="2">
        <v>767498</v>
      </c>
      <c r="F917" s="2">
        <v>223386</v>
      </c>
      <c r="G917" s="2">
        <v>400591</v>
      </c>
      <c r="H917" s="2">
        <v>119172</v>
      </c>
      <c r="I917" s="2">
        <v>0</v>
      </c>
      <c r="K917" s="2">
        <v>238822</v>
      </c>
      <c r="L917" s="2">
        <v>224655</v>
      </c>
      <c r="M917" s="2">
        <v>201355</v>
      </c>
      <c r="N917" s="2">
        <v>80620</v>
      </c>
      <c r="O917" s="2">
        <v>0</v>
      </c>
      <c r="Q917" s="2">
        <v>253543</v>
      </c>
      <c r="R917" s="2">
        <v>-218095</v>
      </c>
      <c r="S917" s="2">
        <v>30738</v>
      </c>
      <c r="T917" s="2">
        <v>40005</v>
      </c>
      <c r="U917" s="2">
        <v>0</v>
      </c>
      <c r="W917" s="2">
        <v>285620</v>
      </c>
      <c r="X917" s="2">
        <v>233990</v>
      </c>
      <c r="Y917" s="2">
        <v>189960</v>
      </c>
      <c r="Z917" s="2">
        <v>0</v>
      </c>
      <c r="AA917" s="2">
        <v>0</v>
      </c>
      <c r="AC917" s="2">
        <v>10974</v>
      </c>
      <c r="AD917" s="2">
        <v>4297</v>
      </c>
      <c r="AE917" s="2">
        <v>0</v>
      </c>
      <c r="AF917" s="2">
        <v>0</v>
      </c>
      <c r="AG917" s="2">
        <v>0</v>
      </c>
      <c r="AI917" s="2">
        <v>-21461</v>
      </c>
      <c r="AJ917" s="2">
        <v>-21461</v>
      </c>
      <c r="AK917" s="2">
        <v>-21462</v>
      </c>
      <c r="AL917" s="2">
        <v>-1453</v>
      </c>
      <c r="AM917" s="2">
        <v>0</v>
      </c>
      <c r="AN917" s="248"/>
      <c r="AO917" s="248"/>
      <c r="AP917" s="248"/>
      <c r="AQ917" s="248"/>
      <c r="AR917" s="248"/>
      <c r="AS917" s="248"/>
      <c r="AT917" s="248"/>
      <c r="AU917" s="248"/>
      <c r="AV917" s="248"/>
      <c r="AW917" s="248"/>
      <c r="AX917" s="248"/>
      <c r="AY917" s="248"/>
      <c r="AZ917" s="248"/>
      <c r="BA917" s="248"/>
      <c r="BB917" s="248"/>
      <c r="BC917" s="248"/>
      <c r="BD917" s="248"/>
      <c r="BE917" s="248"/>
      <c r="BF917" s="248"/>
      <c r="BG917" s="248"/>
      <c r="BH917" s="248"/>
      <c r="BI917" s="248"/>
      <c r="BJ917" s="248"/>
      <c r="BK917" s="248"/>
      <c r="BL917" s="248"/>
      <c r="BM917" s="248"/>
      <c r="BN917" s="248"/>
      <c r="BO917" s="248"/>
      <c r="BP917" s="248"/>
      <c r="BQ917" s="248"/>
      <c r="BR917" s="248"/>
      <c r="BS917" s="248"/>
      <c r="BT917" s="248"/>
      <c r="BU917" s="248"/>
      <c r="BV917" s="248"/>
      <c r="BW917" s="248"/>
      <c r="BX917" s="248"/>
      <c r="BY917" s="248"/>
      <c r="BZ917" s="248"/>
      <c r="CA917" s="248"/>
      <c r="CB917" s="248"/>
      <c r="CC917" s="248"/>
      <c r="CD917" s="248"/>
      <c r="CE917" s="248"/>
      <c r="CF917" s="248"/>
      <c r="CG917" s="248"/>
      <c r="CH917" s="248"/>
      <c r="CI917" s="248"/>
      <c r="CJ917" s="248"/>
      <c r="CK917" s="248"/>
      <c r="CL917" s="248"/>
      <c r="CM917" s="248"/>
      <c r="CN917" s="248"/>
    </row>
    <row r="918" spans="1:92" s="247" customFormat="1">
      <c r="A918" s="335">
        <v>99911</v>
      </c>
      <c r="B918" s="328" t="s">
        <v>1612</v>
      </c>
      <c r="C918" s="239">
        <v>2.219E-4</v>
      </c>
      <c r="D918"/>
      <c r="E918" s="2">
        <v>106678</v>
      </c>
      <c r="F918" s="2">
        <v>34113</v>
      </c>
      <c r="G918" s="2">
        <v>58044</v>
      </c>
      <c r="H918" s="2">
        <v>17828</v>
      </c>
      <c r="I918" s="2">
        <v>0</v>
      </c>
      <c r="J918"/>
      <c r="K918" s="2">
        <v>33242</v>
      </c>
      <c r="L918" s="2">
        <v>31270</v>
      </c>
      <c r="M918" s="2">
        <v>28027</v>
      </c>
      <c r="N918" s="2">
        <v>11222</v>
      </c>
      <c r="O918" s="2">
        <v>0</v>
      </c>
      <c r="P918"/>
      <c r="Q918" s="2">
        <v>35291</v>
      </c>
      <c r="R918" s="2">
        <v>-30357</v>
      </c>
      <c r="S918" s="2">
        <v>4278</v>
      </c>
      <c r="T918" s="2">
        <v>5568</v>
      </c>
      <c r="U918" s="2">
        <v>0</v>
      </c>
      <c r="V918"/>
      <c r="W918" s="2">
        <v>39756</v>
      </c>
      <c r="X918" s="2">
        <v>32570</v>
      </c>
      <c r="Y918" s="2">
        <v>26441</v>
      </c>
      <c r="Z918" s="2">
        <v>0</v>
      </c>
      <c r="AA918" s="2">
        <v>0</v>
      </c>
      <c r="AB918"/>
      <c r="AC918" s="2">
        <v>2367</v>
      </c>
      <c r="AD918" s="2">
        <v>2368</v>
      </c>
      <c r="AE918" s="2">
        <v>1037</v>
      </c>
      <c r="AF918" s="2">
        <v>1038</v>
      </c>
      <c r="AG918" s="2">
        <v>0</v>
      </c>
      <c r="AH918"/>
      <c r="AI918" s="2">
        <v>-3978</v>
      </c>
      <c r="AJ918" s="2">
        <v>-1738</v>
      </c>
      <c r="AK918" s="2">
        <v>-1739</v>
      </c>
      <c r="AL918" s="2">
        <v>0</v>
      </c>
      <c r="AM918" s="2">
        <v>0</v>
      </c>
      <c r="AN918" s="249"/>
      <c r="AO918" s="249"/>
      <c r="AP918" s="249"/>
      <c r="AQ918" s="249"/>
      <c r="AR918" s="249"/>
      <c r="AS918" s="249"/>
      <c r="AT918" s="249"/>
      <c r="AU918" s="249"/>
      <c r="AV918" s="249"/>
      <c r="AW918" s="249"/>
      <c r="AX918" s="249"/>
      <c r="AY918" s="249"/>
      <c r="AZ918" s="249"/>
      <c r="BA918" s="249"/>
      <c r="BB918" s="249"/>
      <c r="BC918" s="249"/>
      <c r="BD918" s="249"/>
      <c r="BE918" s="249"/>
      <c r="BF918" s="249"/>
      <c r="BG918" s="249"/>
      <c r="BH918" s="249"/>
      <c r="BI918" s="249"/>
      <c r="BJ918" s="249"/>
      <c r="BK918" s="249"/>
      <c r="BL918" s="249"/>
      <c r="BM918" s="249"/>
      <c r="BN918" s="249"/>
      <c r="BO918" s="249"/>
      <c r="BP918" s="249"/>
      <c r="BQ918" s="249"/>
      <c r="BR918" s="249"/>
      <c r="BS918" s="249"/>
      <c r="BT918" s="249"/>
      <c r="BU918" s="249"/>
      <c r="BV918" s="249"/>
      <c r="BW918" s="249"/>
      <c r="BX918" s="249"/>
      <c r="BY918" s="249"/>
      <c r="BZ918" s="249"/>
      <c r="CA918" s="249"/>
      <c r="CB918" s="249"/>
      <c r="CC918" s="249"/>
      <c r="CD918" s="249"/>
      <c r="CE918" s="249"/>
      <c r="CF918" s="249"/>
      <c r="CG918" s="249"/>
      <c r="CH918" s="249"/>
      <c r="CI918" s="249"/>
      <c r="CJ918" s="249"/>
      <c r="CK918" s="249"/>
      <c r="CL918" s="249"/>
      <c r="CM918" s="249"/>
      <c r="CN918" s="249"/>
    </row>
    <row r="919" spans="1:92">
      <c r="A919" s="335">
        <v>99921</v>
      </c>
      <c r="B919" s="328" t="s">
        <v>1613</v>
      </c>
      <c r="C919" s="239">
        <v>1.315E-4</v>
      </c>
      <c r="E919" s="2">
        <v>59792</v>
      </c>
      <c r="F919" s="2">
        <v>15099</v>
      </c>
      <c r="G919" s="2">
        <v>30984</v>
      </c>
      <c r="H919" s="2">
        <v>10327</v>
      </c>
      <c r="I919" s="2">
        <v>0</v>
      </c>
      <c r="K919" s="2">
        <v>19700</v>
      </c>
      <c r="L919" s="2">
        <v>18531</v>
      </c>
      <c r="M919" s="2">
        <v>16609</v>
      </c>
      <c r="N919" s="2">
        <v>6650</v>
      </c>
      <c r="O919" s="2">
        <v>0</v>
      </c>
      <c r="Q919" s="2">
        <v>20914</v>
      </c>
      <c r="R919" s="2">
        <v>-17990</v>
      </c>
      <c r="S919" s="2">
        <v>2535</v>
      </c>
      <c r="T919" s="2">
        <v>3300</v>
      </c>
      <c r="U919" s="2">
        <v>0</v>
      </c>
      <c r="W919" s="2">
        <v>23560</v>
      </c>
      <c r="X919" s="2">
        <v>19301</v>
      </c>
      <c r="Y919" s="2">
        <v>15669</v>
      </c>
      <c r="Z919" s="2">
        <v>0</v>
      </c>
      <c r="AA919" s="2">
        <v>0</v>
      </c>
      <c r="AC919" s="2">
        <v>736</v>
      </c>
      <c r="AD919" s="2">
        <v>375</v>
      </c>
      <c r="AE919" s="2">
        <v>375</v>
      </c>
      <c r="AF919" s="2">
        <v>377</v>
      </c>
      <c r="AG919" s="2">
        <v>0</v>
      </c>
      <c r="AI919" s="2">
        <v>-5118</v>
      </c>
      <c r="AJ919" s="2">
        <v>-5118</v>
      </c>
      <c r="AK919" s="2">
        <v>-4204</v>
      </c>
      <c r="AL919" s="2">
        <v>0</v>
      </c>
      <c r="AM919" s="2">
        <v>0</v>
      </c>
      <c r="AN919" s="248"/>
      <c r="AO919" s="248"/>
      <c r="AP919" s="248"/>
      <c r="AQ919" s="248"/>
      <c r="AR919" s="248"/>
      <c r="AS919" s="248"/>
      <c r="AT919" s="248"/>
      <c r="AU919" s="248"/>
      <c r="AV919" s="248"/>
      <c r="AW919" s="248"/>
      <c r="AX919" s="248"/>
      <c r="AY919" s="248"/>
      <c r="AZ919" s="248"/>
      <c r="BA919" s="248"/>
      <c r="BB919" s="248"/>
      <c r="BC919" s="248"/>
      <c r="BD919" s="248"/>
      <c r="BE919" s="248"/>
      <c r="BF919" s="248"/>
      <c r="BG919" s="248"/>
      <c r="BH919" s="248"/>
      <c r="BI919" s="248"/>
      <c r="BJ919" s="248"/>
      <c r="BK919" s="248"/>
      <c r="BL919" s="248"/>
      <c r="BM919" s="248"/>
      <c r="BN919" s="248"/>
      <c r="BO919" s="248"/>
      <c r="BP919" s="248"/>
      <c r="BQ919" s="248"/>
      <c r="BR919" s="248"/>
      <c r="BS919" s="248"/>
      <c r="BT919" s="248"/>
      <c r="BU919" s="248"/>
      <c r="BV919" s="248"/>
      <c r="BW919" s="248"/>
      <c r="BX919" s="248"/>
      <c r="BY919" s="248"/>
      <c r="BZ919" s="248"/>
      <c r="CA919" s="248"/>
      <c r="CB919" s="248"/>
      <c r="CC919" s="248"/>
      <c r="CD919" s="248"/>
      <c r="CE919" s="248"/>
      <c r="CF919" s="248"/>
      <c r="CG919" s="248"/>
      <c r="CH919" s="248"/>
      <c r="CI919" s="248"/>
      <c r="CJ919" s="248"/>
      <c r="CK919" s="248"/>
      <c r="CL919" s="248"/>
      <c r="CM919" s="248"/>
      <c r="CN919" s="248"/>
    </row>
    <row r="920" spans="1:92">
      <c r="A920" s="335">
        <v>99931</v>
      </c>
      <c r="B920" s="328" t="s">
        <v>1614</v>
      </c>
      <c r="C920" s="239">
        <v>2.1699999999999999E-5</v>
      </c>
      <c r="E920" s="2">
        <v>10777</v>
      </c>
      <c r="F920" s="2">
        <v>3732</v>
      </c>
      <c r="G920" s="2">
        <v>7436</v>
      </c>
      <c r="H920" s="2">
        <v>2931</v>
      </c>
      <c r="I920" s="2">
        <v>0</v>
      </c>
      <c r="K920" s="2">
        <v>3251</v>
      </c>
      <c r="L920" s="2">
        <v>3058</v>
      </c>
      <c r="M920" s="2">
        <v>2741</v>
      </c>
      <c r="N920" s="2">
        <v>1097</v>
      </c>
      <c r="O920" s="2">
        <v>0</v>
      </c>
      <c r="Q920" s="2">
        <v>3451</v>
      </c>
      <c r="R920" s="2">
        <v>-2969</v>
      </c>
      <c r="S920" s="2">
        <v>418</v>
      </c>
      <c r="T920" s="2">
        <v>545</v>
      </c>
      <c r="U920" s="2">
        <v>0</v>
      </c>
      <c r="W920" s="2">
        <v>3888</v>
      </c>
      <c r="X920" s="2">
        <v>3185</v>
      </c>
      <c r="Y920" s="2">
        <v>2586</v>
      </c>
      <c r="Z920" s="2">
        <v>0</v>
      </c>
      <c r="AA920" s="2">
        <v>0</v>
      </c>
      <c r="AC920" s="2">
        <v>1693</v>
      </c>
      <c r="AD920" s="2">
        <v>1693</v>
      </c>
      <c r="AE920" s="2">
        <v>1691</v>
      </c>
      <c r="AF920" s="2">
        <v>1289</v>
      </c>
      <c r="AG920" s="2">
        <v>0</v>
      </c>
      <c r="AI920" s="2">
        <v>-1506</v>
      </c>
      <c r="AJ920" s="2">
        <v>-1235</v>
      </c>
      <c r="AK920" s="2">
        <v>0</v>
      </c>
      <c r="AL920" s="2">
        <v>0</v>
      </c>
      <c r="AM920" s="2">
        <v>0</v>
      </c>
      <c r="AN920" s="248"/>
      <c r="AO920" s="248"/>
      <c r="AP920" s="248"/>
      <c r="AQ920" s="248"/>
      <c r="AR920" s="248"/>
      <c r="AS920" s="248"/>
      <c r="AT920" s="248"/>
      <c r="AU920" s="248"/>
      <c r="AV920" s="248"/>
      <c r="AW920" s="248"/>
      <c r="AX920" s="248"/>
      <c r="AY920" s="248"/>
      <c r="AZ920" s="248"/>
      <c r="BA920" s="248"/>
      <c r="BB920" s="248"/>
      <c r="BC920" s="248"/>
      <c r="BD920" s="248"/>
      <c r="BE920" s="248"/>
      <c r="BF920" s="248"/>
      <c r="BG920" s="248"/>
      <c r="BH920" s="248"/>
      <c r="BI920" s="248"/>
      <c r="BJ920" s="248"/>
      <c r="BK920" s="248"/>
      <c r="BL920" s="248"/>
      <c r="BM920" s="248"/>
      <c r="BN920" s="248"/>
      <c r="BO920" s="248"/>
      <c r="BP920" s="248"/>
      <c r="BQ920" s="248"/>
      <c r="BR920" s="248"/>
      <c r="BS920" s="248"/>
      <c r="BT920" s="248"/>
      <c r="BU920" s="248"/>
      <c r="BV920" s="248"/>
      <c r="BW920" s="248"/>
      <c r="BX920" s="248"/>
      <c r="BY920" s="248"/>
      <c r="BZ920" s="248"/>
      <c r="CA920" s="248"/>
      <c r="CB920" s="248"/>
      <c r="CC920" s="248"/>
      <c r="CD920" s="248"/>
      <c r="CE920" s="248"/>
      <c r="CF920" s="248"/>
      <c r="CG920" s="248"/>
      <c r="CH920" s="248"/>
      <c r="CI920" s="248"/>
      <c r="CJ920" s="248"/>
      <c r="CK920" s="248"/>
      <c r="CL920" s="248"/>
      <c r="CM920" s="248"/>
      <c r="CN920" s="248"/>
    </row>
    <row r="921" spans="1:92">
      <c r="A921" s="335">
        <v>99941</v>
      </c>
      <c r="B921" s="328" t="s">
        <v>1615</v>
      </c>
      <c r="C921" s="239">
        <v>7.7399999999999998E-5</v>
      </c>
      <c r="E921" s="2">
        <v>33492</v>
      </c>
      <c r="F921" s="2">
        <v>9312</v>
      </c>
      <c r="G921" s="2">
        <v>18984</v>
      </c>
      <c r="H921" s="2">
        <v>4852</v>
      </c>
      <c r="I921" s="2">
        <v>0</v>
      </c>
      <c r="K921" s="2">
        <v>11595</v>
      </c>
      <c r="L921" s="2">
        <v>10907</v>
      </c>
      <c r="M921" s="2">
        <v>9776</v>
      </c>
      <c r="N921" s="2">
        <v>3914</v>
      </c>
      <c r="O921" s="2">
        <v>0</v>
      </c>
      <c r="Q921" s="2">
        <v>12310</v>
      </c>
      <c r="R921" s="2">
        <v>-10589</v>
      </c>
      <c r="S921" s="2">
        <v>1492</v>
      </c>
      <c r="T921" s="2">
        <v>1942</v>
      </c>
      <c r="U921" s="2">
        <v>0</v>
      </c>
      <c r="W921" s="2">
        <v>13867</v>
      </c>
      <c r="X921" s="2">
        <v>11360</v>
      </c>
      <c r="Y921" s="2">
        <v>9223</v>
      </c>
      <c r="Z921" s="2">
        <v>0</v>
      </c>
      <c r="AA921" s="2">
        <v>0</v>
      </c>
      <c r="AC921" s="2">
        <v>0</v>
      </c>
      <c r="AD921" s="2">
        <v>0</v>
      </c>
      <c r="AE921" s="2">
        <v>0</v>
      </c>
      <c r="AF921" s="2">
        <v>0</v>
      </c>
      <c r="AG921" s="2">
        <v>0</v>
      </c>
      <c r="AI921" s="2">
        <v>-4280</v>
      </c>
      <c r="AJ921" s="2">
        <v>-2366</v>
      </c>
      <c r="AK921" s="2">
        <v>-1507</v>
      </c>
      <c r="AL921" s="2">
        <v>-1004</v>
      </c>
      <c r="AM921" s="2">
        <v>0</v>
      </c>
      <c r="AN921" s="248"/>
      <c r="AO921" s="248"/>
      <c r="AP921" s="248"/>
      <c r="AQ921" s="248"/>
      <c r="AR921" s="248"/>
      <c r="AS921" s="248"/>
      <c r="AT921" s="248"/>
      <c r="AU921" s="248"/>
      <c r="AV921" s="248"/>
      <c r="AW921" s="248"/>
      <c r="AX921" s="248"/>
      <c r="AY921" s="248"/>
      <c r="AZ921" s="248"/>
      <c r="BA921" s="248"/>
      <c r="BB921" s="248"/>
      <c r="BC921" s="248"/>
      <c r="BD921" s="248"/>
      <c r="BE921" s="248"/>
      <c r="BF921" s="248"/>
      <c r="BG921" s="248"/>
      <c r="BH921" s="248"/>
      <c r="BI921" s="248"/>
      <c r="BJ921" s="248"/>
      <c r="BK921" s="248"/>
      <c r="BL921" s="248"/>
      <c r="BM921" s="248"/>
      <c r="BN921" s="248"/>
      <c r="BO921" s="248"/>
      <c r="BP921" s="248"/>
      <c r="BQ921" s="248"/>
      <c r="BR921" s="248"/>
      <c r="BS921" s="248"/>
      <c r="BT921" s="248"/>
      <c r="BU921" s="248"/>
      <c r="BV921" s="248"/>
      <c r="BW921" s="248"/>
      <c r="BX921" s="248"/>
      <c r="BY921" s="248"/>
      <c r="BZ921" s="248"/>
      <c r="CA921" s="248"/>
      <c r="CB921" s="248"/>
      <c r="CC921" s="248"/>
      <c r="CD921" s="248"/>
      <c r="CE921" s="248"/>
      <c r="CF921" s="248"/>
      <c r="CG921" s="248"/>
      <c r="CH921" s="248"/>
      <c r="CI921" s="248"/>
      <c r="CJ921" s="248"/>
      <c r="CK921" s="248"/>
      <c r="CL921" s="248"/>
      <c r="CM921" s="248"/>
      <c r="CN921" s="248"/>
    </row>
    <row r="922" spans="1:92">
      <c r="A922" s="335">
        <v>99991</v>
      </c>
      <c r="B922" s="328" t="s">
        <v>3735</v>
      </c>
      <c r="C922" s="239">
        <v>5.0869999999999995E-4</v>
      </c>
      <c r="E922" s="2">
        <v>238917</v>
      </c>
      <c r="F922" s="2">
        <v>64313</v>
      </c>
      <c r="G922" s="2">
        <v>129284</v>
      </c>
      <c r="H922" s="2">
        <v>34714</v>
      </c>
      <c r="I922" s="2">
        <v>0</v>
      </c>
      <c r="K922" s="2">
        <v>76207</v>
      </c>
      <c r="L922" s="2">
        <v>71686</v>
      </c>
      <c r="M922" s="2">
        <v>64251</v>
      </c>
      <c r="N922" s="2">
        <v>25725</v>
      </c>
      <c r="O922" s="2">
        <v>0</v>
      </c>
      <c r="Q922" s="2">
        <v>80904</v>
      </c>
      <c r="R922" s="2">
        <v>-69593</v>
      </c>
      <c r="S922" s="2">
        <v>9808</v>
      </c>
      <c r="T922" s="2">
        <v>12765</v>
      </c>
      <c r="U922" s="2">
        <v>0</v>
      </c>
      <c r="W922" s="2">
        <v>91140</v>
      </c>
      <c r="X922" s="2">
        <v>74665</v>
      </c>
      <c r="Y922" s="2">
        <v>60615</v>
      </c>
      <c r="Z922" s="2">
        <v>0</v>
      </c>
      <c r="AA922" s="2">
        <v>0</v>
      </c>
      <c r="AC922" s="2">
        <v>3109</v>
      </c>
      <c r="AD922" s="2">
        <v>0</v>
      </c>
      <c r="AE922" s="2">
        <v>0</v>
      </c>
      <c r="AF922" s="2">
        <v>0</v>
      </c>
      <c r="AG922" s="2">
        <v>0</v>
      </c>
      <c r="AI922" s="2">
        <v>-12443</v>
      </c>
      <c r="AJ922" s="2">
        <v>-12445</v>
      </c>
      <c r="AK922" s="2">
        <v>-5390</v>
      </c>
      <c r="AL922" s="2">
        <v>-3776</v>
      </c>
      <c r="AM922" s="2">
        <v>0</v>
      </c>
      <c r="AN922" s="248"/>
      <c r="AO922" s="248"/>
      <c r="AP922" s="248"/>
      <c r="AQ922" s="248"/>
      <c r="AR922" s="248"/>
      <c r="AS922" s="248"/>
      <c r="AT922" s="248"/>
      <c r="AU922" s="248"/>
      <c r="AV922" s="248"/>
      <c r="AW922" s="248"/>
      <c r="AX922" s="248"/>
      <c r="AY922" s="248"/>
      <c r="AZ922" s="248"/>
      <c r="BA922" s="248"/>
      <c r="BB922" s="248"/>
      <c r="BC922" s="248"/>
      <c r="BD922" s="248"/>
      <c r="BE922" s="248"/>
      <c r="BF922" s="248"/>
      <c r="BG922" s="248"/>
      <c r="BH922" s="248"/>
      <c r="BI922" s="248"/>
      <c r="BJ922" s="248"/>
      <c r="BK922" s="248"/>
      <c r="BL922" s="248"/>
      <c r="BM922" s="248"/>
      <c r="BN922" s="248"/>
      <c r="BO922" s="248"/>
      <c r="BP922" s="248"/>
      <c r="BQ922" s="248"/>
      <c r="BR922" s="248"/>
      <c r="BS922" s="248"/>
      <c r="BT922" s="248"/>
      <c r="BU922" s="248"/>
      <c r="BV922" s="248"/>
      <c r="BW922" s="248"/>
      <c r="BX922" s="248"/>
      <c r="BY922" s="248"/>
      <c r="BZ922" s="248"/>
      <c r="CA922" s="248"/>
      <c r="CB922" s="248"/>
      <c r="CC922" s="248"/>
      <c r="CD922" s="248"/>
      <c r="CE922" s="248"/>
      <c r="CF922" s="248"/>
      <c r="CG922" s="248"/>
      <c r="CH922" s="248"/>
      <c r="CI922" s="248"/>
      <c r="CJ922" s="248"/>
      <c r="CK922" s="248"/>
      <c r="CL922" s="248"/>
      <c r="CM922" s="248"/>
      <c r="CN922" s="248"/>
    </row>
    <row r="923" spans="1:92">
      <c r="A923" s="335">
        <v>99999</v>
      </c>
      <c r="B923" s="328" t="s">
        <v>3736</v>
      </c>
      <c r="C923" s="239">
        <v>1.0093000000000001E-3</v>
      </c>
      <c r="E923" s="2">
        <v>560734</v>
      </c>
      <c r="F923" s="2">
        <v>206945</v>
      </c>
      <c r="G923" s="2">
        <v>322994</v>
      </c>
      <c r="H923" s="2">
        <v>108341</v>
      </c>
      <c r="I923" s="2">
        <v>0</v>
      </c>
      <c r="K923" s="2">
        <v>151200</v>
      </c>
      <c r="L923" s="2">
        <v>142231</v>
      </c>
      <c r="M923" s="2">
        <v>127480</v>
      </c>
      <c r="N923" s="2">
        <v>51041</v>
      </c>
      <c r="O923" s="2">
        <v>0</v>
      </c>
      <c r="Q923" s="2">
        <v>160520</v>
      </c>
      <c r="R923" s="2">
        <v>-138077</v>
      </c>
      <c r="S923" s="2">
        <v>19460</v>
      </c>
      <c r="T923" s="2">
        <v>25327</v>
      </c>
      <c r="U923" s="2">
        <v>0</v>
      </c>
      <c r="W923" s="2">
        <v>180828</v>
      </c>
      <c r="X923" s="2">
        <v>148141</v>
      </c>
      <c r="Y923" s="2">
        <v>120265</v>
      </c>
      <c r="Z923" s="2">
        <v>0</v>
      </c>
      <c r="AA923" s="2">
        <v>0</v>
      </c>
      <c r="AC923" s="2">
        <v>69328</v>
      </c>
      <c r="AD923" s="2">
        <v>55791</v>
      </c>
      <c r="AE923" s="2">
        <v>55789</v>
      </c>
      <c r="AF923" s="2">
        <v>31973</v>
      </c>
      <c r="AG923" s="2">
        <v>0</v>
      </c>
      <c r="AI923" s="2">
        <v>-1142</v>
      </c>
      <c r="AJ923" s="2">
        <v>-1141</v>
      </c>
      <c r="AK923" s="2">
        <v>0</v>
      </c>
      <c r="AL923" s="2">
        <v>0</v>
      </c>
      <c r="AM923" s="2">
        <v>0</v>
      </c>
      <c r="AN923" s="248"/>
      <c r="AO923" s="248"/>
      <c r="AP923" s="248"/>
      <c r="AQ923" s="248"/>
      <c r="AR923" s="248"/>
      <c r="AS923" s="248"/>
      <c r="AT923" s="248"/>
      <c r="AU923" s="248"/>
      <c r="AV923" s="248"/>
      <c r="AW923" s="248"/>
      <c r="AX923" s="248"/>
      <c r="AY923" s="248"/>
      <c r="AZ923" s="248"/>
      <c r="BA923" s="248"/>
      <c r="BB923" s="248"/>
      <c r="BC923" s="248"/>
      <c r="BD923" s="248"/>
      <c r="BE923" s="248"/>
      <c r="BF923" s="248"/>
      <c r="BG923" s="248"/>
      <c r="BH923" s="248"/>
      <c r="BI923" s="248"/>
      <c r="BJ923" s="248"/>
      <c r="BK923" s="248"/>
      <c r="BL923" s="248"/>
      <c r="BM923" s="248"/>
      <c r="BN923" s="248"/>
      <c r="BO923" s="248"/>
      <c r="BP923" s="248"/>
      <c r="BQ923" s="248"/>
      <c r="BR923" s="248"/>
      <c r="BS923" s="248"/>
      <c r="BT923" s="248"/>
      <c r="BU923" s="248"/>
      <c r="BV923" s="248"/>
      <c r="BW923" s="248"/>
      <c r="BX923" s="248"/>
      <c r="BY923" s="248"/>
      <c r="BZ923" s="248"/>
      <c r="CA923" s="248"/>
      <c r="CB923" s="248"/>
      <c r="CC923" s="248"/>
      <c r="CD923" s="248"/>
      <c r="CE923" s="248"/>
      <c r="CF923" s="248"/>
      <c r="CG923" s="248"/>
      <c r="CH923" s="248"/>
      <c r="CI923" s="248"/>
      <c r="CJ923" s="248"/>
      <c r="CK923" s="248"/>
      <c r="CL923" s="248"/>
      <c r="CM923" s="248"/>
      <c r="CN923" s="248"/>
    </row>
    <row r="924" spans="1:92">
      <c r="A924" s="8" t="s">
        <v>692</v>
      </c>
      <c r="B924" s="64" t="s">
        <v>691</v>
      </c>
      <c r="C924" s="239">
        <v>0</v>
      </c>
      <c r="E924" s="2">
        <v>0</v>
      </c>
      <c r="F924" s="2">
        <v>0</v>
      </c>
      <c r="G924" s="2">
        <v>0</v>
      </c>
      <c r="H924" s="2">
        <v>0</v>
      </c>
      <c r="I924" s="2">
        <v>0</v>
      </c>
      <c r="K924" s="2">
        <v>0</v>
      </c>
      <c r="L924" s="2">
        <v>0</v>
      </c>
      <c r="M924" s="2">
        <v>0</v>
      </c>
      <c r="N924" s="2">
        <v>0</v>
      </c>
      <c r="O924" s="2">
        <v>0</v>
      </c>
      <c r="Q924" s="2">
        <v>0</v>
      </c>
      <c r="R924" s="2">
        <v>0</v>
      </c>
      <c r="S924" s="2">
        <v>0</v>
      </c>
      <c r="T924" s="2">
        <v>0</v>
      </c>
      <c r="U924" s="2">
        <v>0</v>
      </c>
      <c r="W924" s="2">
        <v>0</v>
      </c>
      <c r="X924" s="2">
        <v>0</v>
      </c>
      <c r="Y924" s="2">
        <v>0</v>
      </c>
      <c r="Z924" s="2">
        <v>0</v>
      </c>
      <c r="AA924" s="2">
        <v>0</v>
      </c>
      <c r="AC924" s="2">
        <v>0</v>
      </c>
      <c r="AD924" s="2">
        <v>0</v>
      </c>
      <c r="AE924" s="2">
        <v>0</v>
      </c>
      <c r="AF924" s="2">
        <v>0</v>
      </c>
      <c r="AG924" s="2">
        <v>0</v>
      </c>
      <c r="AI924" s="2">
        <v>0</v>
      </c>
      <c r="AJ924" s="2">
        <v>0</v>
      </c>
      <c r="AK924" s="2">
        <v>0</v>
      </c>
      <c r="AL924" s="2">
        <v>0</v>
      </c>
      <c r="AM924" s="2">
        <v>0</v>
      </c>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48"/>
      <c r="BN924" s="248"/>
      <c r="BO924" s="248"/>
      <c r="BP924" s="248"/>
      <c r="BQ924" s="248"/>
      <c r="BR924" s="248"/>
      <c r="BS924" s="248"/>
      <c r="BT924" s="248"/>
      <c r="BU924" s="248"/>
      <c r="BV924" s="248"/>
      <c r="BW924" s="248"/>
      <c r="BX924" s="248"/>
      <c r="BY924" s="248"/>
      <c r="BZ924" s="248"/>
      <c r="CA924" s="248"/>
      <c r="CB924" s="248"/>
      <c r="CC924" s="248"/>
      <c r="CD924" s="248"/>
      <c r="CE924" s="248"/>
      <c r="CF924" s="248"/>
      <c r="CG924" s="248"/>
      <c r="CH924" s="248"/>
      <c r="CI924" s="248"/>
      <c r="CJ924" s="248"/>
      <c r="CK924" s="248"/>
      <c r="CL924" s="248"/>
      <c r="CM924" s="248"/>
      <c r="CN924" s="248"/>
    </row>
    <row r="925" spans="1:92">
      <c r="A925"/>
      <c r="B925"/>
      <c r="C925"/>
      <c r="W925" s="248"/>
      <c r="X925" s="248"/>
      <c r="Y925" s="248"/>
      <c r="Z925" s="248"/>
      <c r="AA925" s="248"/>
      <c r="AC925" s="248"/>
      <c r="AD925" s="248"/>
      <c r="AE925" s="248"/>
      <c r="AF925" s="248"/>
      <c r="AG925" s="248"/>
      <c r="AI925" s="248"/>
      <c r="AJ925" s="248"/>
      <c r="AK925" s="248"/>
      <c r="AL925" s="248"/>
      <c r="AM925" s="248"/>
      <c r="AN925" s="248"/>
      <c r="AO925" s="248"/>
      <c r="AP925" s="248"/>
      <c r="AQ925" s="248"/>
      <c r="AR925" s="248"/>
      <c r="AS925" s="248"/>
      <c r="AT925" s="248"/>
      <c r="AU925" s="248"/>
      <c r="AV925" s="248"/>
      <c r="AW925" s="248"/>
      <c r="AX925" s="248"/>
      <c r="AY925" s="248"/>
      <c r="AZ925" s="248"/>
      <c r="BA925" s="248"/>
      <c r="BB925" s="248"/>
      <c r="BC925" s="248"/>
      <c r="BD925" s="248"/>
      <c r="BE925" s="248"/>
      <c r="BF925" s="248"/>
      <c r="BG925" s="248"/>
      <c r="BH925" s="248"/>
      <c r="BI925" s="248"/>
      <c r="BJ925" s="248"/>
      <c r="BK925" s="248"/>
      <c r="BL925" s="248"/>
      <c r="BM925" s="248"/>
      <c r="BN925" s="248"/>
      <c r="BO925" s="248"/>
      <c r="BP925" s="248"/>
      <c r="BQ925" s="248"/>
      <c r="BR925" s="248"/>
      <c r="BS925" s="248"/>
      <c r="BT925" s="248"/>
      <c r="BU925" s="248"/>
      <c r="BV925" s="248"/>
      <c r="BW925" s="248"/>
      <c r="BX925" s="248"/>
      <c r="BY925" s="248"/>
      <c r="BZ925" s="248"/>
      <c r="CA925" s="248"/>
      <c r="CB925" s="248"/>
      <c r="CC925" s="248"/>
      <c r="CD925" s="248"/>
      <c r="CE925" s="248"/>
      <c r="CF925" s="248"/>
      <c r="CG925" s="248"/>
      <c r="CH925" s="248"/>
      <c r="CI925" s="248"/>
      <c r="CJ925" s="248"/>
      <c r="CK925" s="248"/>
      <c r="CL925" s="248"/>
      <c r="CM925" s="248"/>
      <c r="CN925" s="248"/>
    </row>
  </sheetData>
  <sheetProtection password="CEAA" sheet="1" objects="1" scenarios="1"/>
  <sortState xmlns:xlrd2="http://schemas.microsoft.com/office/spreadsheetml/2017/richdata2" ref="A8:CN33">
    <sortCondition sortBy="cellColor" ref="A8:A33" dxfId="1"/>
    <sortCondition sortBy="cellColor" ref="A8:A33" dxfId="0"/>
  </sortState>
  <pageMargins left="0.25" right="0.25" top="0.75" bottom="0.75" header="0.3" footer="0.3"/>
  <pageSetup scale="60"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AF9D-E8AD-4D10-9687-A22FF688A2E0}">
  <sheetPr>
    <tabColor rgb="FFFFC000"/>
  </sheetPr>
  <dimension ref="A2:F80"/>
  <sheetViews>
    <sheetView workbookViewId="0">
      <pane xSplit="2" ySplit="2" topLeftCell="C48" activePane="bottomRight" state="frozen"/>
      <selection pane="topRight" activeCell="C1" sqref="C1"/>
      <selection pane="bottomLeft" activeCell="A3" sqref="A3"/>
      <selection pane="bottomRight" activeCell="A65" sqref="A65"/>
    </sheetView>
  </sheetViews>
  <sheetFormatPr defaultRowHeight="15"/>
  <cols>
    <col min="1" max="1" width="28.42578125" customWidth="1"/>
    <col min="2" max="2" width="16.42578125" customWidth="1"/>
    <col min="3" max="3" width="76.28515625" style="214" customWidth="1"/>
    <col min="4" max="4" width="13.5703125" customWidth="1"/>
    <col min="5" max="5" width="11.140625" bestFit="1" customWidth="1"/>
  </cols>
  <sheetData>
    <row r="2" spans="1:4">
      <c r="A2" s="302" t="s">
        <v>3526</v>
      </c>
      <c r="B2" s="302" t="s">
        <v>3614</v>
      </c>
      <c r="C2" s="302" t="s">
        <v>3617</v>
      </c>
      <c r="D2" s="302" t="s">
        <v>3615</v>
      </c>
    </row>
    <row r="3" spans="1:4">
      <c r="A3" t="s">
        <v>3527</v>
      </c>
      <c r="C3" t="s">
        <v>3627</v>
      </c>
    </row>
    <row r="4" spans="1:4">
      <c r="A4" t="s">
        <v>3527</v>
      </c>
      <c r="B4" t="s">
        <v>3528</v>
      </c>
      <c r="C4" s="132" t="s">
        <v>3618</v>
      </c>
      <c r="D4" t="s">
        <v>3594</v>
      </c>
    </row>
    <row r="5" spans="1:4" ht="39">
      <c r="A5" t="s">
        <v>3527</v>
      </c>
      <c r="B5" t="s">
        <v>3530</v>
      </c>
      <c r="C5" s="128" t="s">
        <v>3531</v>
      </c>
      <c r="D5" t="s">
        <v>3595</v>
      </c>
    </row>
    <row r="6" spans="1:4">
      <c r="A6" t="s">
        <v>3527</v>
      </c>
      <c r="B6" t="s">
        <v>3532</v>
      </c>
      <c r="C6" s="301" t="s">
        <v>3616</v>
      </c>
      <c r="D6" t="s">
        <v>3594</v>
      </c>
    </row>
    <row r="7" spans="1:4">
      <c r="A7" t="s">
        <v>3527</v>
      </c>
      <c r="B7" t="s">
        <v>3580</v>
      </c>
      <c r="C7" s="282" t="str">
        <f>CONCATENATE("Your employer contributions from 7/1/2019 through ",(TEXT(C8,"MM/DD/YYYY")))</f>
        <v>Your employer contributions from 7/1/2019 through 06/30/2020</v>
      </c>
      <c r="D7" t="s">
        <v>3594</v>
      </c>
    </row>
    <row r="8" spans="1:4">
      <c r="A8" t="s">
        <v>3527</v>
      </c>
      <c r="B8" t="s">
        <v>3534</v>
      </c>
      <c r="C8" s="299">
        <v>44012</v>
      </c>
      <c r="D8" t="s">
        <v>3585</v>
      </c>
    </row>
    <row r="9" spans="1:4">
      <c r="A9" t="s">
        <v>3527</v>
      </c>
      <c r="B9" t="s">
        <v>3643</v>
      </c>
      <c r="C9" s="299" t="s">
        <v>3644</v>
      </c>
      <c r="D9" s="232" t="s">
        <v>3648</v>
      </c>
    </row>
    <row r="10" spans="1:4">
      <c r="A10" t="s">
        <v>3527</v>
      </c>
      <c r="B10" t="s">
        <v>3645</v>
      </c>
      <c r="C10" s="299" t="s">
        <v>3644</v>
      </c>
      <c r="D10" s="232" t="s">
        <v>3649</v>
      </c>
    </row>
    <row r="11" spans="1:4">
      <c r="A11" t="s">
        <v>3527</v>
      </c>
      <c r="B11" t="s">
        <v>3646</v>
      </c>
      <c r="C11" s="299" t="s">
        <v>3644</v>
      </c>
      <c r="D11" s="232" t="s">
        <v>3650</v>
      </c>
    </row>
    <row r="12" spans="1:4">
      <c r="A12" t="s">
        <v>3527</v>
      </c>
      <c r="B12" t="s">
        <v>3647</v>
      </c>
      <c r="C12" s="299" t="s">
        <v>3644</v>
      </c>
      <c r="D12" s="232" t="s">
        <v>3651</v>
      </c>
    </row>
    <row r="13" spans="1:4">
      <c r="A13" t="s">
        <v>3527</v>
      </c>
      <c r="B13" t="s">
        <v>3535</v>
      </c>
      <c r="C13" s="299">
        <v>43738</v>
      </c>
      <c r="D13" t="s">
        <v>3588</v>
      </c>
    </row>
    <row r="14" spans="1:4">
      <c r="A14" t="s">
        <v>3527</v>
      </c>
      <c r="B14" t="s">
        <v>3536</v>
      </c>
      <c r="C14" s="299">
        <v>43830</v>
      </c>
      <c r="D14" t="s">
        <v>3587</v>
      </c>
    </row>
    <row r="15" spans="1:4">
      <c r="A15" t="s">
        <v>3527</v>
      </c>
      <c r="B15" t="s">
        <v>3537</v>
      </c>
      <c r="C15" s="299">
        <v>43921</v>
      </c>
      <c r="D15" t="s">
        <v>3586</v>
      </c>
    </row>
    <row r="16" spans="1:4">
      <c r="A16" t="s">
        <v>3527</v>
      </c>
      <c r="B16" t="s">
        <v>3538</v>
      </c>
      <c r="C16" s="230" t="s">
        <v>692</v>
      </c>
    </row>
    <row r="17" spans="1:4">
      <c r="A17" t="s">
        <v>3527</v>
      </c>
      <c r="B17" t="s">
        <v>3539</v>
      </c>
      <c r="C17" s="230" t="s">
        <v>3550</v>
      </c>
      <c r="D17" t="s">
        <v>3593</v>
      </c>
    </row>
    <row r="18" spans="1:4">
      <c r="A18" t="s">
        <v>3527</v>
      </c>
      <c r="B18" t="s">
        <v>3540</v>
      </c>
      <c r="C18" s="230" t="s">
        <v>3551</v>
      </c>
      <c r="D18" t="s">
        <v>3593</v>
      </c>
    </row>
    <row r="19" spans="1:4">
      <c r="A19" t="s">
        <v>3527</v>
      </c>
      <c r="B19" t="s">
        <v>3541</v>
      </c>
      <c r="C19" s="230" t="s">
        <v>3552</v>
      </c>
      <c r="D19" t="s">
        <v>3593</v>
      </c>
    </row>
    <row r="20" spans="1:4">
      <c r="A20" t="s">
        <v>3527</v>
      </c>
      <c r="B20" s="296" t="s">
        <v>3543</v>
      </c>
      <c r="C20" s="299">
        <v>43738</v>
      </c>
      <c r="D20" t="s">
        <v>3588</v>
      </c>
    </row>
    <row r="21" spans="1:4">
      <c r="A21" t="s">
        <v>3527</v>
      </c>
      <c r="B21" s="296" t="s">
        <v>3544</v>
      </c>
      <c r="C21" s="299">
        <v>43830</v>
      </c>
      <c r="D21" t="s">
        <v>3587</v>
      </c>
    </row>
    <row r="22" spans="1:4">
      <c r="A22" t="s">
        <v>3527</v>
      </c>
      <c r="B22" s="296" t="s">
        <v>3545</v>
      </c>
      <c r="C22" s="299">
        <v>43921</v>
      </c>
      <c r="D22" t="s">
        <v>3586</v>
      </c>
    </row>
    <row r="23" spans="1:4">
      <c r="A23" t="s">
        <v>3527</v>
      </c>
      <c r="B23" s="296" t="s">
        <v>3542</v>
      </c>
      <c r="C23" s="299">
        <v>44012</v>
      </c>
      <c r="D23" t="s">
        <v>3585</v>
      </c>
    </row>
    <row r="24" spans="1:4">
      <c r="A24" t="s">
        <v>3527</v>
      </c>
      <c r="B24" s="296" t="s">
        <v>3546</v>
      </c>
      <c r="C24" s="230" t="s">
        <v>3553</v>
      </c>
      <c r="D24" t="s">
        <v>3590</v>
      </c>
    </row>
    <row r="25" spans="1:4">
      <c r="A25" t="s">
        <v>3527</v>
      </c>
      <c r="B25" s="296" t="s">
        <v>3547</v>
      </c>
      <c r="C25" s="230" t="s">
        <v>3554</v>
      </c>
      <c r="D25" t="s">
        <v>3591</v>
      </c>
    </row>
    <row r="26" spans="1:4">
      <c r="A26" t="s">
        <v>3527</v>
      </c>
      <c r="B26" s="296" t="s">
        <v>3548</v>
      </c>
      <c r="C26" s="230" t="s">
        <v>3555</v>
      </c>
      <c r="D26" t="s">
        <v>3592</v>
      </c>
    </row>
    <row r="27" spans="1:4">
      <c r="A27" t="s">
        <v>3527</v>
      </c>
      <c r="B27" s="296" t="s">
        <v>3549</v>
      </c>
      <c r="C27" s="230" t="s">
        <v>3556</v>
      </c>
      <c r="D27" t="s">
        <v>3589</v>
      </c>
    </row>
    <row r="28" spans="1:4">
      <c r="A28" t="s">
        <v>3527</v>
      </c>
      <c r="B28" s="296" t="s">
        <v>3557</v>
      </c>
      <c r="C28" s="299">
        <v>43738</v>
      </c>
      <c r="D28" t="s">
        <v>3588</v>
      </c>
    </row>
    <row r="29" spans="1:4">
      <c r="A29" t="s">
        <v>3527</v>
      </c>
      <c r="B29" s="296" t="s">
        <v>3558</v>
      </c>
      <c r="C29" s="299">
        <v>43830</v>
      </c>
      <c r="D29" t="s">
        <v>3587</v>
      </c>
    </row>
    <row r="30" spans="1:4">
      <c r="A30" t="s">
        <v>3527</v>
      </c>
      <c r="B30" s="296" t="s">
        <v>3559</v>
      </c>
      <c r="C30" s="299">
        <v>43921</v>
      </c>
      <c r="D30" t="s">
        <v>3586</v>
      </c>
    </row>
    <row r="31" spans="1:4">
      <c r="A31" t="s">
        <v>3527</v>
      </c>
      <c r="B31" s="296" t="s">
        <v>3560</v>
      </c>
      <c r="C31" s="299">
        <v>44012</v>
      </c>
      <c r="D31" t="s">
        <v>3585</v>
      </c>
    </row>
    <row r="32" spans="1:4">
      <c r="A32" t="s">
        <v>3561</v>
      </c>
      <c r="B32" t="s">
        <v>3562</v>
      </c>
      <c r="C32" s="230" t="s">
        <v>3563</v>
      </c>
    </row>
    <row r="33" spans="1:6">
      <c r="A33" t="s">
        <v>3561</v>
      </c>
      <c r="B33" t="s">
        <v>3564</v>
      </c>
      <c r="C33" s="230" t="s">
        <v>3628</v>
      </c>
      <c r="D33" t="s">
        <v>3613</v>
      </c>
    </row>
    <row r="34" spans="1:6">
      <c r="A34" t="s">
        <v>3561</v>
      </c>
      <c r="B34" t="s">
        <v>3566</v>
      </c>
      <c r="C34" s="230" t="s">
        <v>3568</v>
      </c>
      <c r="D34" t="s">
        <v>3583</v>
      </c>
    </row>
    <row r="35" spans="1:6">
      <c r="A35" t="s">
        <v>3561</v>
      </c>
      <c r="B35" t="s">
        <v>3567</v>
      </c>
      <c r="C35" s="230" t="s">
        <v>3569</v>
      </c>
      <c r="D35" t="s">
        <v>3584</v>
      </c>
    </row>
    <row r="36" spans="1:6">
      <c r="A36" t="s">
        <v>3561</v>
      </c>
      <c r="B36" t="s">
        <v>3534</v>
      </c>
      <c r="C36" s="298">
        <v>2020</v>
      </c>
      <c r="D36" s="313" t="s">
        <v>3653</v>
      </c>
      <c r="E36" s="313"/>
      <c r="F36" s="313"/>
    </row>
    <row r="37" spans="1:6">
      <c r="A37" t="s">
        <v>3561</v>
      </c>
      <c r="B37" t="s">
        <v>3597</v>
      </c>
      <c r="C37" s="230" t="s">
        <v>3504</v>
      </c>
      <c r="D37" t="s">
        <v>3601</v>
      </c>
    </row>
    <row r="38" spans="1:6">
      <c r="A38" t="s">
        <v>3561</v>
      </c>
      <c r="B38" t="s">
        <v>3596</v>
      </c>
      <c r="C38" s="230" t="s">
        <v>3505</v>
      </c>
      <c r="D38" t="s">
        <v>3602</v>
      </c>
    </row>
    <row r="39" spans="1:6">
      <c r="A39" t="s">
        <v>3561</v>
      </c>
      <c r="B39" t="s">
        <v>3598</v>
      </c>
      <c r="C39" s="230" t="s">
        <v>3506</v>
      </c>
      <c r="D39" t="s">
        <v>3603</v>
      </c>
    </row>
    <row r="40" spans="1:6">
      <c r="A40" t="s">
        <v>3561</v>
      </c>
      <c r="B40" t="s">
        <v>3599</v>
      </c>
      <c r="C40" s="300">
        <v>5698571000</v>
      </c>
      <c r="D40" s="75" t="s">
        <v>3656</v>
      </c>
    </row>
    <row r="41" spans="1:6">
      <c r="A41" t="s">
        <v>3561</v>
      </c>
      <c r="B41" t="s">
        <v>3600</v>
      </c>
      <c r="C41" s="300">
        <v>-407106991</v>
      </c>
      <c r="D41" s="75" t="s">
        <v>3656</v>
      </c>
    </row>
    <row r="42" spans="1:6">
      <c r="A42" t="s">
        <v>3622</v>
      </c>
      <c r="C42" s="303" t="s">
        <v>3655</v>
      </c>
      <c r="D42" s="75" t="s">
        <v>3657</v>
      </c>
    </row>
    <row r="43" spans="1:6">
      <c r="A43" t="s">
        <v>3610</v>
      </c>
      <c r="B43" t="s">
        <v>3604</v>
      </c>
      <c r="C43" s="230" t="s">
        <v>3605</v>
      </c>
      <c r="D43" t="s">
        <v>3581</v>
      </c>
    </row>
    <row r="44" spans="1:6">
      <c r="A44" t="s">
        <v>3620</v>
      </c>
      <c r="C44" s="230" t="s">
        <v>3621</v>
      </c>
    </row>
    <row r="45" spans="1:6">
      <c r="A45" t="s">
        <v>3609</v>
      </c>
      <c r="B45" t="s">
        <v>3606</v>
      </c>
      <c r="C45" s="230" t="s">
        <v>3607</v>
      </c>
      <c r="D45" t="s">
        <v>3611</v>
      </c>
    </row>
    <row r="46" spans="1:6">
      <c r="A46" t="s">
        <v>3612</v>
      </c>
      <c r="B46" t="s">
        <v>3562</v>
      </c>
      <c r="C46" s="230" t="s">
        <v>3619</v>
      </c>
      <c r="D46" t="s">
        <v>3611</v>
      </c>
    </row>
    <row r="47" spans="1:6">
      <c r="A47" t="s">
        <v>3612</v>
      </c>
      <c r="B47" t="s">
        <v>3608</v>
      </c>
      <c r="C47" s="230" t="s">
        <v>3605</v>
      </c>
      <c r="D47" t="s">
        <v>3581</v>
      </c>
    </row>
    <row r="48" spans="1:6">
      <c r="A48" t="s">
        <v>3561</v>
      </c>
      <c r="B48" t="s">
        <v>3626</v>
      </c>
      <c r="C48" s="230"/>
    </row>
    <row r="49" spans="1:5">
      <c r="A49" t="s">
        <v>3561</v>
      </c>
      <c r="B49" s="306" t="s">
        <v>3570</v>
      </c>
      <c r="C49" s="230" t="s">
        <v>3573</v>
      </c>
    </row>
    <row r="50" spans="1:5">
      <c r="A50" t="s">
        <v>3561</v>
      </c>
      <c r="B50" s="310" t="s">
        <v>3571</v>
      </c>
      <c r="C50" s="230" t="s">
        <v>3572</v>
      </c>
    </row>
    <row r="51" spans="1:5">
      <c r="A51" t="s">
        <v>3561</v>
      </c>
      <c r="B51" s="305" t="s">
        <v>3576</v>
      </c>
      <c r="C51" s="230" t="s">
        <v>3575</v>
      </c>
    </row>
    <row r="52" spans="1:5">
      <c r="A52" t="s">
        <v>3561</v>
      </c>
      <c r="B52" s="310" t="s">
        <v>3577</v>
      </c>
      <c r="C52" s="230" t="s">
        <v>3579</v>
      </c>
    </row>
    <row r="53" spans="1:5">
      <c r="A53" t="s">
        <v>3561</v>
      </c>
      <c r="B53" s="307" t="s">
        <v>3578</v>
      </c>
      <c r="C53" s="230" t="s">
        <v>3574</v>
      </c>
    </row>
    <row r="54" spans="1:5">
      <c r="A54" t="s">
        <v>3561</v>
      </c>
      <c r="B54" s="305" t="s">
        <v>3578</v>
      </c>
      <c r="C54" s="230" t="s">
        <v>3575</v>
      </c>
    </row>
    <row r="55" spans="1:5">
      <c r="A55" t="s">
        <v>3561</v>
      </c>
      <c r="B55" s="308" t="s">
        <v>3625</v>
      </c>
      <c r="C55" s="230" t="s">
        <v>3582</v>
      </c>
    </row>
    <row r="56" spans="1:5" s="214" customFormat="1">
      <c r="C56" s="230"/>
    </row>
    <row r="57" spans="1:5" s="214" customFormat="1">
      <c r="C57" s="230"/>
      <c r="D57" s="78" t="s">
        <v>3634</v>
      </c>
      <c r="E57" s="78" t="s">
        <v>3635</v>
      </c>
    </row>
    <row r="58" spans="1:5">
      <c r="A58" t="s">
        <v>3629</v>
      </c>
      <c r="B58" s="309"/>
      <c r="C58" s="230" t="s">
        <v>3630</v>
      </c>
      <c r="D58" s="312">
        <v>2020</v>
      </c>
      <c r="E58" s="312">
        <v>2019</v>
      </c>
    </row>
    <row r="59" spans="1:5">
      <c r="B59" s="305"/>
      <c r="C59" s="230" t="s">
        <v>3631</v>
      </c>
      <c r="D59" s="312">
        <v>2019</v>
      </c>
      <c r="E59" s="312">
        <v>2018</v>
      </c>
    </row>
    <row r="60" spans="1:5">
      <c r="B60" s="310"/>
      <c r="C60" s="230" t="s">
        <v>3632</v>
      </c>
      <c r="D60" s="312">
        <v>2018</v>
      </c>
      <c r="E60" s="312">
        <v>2017</v>
      </c>
    </row>
    <row r="61" spans="1:5" ht="17.25" customHeight="1">
      <c r="B61" s="311"/>
      <c r="C61" s="230" t="s">
        <v>3633</v>
      </c>
      <c r="D61" s="312">
        <v>2017</v>
      </c>
      <c r="E61" s="312">
        <v>2016</v>
      </c>
    </row>
    <row r="62" spans="1:5">
      <c r="B62" s="306"/>
      <c r="C62" s="230" t="s">
        <v>3652</v>
      </c>
    </row>
    <row r="64" spans="1:5">
      <c r="C64" s="344" t="s">
        <v>702</v>
      </c>
    </row>
    <row r="65" spans="1:3" ht="30">
      <c r="A65" t="s">
        <v>3741</v>
      </c>
      <c r="C65" s="345" t="s">
        <v>3740</v>
      </c>
    </row>
    <row r="68" spans="1:3">
      <c r="C68" s="230"/>
    </row>
    <row r="69" spans="1:3">
      <c r="C69" s="230"/>
    </row>
    <row r="70" spans="1:3">
      <c r="C70" s="230"/>
    </row>
    <row r="71" spans="1:3" ht="45">
      <c r="A71" t="s">
        <v>3623</v>
      </c>
      <c r="B71" s="90" t="s">
        <v>264</v>
      </c>
      <c r="C71" s="304" t="s">
        <v>3624</v>
      </c>
    </row>
    <row r="74" spans="1:3">
      <c r="C74"/>
    </row>
    <row r="75" spans="1:3">
      <c r="C75"/>
    </row>
    <row r="76" spans="1:3">
      <c r="C76"/>
    </row>
    <row r="77" spans="1:3">
      <c r="C77"/>
    </row>
    <row r="78" spans="1:3">
      <c r="C78"/>
    </row>
    <row r="79" spans="1:3">
      <c r="C79"/>
    </row>
    <row r="80" spans="1:3">
      <c r="C80"/>
    </row>
  </sheetData>
  <sheetProtection password="CEAA"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W103"/>
  <sheetViews>
    <sheetView zoomScaleNormal="100" workbookViewId="0"/>
  </sheetViews>
  <sheetFormatPr defaultRowHeight="15"/>
  <cols>
    <col min="1" max="1" width="15.28515625" customWidth="1"/>
    <col min="2" max="2" width="59.28515625" customWidth="1"/>
    <col min="3" max="3" width="18.7109375" customWidth="1"/>
    <col min="4" max="4" width="22.85546875" bestFit="1" customWidth="1"/>
    <col min="5" max="5" width="26.7109375" customWidth="1"/>
    <col min="6" max="6" width="28.42578125" customWidth="1"/>
    <col min="7" max="7" width="26.5703125" bestFit="1" customWidth="1"/>
    <col min="8" max="8" width="17.85546875" bestFit="1" customWidth="1"/>
    <col min="9" max="9" width="11.28515625" bestFit="1" customWidth="1"/>
    <col min="10" max="10" width="17.85546875" bestFit="1" customWidth="1"/>
    <col min="11" max="11" width="20" customWidth="1"/>
    <col min="12" max="12" width="19.7109375" customWidth="1"/>
    <col min="13" max="13" width="19.42578125" customWidth="1"/>
    <col min="14" max="14" width="18.42578125" customWidth="1"/>
    <col min="15" max="15" width="18.28515625" customWidth="1"/>
    <col min="16" max="16" width="20" customWidth="1"/>
    <col min="17" max="17" width="16.7109375" customWidth="1"/>
    <col min="18" max="18" width="19.42578125" customWidth="1"/>
    <col min="19" max="19" width="3.85546875" customWidth="1"/>
    <col min="20" max="20" width="13.85546875" customWidth="1"/>
    <col min="21" max="21" width="22.42578125" customWidth="1"/>
    <col min="22" max="22" width="16.140625" customWidth="1"/>
    <col min="23" max="23" width="16" customWidth="1"/>
    <col min="24" max="25" width="13.7109375" customWidth="1"/>
  </cols>
  <sheetData>
    <row r="2" spans="1:23">
      <c r="B2" s="9" t="s">
        <v>687</v>
      </c>
      <c r="C2" s="65" t="e">
        <f>Info!C23</f>
        <v>#N/A</v>
      </c>
    </row>
    <row r="3" spans="1:23">
      <c r="B3" s="9" t="s">
        <v>688</v>
      </c>
      <c r="C3" s="65" t="str">
        <f>Info!C24</f>
        <v>N/A</v>
      </c>
    </row>
    <row r="4" spans="1:23">
      <c r="S4" s="9"/>
      <c r="T4" s="171"/>
      <c r="U4" s="171"/>
      <c r="V4" s="171"/>
    </row>
    <row r="5" spans="1:23">
      <c r="A5" s="57" t="s">
        <v>261</v>
      </c>
      <c r="B5" t="s">
        <v>262</v>
      </c>
      <c r="T5" s="171"/>
      <c r="U5" s="171"/>
      <c r="V5" s="171"/>
    </row>
    <row r="6" spans="1:23">
      <c r="A6" s="57" t="s">
        <v>261</v>
      </c>
      <c r="B6" t="s">
        <v>3565</v>
      </c>
      <c r="M6" s="2"/>
      <c r="T6" s="171"/>
      <c r="U6" s="171"/>
      <c r="V6" s="171"/>
    </row>
    <row r="8" spans="1:23" ht="15" customHeight="1">
      <c r="B8">
        <v>2</v>
      </c>
      <c r="C8">
        <v>3</v>
      </c>
      <c r="D8">
        <v>4</v>
      </c>
      <c r="F8">
        <v>5</v>
      </c>
      <c r="G8">
        <v>6</v>
      </c>
      <c r="H8">
        <v>7</v>
      </c>
      <c r="I8">
        <v>8</v>
      </c>
      <c r="J8">
        <v>9</v>
      </c>
      <c r="K8">
        <v>10</v>
      </c>
      <c r="L8">
        <v>11</v>
      </c>
      <c r="M8">
        <v>12</v>
      </c>
      <c r="N8">
        <v>13</v>
      </c>
      <c r="O8">
        <v>14</v>
      </c>
      <c r="P8">
        <v>15</v>
      </c>
      <c r="Q8">
        <v>16</v>
      </c>
      <c r="R8">
        <v>17</v>
      </c>
      <c r="S8">
        <v>19</v>
      </c>
      <c r="T8">
        <v>20</v>
      </c>
      <c r="U8">
        <v>21</v>
      </c>
      <c r="V8">
        <v>22</v>
      </c>
    </row>
    <row r="9" spans="1:23">
      <c r="F9" s="26"/>
      <c r="G9" s="26"/>
      <c r="J9" s="7" t="s">
        <v>2</v>
      </c>
      <c r="K9" s="7"/>
      <c r="L9" s="7"/>
      <c r="M9" s="7"/>
      <c r="O9" s="7" t="s">
        <v>3</v>
      </c>
      <c r="P9" s="7"/>
      <c r="Q9" s="7"/>
      <c r="R9" s="7"/>
      <c r="T9" s="7" t="s">
        <v>4</v>
      </c>
      <c r="U9" s="7"/>
      <c r="V9" s="7"/>
    </row>
    <row r="10" spans="1:23" ht="120">
      <c r="A10" s="8" t="s">
        <v>0</v>
      </c>
      <c r="B10" s="8" t="s">
        <v>1</v>
      </c>
      <c r="C10" s="8" t="s">
        <v>263</v>
      </c>
      <c r="D10" s="8" t="s">
        <v>264</v>
      </c>
      <c r="E10" s="8" t="s">
        <v>265</v>
      </c>
      <c r="F10" s="8" t="s">
        <v>266</v>
      </c>
      <c r="G10" s="8" t="s">
        <v>267</v>
      </c>
      <c r="H10" s="8" t="s">
        <v>268</v>
      </c>
      <c r="I10" s="8"/>
      <c r="J10" s="8" t="s">
        <v>5</v>
      </c>
      <c r="K10" s="8" t="s">
        <v>6</v>
      </c>
      <c r="L10" s="8" t="s">
        <v>7</v>
      </c>
      <c r="M10" s="8" t="s">
        <v>8</v>
      </c>
      <c r="N10" s="8"/>
      <c r="O10" s="8" t="s">
        <v>5</v>
      </c>
      <c r="P10" s="8" t="s">
        <v>6</v>
      </c>
      <c r="Q10" s="8" t="s">
        <v>7</v>
      </c>
      <c r="R10" s="8" t="s">
        <v>8</v>
      </c>
      <c r="S10" s="8"/>
      <c r="T10" s="8" t="s">
        <v>9</v>
      </c>
      <c r="U10" s="8" t="s">
        <v>10</v>
      </c>
      <c r="V10" s="8" t="s">
        <v>11</v>
      </c>
    </row>
    <row r="11" spans="1:23" s="4" customFormat="1">
      <c r="A11" s="8"/>
      <c r="B11" s="8"/>
      <c r="C11" s="8"/>
      <c r="D11" s="8"/>
      <c r="E11" s="8"/>
      <c r="F11" s="8"/>
      <c r="G11" s="8"/>
      <c r="H11" s="8"/>
      <c r="I11" s="8"/>
      <c r="J11" s="8"/>
      <c r="K11" s="8"/>
      <c r="L11" s="8"/>
      <c r="M11" s="8"/>
      <c r="N11" s="8"/>
      <c r="O11" s="8"/>
      <c r="P11" s="8"/>
      <c r="Q11" s="8"/>
      <c r="R11" s="8"/>
      <c r="S11" s="8"/>
      <c r="T11" s="8"/>
      <c r="U11" s="8"/>
      <c r="V11" s="8"/>
    </row>
    <row r="12" spans="1:23" s="4" customFormat="1">
      <c r="A12" s="8" t="s">
        <v>269</v>
      </c>
      <c r="B12" s="8"/>
      <c r="C12" s="8"/>
      <c r="D12" s="8"/>
      <c r="E12" s="8"/>
      <c r="F12" s="8"/>
      <c r="G12" s="8"/>
      <c r="H12" s="8"/>
      <c r="I12" s="8"/>
      <c r="J12" s="8"/>
      <c r="K12" s="8"/>
      <c r="L12" s="8"/>
      <c r="M12" s="8"/>
      <c r="N12" s="8"/>
      <c r="O12" s="8"/>
      <c r="P12" s="8"/>
      <c r="Q12" s="8"/>
      <c r="R12" s="8"/>
      <c r="S12" s="8"/>
      <c r="T12" s="8"/>
      <c r="U12" s="8"/>
      <c r="V12" s="8"/>
    </row>
    <row r="13" spans="1:23" s="4" customFormat="1">
      <c r="A13" s="5" t="e">
        <f>+Info!C23</f>
        <v>#N/A</v>
      </c>
      <c r="B13" s="214" t="e">
        <f>VLOOKUP($A13,'2020 summary'!$A:$T,'JE Template 2020'!$B$8,FALSE)</f>
        <v>#N/A</v>
      </c>
      <c r="C13" s="54" t="e">
        <f>VLOOKUP($A13,'2020 summary'!$A:$V,'JE Template 2020'!C8,FALSE)</f>
        <v>#N/A</v>
      </c>
      <c r="D13" s="54" t="e">
        <f>VLOOKUP($A13,'2020 summary'!$A:$V,'JE Template 2020'!D8,FALSE)</f>
        <v>#N/A</v>
      </c>
      <c r="E13" s="54" t="e">
        <f>C13-D13</f>
        <v>#N/A</v>
      </c>
      <c r="F13" s="6" t="e">
        <f>VLOOKUP($A13,'LGERS Contributions FY 2019'!$A:$C,3,FALSE)</f>
        <v>#N/A</v>
      </c>
      <c r="G13" s="6" t="e">
        <f>VLOOKUP($A$13,'2019 summary'!$A:$G, 5, FALSE)</f>
        <v>#N/A</v>
      </c>
      <c r="H13" s="6" t="e">
        <f>VLOOKUP($A$13,'2020 summary'!$A:$V,5,FALSE)</f>
        <v>#N/A</v>
      </c>
      <c r="I13" s="55"/>
      <c r="J13" s="6" t="e">
        <f>VLOOKUP($A13,'2020 summary'!$A:$O,7,FALSE)</f>
        <v>#N/A</v>
      </c>
      <c r="K13" s="6" t="e">
        <f>VLOOKUP($A13,'2020 summary'!$A:$O,8,FALSE)</f>
        <v>#N/A</v>
      </c>
      <c r="L13" s="6" t="e">
        <f>VLOOKUP($A13,'2020 summary'!$A:$O,9,FALSE)</f>
        <v>#N/A</v>
      </c>
      <c r="M13" s="348" t="e">
        <f>VLOOKUP($A13,'2020 summary'!$A:$O,10,FALSE)</f>
        <v>#N/A</v>
      </c>
      <c r="N13" s="214"/>
      <c r="O13" s="6" t="e">
        <f>VLOOKUP($A13,'2020 summary'!$A:$O,13,FALSE)</f>
        <v>#N/A</v>
      </c>
      <c r="P13" s="6">
        <v>0</v>
      </c>
      <c r="Q13" s="6" t="e">
        <f>VLOOKUP($A13,'2020 summary'!$A:$O,14,FALSE)</f>
        <v>#N/A</v>
      </c>
      <c r="R13" s="6" t="e">
        <f>VLOOKUP($A13,'2020 summary'!$A:$O,15,FALSE)</f>
        <v>#N/A</v>
      </c>
      <c r="S13" s="214"/>
      <c r="T13" s="6" t="e">
        <f>VLOOKUP($A13,'2020 summary'!$A:$T,18,FALSE)</f>
        <v>#N/A</v>
      </c>
      <c r="U13" s="6" t="e">
        <f>VLOOKUP($A13,'2020 summary'!$A:$T,19,FALSE)</f>
        <v>#N/A</v>
      </c>
      <c r="V13" s="6" t="e">
        <f>VLOOKUP($A13,'2020 summary'!$A:$T,20,FALSE)</f>
        <v>#N/A</v>
      </c>
      <c r="W13" s="214"/>
    </row>
    <row r="14" spans="1:23" s="4" customFormat="1">
      <c r="A14" s="8"/>
      <c r="B14" s="8"/>
      <c r="C14" s="8"/>
      <c r="D14" s="8"/>
      <c r="E14" s="8"/>
      <c r="F14" s="8"/>
      <c r="G14" s="8"/>
      <c r="H14" s="8"/>
      <c r="I14" s="8"/>
      <c r="J14" s="8"/>
      <c r="K14" s="8"/>
      <c r="L14" s="8"/>
      <c r="M14" s="8"/>
      <c r="N14" s="8"/>
      <c r="O14" s="8"/>
      <c r="P14" s="8"/>
      <c r="Q14" s="8"/>
      <c r="R14" s="8"/>
      <c r="S14" s="8"/>
      <c r="T14" s="8"/>
      <c r="U14" s="8"/>
      <c r="V14" s="8"/>
      <c r="W14" s="214"/>
    </row>
    <row r="15" spans="1:23" s="4" customFormat="1">
      <c r="A15" s="5" t="str">
        <f>C3</f>
        <v>N/A</v>
      </c>
      <c r="B15" s="214" t="str">
        <f>VLOOKUP($A15,'2020 summary'!$A:$T,'JE Template 2020'!$B$8,FALSE)</f>
        <v>No additional agency chosen</v>
      </c>
      <c r="C15" s="54">
        <f>VLOOKUP($A15,'2020 summary'!$A:$V,'JE Template 2020'!C8,FALSE)</f>
        <v>0</v>
      </c>
      <c r="D15" s="54">
        <f>VLOOKUP($A15,'2020 summary'!$A:$V,'JE Template 2020'!D8,FALSE)</f>
        <v>0</v>
      </c>
      <c r="E15" s="54">
        <f>C15-D15</f>
        <v>0</v>
      </c>
      <c r="F15" s="6">
        <f>VLOOKUP($A15,'LGERS Contributions FY 2019'!$A:$C,3,FALSE)</f>
        <v>0</v>
      </c>
      <c r="G15" s="6">
        <f>VLOOKUP($A15,'2019 summary'!$A:$W,'JE Template 2020'!F8,FALSE)</f>
        <v>0</v>
      </c>
      <c r="H15" s="6">
        <f>VLOOKUP($A15,'2020 summary'!$A:$V,5,FALSE)</f>
        <v>0</v>
      </c>
      <c r="I15" s="6"/>
      <c r="J15" s="6">
        <f>VLOOKUP($A15,'2020 summary'!$A:$O,7,FALSE)</f>
        <v>0</v>
      </c>
      <c r="K15" s="6">
        <f>VLOOKUP($A15,'2020 summary'!$A:$O,8,FALSE)</f>
        <v>0</v>
      </c>
      <c r="L15" s="6">
        <f>VLOOKUP($A15,'2020 summary'!$A:$O,9,FALSE)</f>
        <v>0</v>
      </c>
      <c r="M15" s="348">
        <f>VLOOKUP($A15,'2020 summary'!$A:$O,10,FALSE)</f>
        <v>0</v>
      </c>
      <c r="N15" s="214"/>
      <c r="O15" s="6">
        <f>VLOOKUP($A15,'2020 summary'!$A:$O,13,FALSE)</f>
        <v>0</v>
      </c>
      <c r="P15" s="6">
        <v>0</v>
      </c>
      <c r="Q15" s="6">
        <f>VLOOKUP($A15,'2020 summary'!$A:$O,14,FALSE)</f>
        <v>0</v>
      </c>
      <c r="R15" s="6">
        <f>VLOOKUP($A15,'2020 summary'!$A:$O,15,FALSE)</f>
        <v>0</v>
      </c>
      <c r="S15" s="214"/>
      <c r="T15" s="6">
        <f>VLOOKUP($A15,'2020 summary'!$A:$T,18,FALSE)</f>
        <v>0</v>
      </c>
      <c r="U15" s="6">
        <f>VLOOKUP($A15,'2020 summary'!$A:$T,19,FALSE)</f>
        <v>0</v>
      </c>
      <c r="V15" s="6">
        <f>VLOOKUP($A15,'2020 summary'!$A:$T,20,FALSE)</f>
        <v>0</v>
      </c>
      <c r="W15" s="214"/>
    </row>
    <row r="16" spans="1:23" s="4" customFormat="1">
      <c r="A16" s="8"/>
      <c r="B16" s="8"/>
      <c r="C16" s="8"/>
      <c r="D16" s="8"/>
      <c r="E16" s="8"/>
      <c r="F16" s="8"/>
      <c r="G16" s="8"/>
      <c r="H16" s="8"/>
      <c r="I16" s="8"/>
      <c r="J16" s="8"/>
      <c r="K16" s="8"/>
      <c r="L16" s="8"/>
      <c r="M16" s="8"/>
      <c r="N16" s="8"/>
      <c r="O16" s="8"/>
      <c r="P16" s="8"/>
      <c r="Q16" s="8"/>
      <c r="R16" s="8"/>
      <c r="S16" s="8"/>
      <c r="T16" s="8"/>
      <c r="U16" s="8"/>
      <c r="V16" s="8"/>
      <c r="W16" s="214"/>
    </row>
    <row r="17" spans="1:23" s="4" customFormat="1">
      <c r="B17" s="214" t="s">
        <v>690</v>
      </c>
      <c r="C17" s="54" t="e">
        <f t="shared" ref="C17:H17" si="0">C13+C15</f>
        <v>#N/A</v>
      </c>
      <c r="D17" s="54" t="e">
        <f t="shared" si="0"/>
        <v>#N/A</v>
      </c>
      <c r="E17" s="54" t="e">
        <f t="shared" si="0"/>
        <v>#N/A</v>
      </c>
      <c r="F17" s="6" t="e">
        <f t="shared" si="0"/>
        <v>#N/A</v>
      </c>
      <c r="G17" s="6" t="e">
        <f t="shared" si="0"/>
        <v>#N/A</v>
      </c>
      <c r="H17" s="6" t="e">
        <f t="shared" si="0"/>
        <v>#N/A</v>
      </c>
      <c r="I17" s="6"/>
      <c r="J17" s="6" t="e">
        <f>J13+J15</f>
        <v>#N/A</v>
      </c>
      <c r="K17" s="6" t="e">
        <f>K13+K15</f>
        <v>#N/A</v>
      </c>
      <c r="L17" s="6" t="e">
        <f>L13+L15</f>
        <v>#N/A</v>
      </c>
      <c r="M17" s="6" t="e">
        <f>M13+M15</f>
        <v>#N/A</v>
      </c>
      <c r="N17" s="6"/>
      <c r="O17" s="6" t="e">
        <f>O13+O15</f>
        <v>#N/A</v>
      </c>
      <c r="P17" s="6">
        <f>P13+P15</f>
        <v>0</v>
      </c>
      <c r="Q17" s="6" t="e">
        <f>Q13+Q15</f>
        <v>#N/A</v>
      </c>
      <c r="R17" s="6" t="e">
        <f>R13+R15</f>
        <v>#N/A</v>
      </c>
      <c r="S17" s="6"/>
      <c r="T17" s="6" t="e">
        <f>T13+T15</f>
        <v>#N/A</v>
      </c>
      <c r="U17" s="6" t="e">
        <f>U13+U15</f>
        <v>#N/A</v>
      </c>
      <c r="V17" s="6" t="e">
        <f>V13+V15</f>
        <v>#N/A</v>
      </c>
      <c r="W17" s="6"/>
    </row>
    <row r="18" spans="1:23" s="4" customFormat="1">
      <c r="B18" s="214"/>
      <c r="C18" s="214"/>
      <c r="D18" s="214"/>
      <c r="E18" s="214"/>
      <c r="F18" s="214"/>
      <c r="G18" s="214"/>
      <c r="H18" s="214"/>
      <c r="I18" s="214"/>
      <c r="J18" s="214"/>
      <c r="K18" s="214"/>
      <c r="L18" s="214"/>
      <c r="M18" s="214"/>
      <c r="N18" s="214"/>
      <c r="O18" s="214"/>
      <c r="P18" s="214"/>
      <c r="Q18" s="214"/>
      <c r="R18" s="214"/>
      <c r="S18" s="214"/>
      <c r="T18" s="214"/>
      <c r="U18" s="214"/>
      <c r="V18" s="214"/>
      <c r="W18" s="214"/>
    </row>
    <row r="19" spans="1:23" s="4" customFormat="1">
      <c r="A19" s="5"/>
      <c r="B19" s="214" t="str">
        <f>+'Changes to Update Template '!C34</f>
        <v>Plan Total for 6/30/2019 Measurement Date</v>
      </c>
      <c r="C19" s="214"/>
      <c r="D19" s="214"/>
      <c r="E19" s="214"/>
      <c r="F19" s="6">
        <f>'LGERS Contributions FY 2019'!C1</f>
        <v>528347297.84999931</v>
      </c>
      <c r="G19" s="6">
        <f>'2019 summary'!E3</f>
        <v>2372341991</v>
      </c>
      <c r="H19" s="6">
        <f>'2020 summary'!E3</f>
        <v>2730922015</v>
      </c>
      <c r="I19" s="6"/>
      <c r="J19" s="6">
        <f>'2020 summary'!G3</f>
        <v>467603002</v>
      </c>
      <c r="K19" s="6">
        <f>'2020 summary'!H3</f>
        <v>66610997</v>
      </c>
      <c r="L19" s="6">
        <f>'2020 summary'!I3</f>
        <v>445095014</v>
      </c>
      <c r="M19" s="6">
        <f>'2020 summary'!J3</f>
        <v>38373065</v>
      </c>
      <c r="N19" s="6"/>
      <c r="O19" s="6">
        <f>'2020 summary'!M3</f>
        <v>0</v>
      </c>
      <c r="P19" s="6">
        <v>0</v>
      </c>
      <c r="Q19" s="6">
        <f>'2020 summary'!N3</f>
        <v>0</v>
      </c>
      <c r="R19" s="6">
        <f>'2020 summary'!O3</f>
        <v>38372960</v>
      </c>
      <c r="S19" s="6"/>
      <c r="T19" s="6">
        <f>'2020 summary'!R3</f>
        <v>1216512993</v>
      </c>
      <c r="U19" s="6">
        <f>'2020 summary'!S3</f>
        <v>24</v>
      </c>
      <c r="V19" s="6">
        <f>'2020 summary'!T3</f>
        <v>1216513017</v>
      </c>
      <c r="W19" s="214"/>
    </row>
    <row r="20" spans="1:23" s="4" customFormat="1">
      <c r="A20" s="5"/>
      <c r="B20" s="214"/>
      <c r="C20" s="214"/>
      <c r="D20" s="214"/>
      <c r="E20" s="214"/>
      <c r="F20" s="6"/>
      <c r="G20" s="6"/>
      <c r="H20" s="6"/>
      <c r="I20" s="214"/>
      <c r="J20" s="6"/>
      <c r="K20" s="6"/>
      <c r="L20" s="6"/>
      <c r="M20" s="6"/>
      <c r="N20" s="6"/>
      <c r="O20" s="6"/>
      <c r="P20" s="6"/>
      <c r="Q20" s="6"/>
      <c r="R20" s="6"/>
      <c r="S20" s="6"/>
      <c r="T20" s="6"/>
      <c r="U20" s="6"/>
      <c r="V20" s="6"/>
      <c r="W20" s="214"/>
    </row>
    <row r="21" spans="1:23" s="4" customFormat="1">
      <c r="A21" s="101" t="s">
        <v>270</v>
      </c>
      <c r="B21" s="214"/>
      <c r="C21" s="214"/>
      <c r="D21" s="214"/>
      <c r="E21" s="214"/>
      <c r="F21" s="6"/>
      <c r="G21" s="6"/>
      <c r="H21" s="6"/>
      <c r="I21" s="214"/>
      <c r="J21" s="6"/>
      <c r="K21" s="6"/>
      <c r="L21" s="6"/>
      <c r="M21" s="6"/>
      <c r="N21" s="214"/>
      <c r="O21" s="6"/>
      <c r="P21" s="6"/>
      <c r="Q21" s="6"/>
      <c r="R21" s="6"/>
      <c r="S21" s="214"/>
      <c r="T21" s="6"/>
      <c r="U21" s="6"/>
      <c r="V21" s="6"/>
      <c r="W21" s="214"/>
    </row>
    <row r="22" spans="1:23" s="4" customFormat="1">
      <c r="A22" s="112" t="e">
        <f>+Info!C23</f>
        <v>#N/A</v>
      </c>
      <c r="B22" s="214" t="e">
        <f>VLOOKUP($A22,'2019 summary'!$A:$V,'JE Template 2020'!B8,FALSE)</f>
        <v>#N/A</v>
      </c>
      <c r="C22" s="54" t="e">
        <f>VLOOKUP($A22,'2019 summary'!$A:$V,'JE Template 2020'!C$8,FALSE)</f>
        <v>#N/A</v>
      </c>
      <c r="D22" s="54" t="e">
        <f>VLOOKUP($A22,'2019 summary'!$A:$V,'JE Template 2020'!D$8,FALSE)</f>
        <v>#N/A</v>
      </c>
      <c r="E22" s="54" t="e">
        <f>C22-D22</f>
        <v>#N/A</v>
      </c>
      <c r="F22" s="6" t="e">
        <f>VLOOKUP($A22,'LGERS Contributions FY 2018'!A:E,3,FALSE)</f>
        <v>#N/A</v>
      </c>
      <c r="G22" s="6" t="e">
        <f>VLOOKUP($A22,'2018 summary'!$A:$V,5,FALSE)</f>
        <v>#N/A</v>
      </c>
      <c r="H22" s="6" t="e">
        <f>VLOOKUP($A22,'2019 summary'!$A:$V,5,FALSE)</f>
        <v>#N/A</v>
      </c>
      <c r="I22" s="6"/>
      <c r="J22" s="6" t="e">
        <f>VLOOKUP($A22,'2019 summary'!$A:$V,7,FALSE)</f>
        <v>#N/A</v>
      </c>
      <c r="K22" s="6" t="e">
        <f>VLOOKUP($A22,'2019 summary'!$A:$V,'JE Template 2020'!I$8,FALSE)</f>
        <v>#N/A</v>
      </c>
      <c r="L22" s="6" t="e">
        <f>VLOOKUP($A22,'2019 summary'!$A:$V,'JE Template 2020'!J$8,FALSE)</f>
        <v>#N/A</v>
      </c>
      <c r="M22" s="6" t="e">
        <f>VLOOKUP($A22,'2019 summary'!$A:$V,'JE Template 2020'!K$8,FALSE)</f>
        <v>#N/A</v>
      </c>
      <c r="N22" s="6"/>
      <c r="O22" s="6" t="e">
        <f>VLOOKUP($A22,'2019 summary'!$A:$V,'JE Template 2020'!N$8,FALSE)</f>
        <v>#N/A</v>
      </c>
      <c r="P22" s="6">
        <v>0</v>
      </c>
      <c r="Q22" s="6" t="e">
        <f>VLOOKUP($A22,'2019 summary'!$A:$V,'JE Template 2020'!O$8,FALSE)</f>
        <v>#N/A</v>
      </c>
      <c r="R22" s="6" t="e">
        <f>VLOOKUP($A22,'2019 summary'!$A:$V,'JE Template 2020'!P$8,FALSE)</f>
        <v>#N/A</v>
      </c>
      <c r="S22" s="6"/>
      <c r="T22" s="6" t="e">
        <f>VLOOKUP($A22,'2019 summary'!$A:$V,18,FALSE)</f>
        <v>#N/A</v>
      </c>
      <c r="U22" s="6" t="e">
        <f>VLOOKUP($A22,'2019 summary'!$A:$V,19,FALSE)</f>
        <v>#N/A</v>
      </c>
      <c r="V22" s="6" t="e">
        <f>VLOOKUP($A22,'2019 summary'!$A:$V,20,FALSE)</f>
        <v>#N/A</v>
      </c>
      <c r="W22" s="214"/>
    </row>
    <row r="23" spans="1:23" s="4" customFormat="1">
      <c r="A23" s="112"/>
      <c r="B23" s="214"/>
      <c r="C23" s="214"/>
      <c r="D23" s="214"/>
      <c r="E23" s="214"/>
      <c r="F23" s="6"/>
      <c r="G23" s="6"/>
      <c r="H23" s="6"/>
      <c r="I23" s="214"/>
      <c r="J23" s="6"/>
      <c r="K23" s="6"/>
      <c r="L23" s="6"/>
      <c r="M23" s="6"/>
      <c r="N23" s="214"/>
      <c r="O23" s="6"/>
      <c r="P23" s="6"/>
      <c r="Q23" s="6"/>
      <c r="R23" s="6"/>
      <c r="S23" s="214"/>
      <c r="T23" s="6"/>
      <c r="U23" s="6"/>
      <c r="V23" s="6"/>
      <c r="W23" s="214"/>
    </row>
    <row r="24" spans="1:23" s="214" customFormat="1">
      <c r="A24" s="112" t="str">
        <f>C3</f>
        <v>N/A</v>
      </c>
      <c r="B24" s="214" t="str">
        <f>VLOOKUP($A24,'2019 summary'!$A:$V,'JE Template 2020'!B8,FALSE)</f>
        <v>No additional agency chosen</v>
      </c>
      <c r="C24" s="54">
        <f>VLOOKUP($A24,'2019 summary'!$A:$V,'JE Template 2020'!C$8,FALSE)</f>
        <v>0</v>
      </c>
      <c r="D24" s="54">
        <f>VLOOKUP($A24,'2019 summary'!$A:$V,'JE Template 2020'!D$8,FALSE)</f>
        <v>0</v>
      </c>
      <c r="E24" s="54">
        <f>C24-D24</f>
        <v>0</v>
      </c>
      <c r="F24" s="6">
        <f>VLOOKUP($A24,'LGERS Contributions FY 2018'!A:E,3,FALSE)</f>
        <v>0</v>
      </c>
      <c r="G24" s="6">
        <f>VLOOKUP($A24,'2018 summary'!$A:$V,5,FALSE)</f>
        <v>0</v>
      </c>
      <c r="H24" s="6">
        <f>VLOOKUP($A24,'2019 summary'!$A:$V,5,FALSE)</f>
        <v>0</v>
      </c>
      <c r="I24" s="6"/>
      <c r="J24" s="6">
        <f>VLOOKUP($A24,'2019 summary'!$A:$V,7,FALSE)</f>
        <v>0</v>
      </c>
      <c r="K24" s="6">
        <f>VLOOKUP($A24,'2019 summary'!$A:$V,'JE Template 2020'!I$8,FALSE)</f>
        <v>0</v>
      </c>
      <c r="L24" s="6">
        <f>VLOOKUP($A24,'2019 summary'!$A:$V,'JE Template 2020'!J$8,FALSE)</f>
        <v>0</v>
      </c>
      <c r="M24" s="6">
        <f>VLOOKUP($A24,'2019 summary'!$A:$V,'JE Template 2020'!K$8,FALSE)</f>
        <v>0</v>
      </c>
      <c r="N24" s="6"/>
      <c r="O24" s="6">
        <f>VLOOKUP($A24,'2019 summary'!$A:$V,'JE Template 2020'!N$8,FALSE)</f>
        <v>0</v>
      </c>
      <c r="P24" s="6">
        <v>0</v>
      </c>
      <c r="Q24" s="6">
        <f>VLOOKUP($A24,'2019 summary'!$A:$V,'JE Template 2020'!O$8,FALSE)</f>
        <v>0</v>
      </c>
      <c r="R24" s="6">
        <f>VLOOKUP($A24,'2019 summary'!$A:$V,'JE Template 2020'!P$8,FALSE)</f>
        <v>0</v>
      </c>
      <c r="S24" s="6"/>
      <c r="T24" s="6">
        <f>VLOOKUP($A24,'2019 summary'!$A:$V,18,FALSE)</f>
        <v>0</v>
      </c>
      <c r="U24" s="6">
        <f>VLOOKUP($A24,'2019 summary'!$A:$V,19,FALSE)</f>
        <v>0</v>
      </c>
      <c r="V24" s="6">
        <f>VLOOKUP($A24,'2019 summary'!$A:$V,20,FALSE)</f>
        <v>0</v>
      </c>
    </row>
    <row r="25" spans="1:23" s="4" customFormat="1">
      <c r="A25" s="101"/>
      <c r="B25" s="214"/>
      <c r="C25" s="214"/>
      <c r="D25" s="214"/>
      <c r="E25" s="214"/>
      <c r="F25" s="6"/>
      <c r="G25" s="6"/>
      <c r="H25" s="6"/>
      <c r="I25" s="214"/>
      <c r="J25" s="6"/>
      <c r="K25" s="6"/>
      <c r="L25" s="6"/>
      <c r="M25" s="6"/>
      <c r="N25" s="214"/>
      <c r="O25" s="6"/>
      <c r="P25" s="6"/>
      <c r="Q25" s="6"/>
      <c r="R25" s="6"/>
      <c r="S25" s="214"/>
      <c r="T25" s="6"/>
      <c r="U25" s="6"/>
      <c r="V25" s="6"/>
      <c r="W25" s="214"/>
    </row>
    <row r="26" spans="1:23" s="4" customFormat="1">
      <c r="A26" s="5"/>
      <c r="B26" s="214" t="s">
        <v>690</v>
      </c>
      <c r="C26" s="54" t="e">
        <f t="shared" ref="C26:H26" si="1">C22+C24</f>
        <v>#N/A</v>
      </c>
      <c r="D26" s="54" t="e">
        <f t="shared" si="1"/>
        <v>#N/A</v>
      </c>
      <c r="E26" s="54" t="e">
        <f t="shared" si="1"/>
        <v>#N/A</v>
      </c>
      <c r="F26" s="6" t="e">
        <f t="shared" si="1"/>
        <v>#N/A</v>
      </c>
      <c r="G26" s="6" t="e">
        <f t="shared" si="1"/>
        <v>#N/A</v>
      </c>
      <c r="H26" s="6" t="e">
        <f t="shared" si="1"/>
        <v>#N/A</v>
      </c>
      <c r="I26" s="6"/>
      <c r="J26" s="6" t="e">
        <f>J22+J24</f>
        <v>#N/A</v>
      </c>
      <c r="K26" s="6" t="e">
        <f>K22+K24</f>
        <v>#N/A</v>
      </c>
      <c r="L26" s="6" t="e">
        <f>L22+L24</f>
        <v>#N/A</v>
      </c>
      <c r="M26" s="6" t="e">
        <f>M22+M24</f>
        <v>#N/A</v>
      </c>
      <c r="N26" s="6"/>
      <c r="O26" s="6" t="e">
        <f>O22+O24</f>
        <v>#N/A</v>
      </c>
      <c r="P26" s="6">
        <f>P22+P24</f>
        <v>0</v>
      </c>
      <c r="Q26" s="6" t="e">
        <f>Q22+Q24</f>
        <v>#N/A</v>
      </c>
      <c r="R26" s="6" t="e">
        <f>R22+R24</f>
        <v>#N/A</v>
      </c>
      <c r="S26" s="6"/>
      <c r="T26" s="6" t="e">
        <f>T22+T24</f>
        <v>#N/A</v>
      </c>
      <c r="U26" s="6" t="e">
        <f>U22+U24</f>
        <v>#N/A</v>
      </c>
      <c r="V26" s="6" t="e">
        <f>V22+V24</f>
        <v>#N/A</v>
      </c>
      <c r="W26" s="214"/>
    </row>
    <row r="27" spans="1:23" s="4" customFormat="1">
      <c r="A27" s="5"/>
      <c r="B27" s="214"/>
      <c r="C27" s="214"/>
      <c r="D27" s="214"/>
      <c r="E27" s="214"/>
      <c r="F27" s="6"/>
      <c r="G27" s="6"/>
      <c r="H27" s="6"/>
      <c r="I27" s="214"/>
      <c r="J27" s="6"/>
      <c r="K27" s="6"/>
      <c r="L27" s="6"/>
      <c r="M27" s="6"/>
      <c r="N27" s="214"/>
      <c r="O27" s="6"/>
      <c r="P27" s="6"/>
      <c r="Q27" s="6"/>
      <c r="R27" s="6"/>
      <c r="S27" s="214"/>
      <c r="T27" s="6"/>
      <c r="U27" s="6"/>
      <c r="V27" s="6"/>
      <c r="W27" s="214"/>
    </row>
    <row r="28" spans="1:23" s="4" customFormat="1">
      <c r="A28" s="5"/>
      <c r="B28" s="214" t="str">
        <f>+'Changes to Update Template '!C35</f>
        <v>Plan total for 6/30/2018 Measurement Date</v>
      </c>
      <c r="C28" s="214"/>
      <c r="D28" s="214"/>
      <c r="E28" s="214"/>
      <c r="F28" s="6">
        <f>'LGERS Contributions FY 2018'!C1</f>
        <v>489372689.15926653</v>
      </c>
      <c r="G28" s="6">
        <f>'2018 summary'!E3</f>
        <v>1527723006</v>
      </c>
      <c r="H28" s="6">
        <f>'2019 summary'!E3</f>
        <v>2372341991</v>
      </c>
      <c r="I28" s="6"/>
      <c r="J28" s="6">
        <f>'2019 summary'!G3</f>
        <v>365996013</v>
      </c>
      <c r="K28" s="6">
        <f>'2019 summary'!H3</f>
        <v>325651977</v>
      </c>
      <c r="L28" s="6">
        <f>'2019 summary'!I3</f>
        <v>629527990</v>
      </c>
      <c r="M28" s="6">
        <f>'2019 summary'!J3</f>
        <v>39321171</v>
      </c>
      <c r="N28" s="6"/>
      <c r="O28" s="6">
        <f>'2019 summary'!M3</f>
        <v>12280987</v>
      </c>
      <c r="P28" s="6">
        <f>'2019 summary'!N3</f>
        <v>0</v>
      </c>
      <c r="Q28" s="6">
        <f>'2019 summary'!N3</f>
        <v>0</v>
      </c>
      <c r="R28" s="6">
        <f>'2019 summary'!O3</f>
        <v>39321083</v>
      </c>
      <c r="S28" s="6"/>
      <c r="T28" s="6">
        <f>'2019 summary'!R3</f>
        <v>658973009</v>
      </c>
      <c r="U28" s="6">
        <f>'2019 summary'!S3</f>
        <v>6</v>
      </c>
      <c r="V28" s="6">
        <f>'2019 summary'!T3</f>
        <v>658973015</v>
      </c>
      <c r="W28" s="214"/>
    </row>
    <row r="30" spans="1:23">
      <c r="A30" s="10"/>
      <c r="B30" s="1"/>
      <c r="C30" s="1"/>
      <c r="D30" s="1"/>
      <c r="E30" s="1"/>
      <c r="F30" s="111"/>
      <c r="G30" s="3"/>
    </row>
    <row r="31" spans="1:23">
      <c r="A31" s="137" t="s">
        <v>719</v>
      </c>
      <c r="B31" s="138"/>
      <c r="C31" s="139" t="e">
        <f>H17</f>
        <v>#N/A</v>
      </c>
      <c r="D31" s="1"/>
      <c r="E31" s="1"/>
      <c r="F31" s="3"/>
      <c r="G31" s="3"/>
      <c r="I31" s="4"/>
      <c r="J31" s="4"/>
      <c r="K31" s="4"/>
      <c r="L31" s="4"/>
      <c r="M31" s="4"/>
      <c r="N31" s="4"/>
      <c r="O31" s="4"/>
      <c r="P31" s="4"/>
      <c r="Q31" s="4"/>
      <c r="R31" s="4"/>
      <c r="S31" s="4"/>
      <c r="T31" s="4"/>
    </row>
    <row r="32" spans="1:23">
      <c r="A32" s="15" t="s">
        <v>720</v>
      </c>
      <c r="B32" s="16"/>
      <c r="C32" s="140" t="e">
        <f>E98</f>
        <v>#N/A</v>
      </c>
      <c r="D32" s="1"/>
      <c r="E32" s="1"/>
      <c r="F32" s="111"/>
      <c r="G32" s="3"/>
      <c r="I32" s="4"/>
      <c r="J32" s="4"/>
      <c r="K32" s="4"/>
      <c r="L32" s="4"/>
      <c r="M32" s="4"/>
      <c r="N32" s="4"/>
      <c r="O32" s="4"/>
      <c r="P32" s="4"/>
      <c r="Q32" s="4"/>
      <c r="R32" s="4"/>
      <c r="S32" s="4"/>
      <c r="T32" s="4"/>
    </row>
    <row r="33" spans="1:20">
      <c r="A33" s="15"/>
      <c r="B33" s="16" t="s">
        <v>721</v>
      </c>
      <c r="C33" s="140" t="e">
        <f>IF(E96&gt;0,E96,-F96)</f>
        <v>#N/A</v>
      </c>
      <c r="D33" s="1"/>
      <c r="E33" s="1"/>
      <c r="F33" s="3"/>
      <c r="G33" s="3"/>
      <c r="I33" s="4"/>
      <c r="J33" s="4"/>
      <c r="K33" s="4"/>
      <c r="L33" s="4"/>
      <c r="M33" s="4"/>
      <c r="N33" s="4"/>
      <c r="O33" s="4"/>
      <c r="P33" s="4"/>
      <c r="Q33" s="4"/>
      <c r="R33" s="4"/>
      <c r="S33" s="4"/>
      <c r="T33" s="4"/>
    </row>
    <row r="34" spans="1:20" ht="48.75" customHeight="1">
      <c r="A34" s="22"/>
      <c r="B34" s="23" t="s">
        <v>722</v>
      </c>
      <c r="C34" s="141" t="e">
        <f>IF(E97&gt;0,E97,-F97)</f>
        <v>#N/A</v>
      </c>
      <c r="D34" s="399" t="e">
        <f>IF(ABS(C34)&gt;0.05*F17,"The amount of contributions made during the measurement year on the Info tab differs from ORBIT's total by more than 5%.  Please ensure that the information entered on the Info tab is accurate or consider a prior period adjustment."," ")</f>
        <v>#N/A</v>
      </c>
      <c r="E34" s="399"/>
      <c r="F34" s="399"/>
      <c r="G34" s="399"/>
      <c r="I34" s="4"/>
      <c r="J34" s="4"/>
      <c r="K34" s="4"/>
      <c r="L34" s="4"/>
      <c r="M34" s="4"/>
      <c r="N34" s="4"/>
      <c r="O34" s="4"/>
      <c r="P34" s="4"/>
      <c r="Q34" s="4"/>
      <c r="R34" s="4"/>
      <c r="S34" s="4"/>
      <c r="T34" s="4"/>
    </row>
    <row r="35" spans="1:20">
      <c r="A35" s="10"/>
      <c r="B35" s="1"/>
      <c r="C35" s="1"/>
      <c r="D35" s="1"/>
      <c r="E35" s="1"/>
      <c r="F35" s="3"/>
      <c r="G35" s="3"/>
      <c r="I35" s="4"/>
      <c r="J35" s="4"/>
      <c r="K35" s="4"/>
      <c r="L35" s="4"/>
      <c r="M35" s="4"/>
      <c r="N35" s="4"/>
      <c r="O35" s="4"/>
      <c r="P35" s="4"/>
      <c r="Q35" s="4"/>
      <c r="R35" s="4"/>
      <c r="S35" s="4"/>
      <c r="T35" s="4"/>
    </row>
    <row r="36" spans="1:20">
      <c r="A36" s="137" t="s">
        <v>13</v>
      </c>
      <c r="B36" s="138"/>
      <c r="C36" s="138"/>
      <c r="D36" s="138"/>
      <c r="E36" s="142"/>
      <c r="F36" s="143"/>
      <c r="I36" s="4"/>
      <c r="J36" s="404"/>
      <c r="K36" s="404"/>
      <c r="L36" s="4"/>
      <c r="M36" s="4"/>
      <c r="N36" s="4"/>
      <c r="O36" s="4"/>
      <c r="P36" s="4"/>
      <c r="Q36" s="4"/>
      <c r="R36" s="4"/>
      <c r="S36" s="4"/>
      <c r="T36" s="4"/>
    </row>
    <row r="37" spans="1:20" ht="30">
      <c r="A37" s="15"/>
      <c r="B37" s="16"/>
      <c r="C37" s="16"/>
      <c r="D37" s="16"/>
      <c r="E37" s="27" t="s">
        <v>19</v>
      </c>
      <c r="F37" s="144" t="s">
        <v>20</v>
      </c>
      <c r="I37" s="4"/>
      <c r="J37" s="61"/>
      <c r="K37" s="4"/>
      <c r="L37" s="4"/>
      <c r="M37" s="4"/>
      <c r="N37" s="4"/>
      <c r="O37" s="4"/>
      <c r="P37" s="5"/>
      <c r="Q37" s="85"/>
      <c r="R37" s="85"/>
      <c r="S37" s="4"/>
      <c r="T37" s="4"/>
    </row>
    <row r="38" spans="1:20" ht="15" customHeight="1">
      <c r="A38" s="15"/>
      <c r="B38" s="16" t="s">
        <v>14</v>
      </c>
      <c r="C38" s="16"/>
      <c r="D38" s="16"/>
      <c r="E38" s="145" t="e">
        <f>J17</f>
        <v>#N/A</v>
      </c>
      <c r="F38" s="18" t="e">
        <f>O17</f>
        <v>#N/A</v>
      </c>
      <c r="H38" s="405" t="s">
        <v>273</v>
      </c>
      <c r="I38" s="406"/>
      <c r="J38" s="406"/>
      <c r="K38" s="407"/>
      <c r="M38" s="55"/>
      <c r="N38" s="4"/>
      <c r="O38" s="55"/>
      <c r="P38" s="55"/>
      <c r="Q38" s="55"/>
      <c r="R38" s="62"/>
      <c r="S38" s="4"/>
      <c r="T38" s="4"/>
    </row>
    <row r="39" spans="1:20">
      <c r="A39" s="15"/>
      <c r="B39" s="16" t="s">
        <v>15</v>
      </c>
      <c r="C39" s="16"/>
      <c r="D39" s="16"/>
      <c r="E39" s="145" t="e">
        <f>L17</f>
        <v>#N/A</v>
      </c>
      <c r="F39" s="20" t="e">
        <f>Q17</f>
        <v>#N/A</v>
      </c>
      <c r="H39" s="408"/>
      <c r="I39" s="409"/>
      <c r="J39" s="409"/>
      <c r="K39" s="410"/>
      <c r="M39" s="4"/>
      <c r="N39" s="4"/>
      <c r="O39" s="4"/>
      <c r="P39" s="4"/>
      <c r="Q39" s="55"/>
      <c r="R39" s="62"/>
      <c r="S39" s="4"/>
      <c r="T39" s="4"/>
    </row>
    <row r="40" spans="1:20" ht="30">
      <c r="A40" s="15"/>
      <c r="B40" s="16" t="s">
        <v>16</v>
      </c>
      <c r="C40" s="16"/>
      <c r="D40" s="16"/>
      <c r="E40" s="17" t="e">
        <f>IF(K17&gt;=P17,K17-P17,0)</f>
        <v>#N/A</v>
      </c>
      <c r="F40" s="18" t="e">
        <f>IF(E40&gt;=0,0,P17-K17)</f>
        <v>#N/A</v>
      </c>
      <c r="H40" s="408"/>
      <c r="I40" s="409"/>
      <c r="J40" s="409"/>
      <c r="K40" s="410"/>
      <c r="M40" s="55"/>
      <c r="N40" s="4"/>
      <c r="O40" s="55"/>
      <c r="P40" s="55"/>
      <c r="Q40" s="55"/>
      <c r="R40" s="62"/>
      <c r="S40" s="4"/>
      <c r="T40" s="4"/>
    </row>
    <row r="41" spans="1:20" ht="30">
      <c r="A41" s="15"/>
      <c r="B41" s="16" t="s">
        <v>17</v>
      </c>
      <c r="C41" s="16"/>
      <c r="D41" s="16"/>
      <c r="E41" s="17" t="e">
        <f>M17</f>
        <v>#N/A</v>
      </c>
      <c r="F41" s="18" t="e">
        <f>R17</f>
        <v>#N/A</v>
      </c>
      <c r="H41" s="411"/>
      <c r="I41" s="412"/>
      <c r="J41" s="412"/>
      <c r="K41" s="413"/>
      <c r="M41" s="55"/>
      <c r="N41" s="4"/>
      <c r="O41" s="55"/>
      <c r="P41" s="55"/>
      <c r="Q41" s="55"/>
      <c r="R41" s="62"/>
      <c r="S41" s="4"/>
      <c r="T41" s="4"/>
    </row>
    <row r="42" spans="1:20">
      <c r="A42" s="13"/>
      <c r="B42" s="16" t="s">
        <v>274</v>
      </c>
      <c r="C42" s="16"/>
      <c r="D42" s="16"/>
      <c r="E42" s="17">
        <f>Info!C33</f>
        <v>0</v>
      </c>
      <c r="F42" s="146"/>
      <c r="I42" s="4"/>
      <c r="J42" s="4"/>
      <c r="K42" s="4"/>
      <c r="L42" s="4"/>
      <c r="M42" s="4"/>
      <c r="N42" s="4"/>
      <c r="O42" s="4"/>
      <c r="P42" s="4"/>
      <c r="Q42" s="55"/>
      <c r="R42" s="62"/>
      <c r="S42" s="4"/>
      <c r="T42" s="4"/>
    </row>
    <row r="43" spans="1:20" ht="15.75" thickBot="1">
      <c r="A43" s="13"/>
      <c r="B43" s="60" t="s">
        <v>18</v>
      </c>
      <c r="C43" s="60"/>
      <c r="D43" s="60"/>
      <c r="E43" s="28" t="e">
        <f>SUM(E38:E42)</f>
        <v>#N/A</v>
      </c>
      <c r="F43" s="147" t="e">
        <f>SUM(F38:F42)</f>
        <v>#N/A</v>
      </c>
      <c r="G43" s="110"/>
      <c r="H43" s="38"/>
      <c r="I43" s="38"/>
      <c r="J43" s="69"/>
      <c r="K43" s="69"/>
      <c r="L43" s="69"/>
      <c r="M43" s="69"/>
      <c r="N43" s="38"/>
      <c r="O43" s="69"/>
      <c r="P43" s="69"/>
      <c r="Q43" s="69"/>
      <c r="R43" s="113"/>
      <c r="S43" s="4"/>
      <c r="T43" s="4"/>
    </row>
    <row r="44" spans="1:20" ht="15.75" thickTop="1">
      <c r="A44" s="13"/>
      <c r="B44" s="16"/>
      <c r="C44" s="16"/>
      <c r="D44" s="16"/>
      <c r="E44" s="19"/>
      <c r="F44" s="20"/>
      <c r="G44" s="74"/>
      <c r="H44" s="114"/>
      <c r="I44" s="115"/>
      <c r="J44" s="115"/>
      <c r="K44" s="115"/>
      <c r="L44" s="116"/>
      <c r="M44" s="116"/>
      <c r="N44" s="38"/>
      <c r="O44" s="38"/>
      <c r="P44" s="38"/>
      <c r="Q44" s="38"/>
      <c r="R44" s="38"/>
      <c r="S44" s="4"/>
      <c r="T44" s="4"/>
    </row>
    <row r="45" spans="1:20" ht="60">
      <c r="A45" s="58"/>
      <c r="B45" s="23" t="s">
        <v>258</v>
      </c>
      <c r="C45" s="23"/>
      <c r="D45" s="23"/>
      <c r="E45" s="24"/>
      <c r="F45" s="25"/>
      <c r="H45" s="114"/>
      <c r="I45" s="115"/>
      <c r="J45" s="115"/>
      <c r="K45" s="115"/>
      <c r="L45" s="117"/>
      <c r="M45" s="117"/>
      <c r="N45" s="38"/>
      <c r="O45" s="38"/>
      <c r="P45" s="38"/>
      <c r="Q45" s="38"/>
      <c r="R45" s="38"/>
      <c r="S45" s="4"/>
      <c r="T45" s="4"/>
    </row>
    <row r="46" spans="1:20">
      <c r="A46" s="4"/>
      <c r="B46" s="4"/>
      <c r="C46" s="4"/>
      <c r="D46" s="4"/>
      <c r="E46" s="4"/>
      <c r="F46" s="4"/>
      <c r="H46" s="114"/>
      <c r="I46" s="118"/>
      <c r="J46" s="115"/>
      <c r="K46" s="115"/>
      <c r="L46" s="119"/>
      <c r="M46" s="119"/>
      <c r="N46" s="38"/>
      <c r="O46" s="116"/>
      <c r="P46" s="116"/>
      <c r="Q46" s="38"/>
      <c r="R46" s="38"/>
    </row>
    <row r="47" spans="1:20">
      <c r="A47" s="11" t="s">
        <v>21</v>
      </c>
      <c r="B47" s="12"/>
      <c r="C47" s="12"/>
      <c r="D47" s="148"/>
      <c r="E47" s="4"/>
      <c r="F47" s="4"/>
      <c r="G47" s="4"/>
      <c r="H47" s="78"/>
      <c r="I47" s="78"/>
      <c r="J47" s="78"/>
      <c r="K47" s="79"/>
      <c r="M47" s="80"/>
      <c r="N47" s="26"/>
      <c r="O47" s="81"/>
      <c r="P47" s="81"/>
      <c r="Q47" s="6"/>
      <c r="R47" s="6"/>
    </row>
    <row r="48" spans="1:20">
      <c r="A48" s="13"/>
      <c r="B48" s="14"/>
      <c r="C48" s="14"/>
      <c r="D48" s="149"/>
      <c r="F48" s="4"/>
      <c r="G48" s="4"/>
      <c r="H48" s="78"/>
      <c r="I48" s="78"/>
      <c r="J48" s="78"/>
      <c r="K48" s="79"/>
      <c r="M48" s="80"/>
      <c r="N48" s="26"/>
      <c r="O48" s="81"/>
      <c r="P48" s="81"/>
      <c r="Q48" s="6"/>
      <c r="R48" s="6"/>
    </row>
    <row r="49" spans="1:18">
      <c r="A49" s="150" t="s">
        <v>22</v>
      </c>
      <c r="B49" s="151"/>
      <c r="C49" s="151"/>
      <c r="D49" s="149"/>
      <c r="F49" s="4"/>
      <c r="G49" s="4"/>
      <c r="H49" s="78"/>
      <c r="I49" s="78"/>
      <c r="J49" s="78"/>
      <c r="K49" s="79"/>
      <c r="M49" s="80"/>
      <c r="N49" s="26"/>
      <c r="O49" s="81"/>
      <c r="P49" s="81"/>
      <c r="Q49" s="6"/>
      <c r="R49" s="6"/>
    </row>
    <row r="50" spans="1:18">
      <c r="A50" s="152">
        <f>+'Changes to Update Template '!C36</f>
        <v>2020</v>
      </c>
      <c r="B50" s="153"/>
      <c r="C50" s="153"/>
      <c r="D50" s="154" t="e">
        <f>IF(A15="N/A",VLOOKUP($A$13,'Deferred Amort MD 6-30-19'!$A:$I,5,FALSE),((VLOOKUP($A$13,'Deferred Amort MD 6-30-19'!$A:$I,5,FALSE))+VLOOKUP($A$15,'Deferred Amort MD 6-30-19'!$A:$I,5,FALSE)))</f>
        <v>#N/A</v>
      </c>
      <c r="E50" s="214"/>
      <c r="F50" s="110"/>
      <c r="G50" s="4"/>
      <c r="H50" s="78"/>
      <c r="I50" s="78"/>
      <c r="J50" s="78"/>
      <c r="K50" s="79"/>
      <c r="M50" s="80"/>
      <c r="N50" s="26"/>
      <c r="O50" s="81"/>
      <c r="P50" s="81"/>
      <c r="Q50" s="6"/>
      <c r="R50" s="6"/>
    </row>
    <row r="51" spans="1:18">
      <c r="A51" s="152">
        <f>+A50+1</f>
        <v>2021</v>
      </c>
      <c r="B51" s="153"/>
      <c r="C51" s="153"/>
      <c r="D51" s="155" t="e">
        <f>IF(A15="n/a",(VLOOKUP($A$13,'Deferred Amort MD 6-30-19'!$A:$I,6,FALSE)),(VLOOKUP($A$13,'Deferred Amort MD 6-30-19'!$A:$I,6,FALSE)+VLOOKUP($A$15,'Deferred Amort MD 6-30-19'!$A:$I,6,FALSE)))</f>
        <v>#N/A</v>
      </c>
      <c r="E51" s="214"/>
      <c r="F51" s="4"/>
      <c r="G51" s="4"/>
      <c r="H51" s="78"/>
      <c r="I51" s="78"/>
      <c r="J51" s="78"/>
      <c r="K51" s="79"/>
      <c r="M51" s="80"/>
      <c r="N51" s="26"/>
      <c r="O51" s="81"/>
      <c r="P51" s="81"/>
      <c r="Q51" s="6"/>
      <c r="R51" s="6"/>
    </row>
    <row r="52" spans="1:18">
      <c r="A52" s="152">
        <f>+A51+1</f>
        <v>2022</v>
      </c>
      <c r="B52" s="153"/>
      <c r="C52" s="153"/>
      <c r="D52" s="155" t="e">
        <f>IF(A15="n/a",(VLOOKUP($A$13,'Deferred Amort MD 6-30-19'!$A:$I,7,FALSE)),((VLOOKUP($A$13,'Deferred Amort MD 6-30-19'!$A:$I,7,FALSE))+VLOOKUP($A$15,'Deferred Amort MD 6-30-19'!$A:$I,7,FALSE)))</f>
        <v>#N/A</v>
      </c>
      <c r="E52" s="214"/>
      <c r="F52" s="4"/>
      <c r="G52" s="4"/>
      <c r="H52" s="78"/>
      <c r="I52" s="78"/>
      <c r="J52" s="78"/>
      <c r="K52" s="79"/>
      <c r="M52" s="80"/>
      <c r="N52" s="26"/>
      <c r="O52" s="81"/>
      <c r="P52" s="81"/>
      <c r="Q52" s="6"/>
      <c r="R52" s="6"/>
    </row>
    <row r="53" spans="1:18">
      <c r="A53" s="152">
        <f>+A52+1</f>
        <v>2023</v>
      </c>
      <c r="B53" s="153"/>
      <c r="C53" s="153"/>
      <c r="D53" s="155" t="e">
        <f>IF(A15="n/a",(VLOOKUP($A$13,'Deferred Amort MD 6-30-19'!$A:$I,8,FALSE)),(VLOOKUP($A$13,'Deferred Amort MD 6-30-19'!$A:$I,8,FALSE))+VLOOKUP($A$15,'Deferred Amort MD 6-30-19'!$A:$I,8,FALSE))</f>
        <v>#N/A</v>
      </c>
      <c r="E53" s="214"/>
      <c r="F53" s="4"/>
      <c r="G53" s="4"/>
      <c r="H53" s="78"/>
      <c r="I53" s="78"/>
      <c r="J53" s="78"/>
      <c r="K53" s="79"/>
      <c r="M53" s="80"/>
      <c r="N53" s="26"/>
      <c r="O53" s="81"/>
      <c r="P53" s="81"/>
      <c r="Q53" s="6"/>
      <c r="R53" s="6"/>
    </row>
    <row r="54" spans="1:18">
      <c r="A54" s="152">
        <f>+A53+1</f>
        <v>2024</v>
      </c>
      <c r="B54" s="153"/>
      <c r="C54" s="153"/>
      <c r="D54" s="155" t="e">
        <f>IF(A15="n/a",(VLOOKUP($A$13,'Deferred Amort MD 6-30-19'!$A:$I,9,FALSE)),(VLOOKUP($A$13,'Deferred Amort MD 6-30-19'!$A:$I,9,FALSE))+VLOOKUP($A$15,'Deferred Amort MD 6-30-19'!$A:$I,9,FALSE))</f>
        <v>#N/A</v>
      </c>
      <c r="E54" s="214"/>
      <c r="F54" s="4"/>
      <c r="G54" s="4"/>
      <c r="H54" s="78"/>
      <c r="I54" s="78"/>
      <c r="J54" s="78"/>
      <c r="K54" s="79"/>
      <c r="M54" s="80"/>
      <c r="N54" s="26"/>
      <c r="O54" s="81"/>
      <c r="P54" s="81"/>
      <c r="Q54" s="6"/>
      <c r="R54" s="6"/>
    </row>
    <row r="55" spans="1:18">
      <c r="A55" s="13" t="s">
        <v>23</v>
      </c>
      <c r="B55" s="153"/>
      <c r="C55" s="153"/>
      <c r="D55" s="18"/>
      <c r="F55" s="4"/>
      <c r="G55" s="4"/>
      <c r="H55" s="78"/>
      <c r="I55" s="78"/>
      <c r="J55" s="78"/>
      <c r="K55" s="79"/>
      <c r="M55" s="80"/>
      <c r="N55" s="26"/>
      <c r="O55" s="81"/>
      <c r="P55" s="81"/>
      <c r="Q55" s="6"/>
      <c r="R55" s="6"/>
    </row>
    <row r="56" spans="1:18">
      <c r="A56" s="58"/>
      <c r="B56" s="156"/>
      <c r="C56" s="156"/>
      <c r="D56" s="157" t="e">
        <f>SUM(D50:D55)</f>
        <v>#N/A</v>
      </c>
      <c r="E56" s="74"/>
      <c r="F56" s="4"/>
      <c r="G56" s="4"/>
      <c r="H56" s="78"/>
      <c r="I56" s="78"/>
      <c r="J56" s="78"/>
      <c r="K56" s="79"/>
      <c r="M56" s="80"/>
      <c r="N56" s="26"/>
      <c r="O56" s="81"/>
      <c r="P56" s="81"/>
      <c r="Q56" s="6"/>
      <c r="R56" s="6"/>
    </row>
    <row r="57" spans="1:18">
      <c r="A57" s="4"/>
      <c r="B57" s="78"/>
      <c r="C57" s="78"/>
      <c r="D57" s="4"/>
      <c r="F57" s="4"/>
      <c r="G57" s="4"/>
      <c r="H57" s="78"/>
      <c r="I57" s="78"/>
      <c r="J57" s="78"/>
      <c r="K57" s="79"/>
      <c r="M57" s="80"/>
      <c r="N57" s="26"/>
      <c r="O57" s="81"/>
      <c r="P57" s="81"/>
      <c r="Q57" s="6"/>
      <c r="R57" s="6"/>
    </row>
    <row r="58" spans="1:18">
      <c r="A58" s="158" t="s">
        <v>230</v>
      </c>
      <c r="B58" s="159"/>
      <c r="C58" s="159"/>
      <c r="D58" s="159"/>
      <c r="E58" s="160" t="s">
        <v>3505</v>
      </c>
      <c r="F58" s="160" t="s">
        <v>3504</v>
      </c>
      <c r="G58" s="161" t="s">
        <v>3506</v>
      </c>
      <c r="H58" s="214"/>
      <c r="I58" s="78"/>
      <c r="J58" s="78"/>
    </row>
    <row r="59" spans="1:18">
      <c r="A59" s="150"/>
      <c r="B59" s="162" t="s">
        <v>12</v>
      </c>
      <c r="C59" s="151"/>
      <c r="D59" s="151"/>
      <c r="E59" s="275">
        <v>6246118000</v>
      </c>
      <c r="F59" s="276">
        <f>H19</f>
        <v>2730922015</v>
      </c>
      <c r="G59" s="277">
        <v>-190918000</v>
      </c>
      <c r="H59" s="4"/>
      <c r="I59" s="78"/>
      <c r="J59" s="78"/>
    </row>
    <row r="60" spans="1:18" ht="9" customHeight="1">
      <c r="A60" s="150"/>
      <c r="B60" s="151"/>
      <c r="C60" s="151"/>
      <c r="D60" s="151"/>
      <c r="E60" s="278"/>
      <c r="F60" s="278"/>
      <c r="G60" s="279"/>
      <c r="H60" s="4"/>
      <c r="I60" s="4"/>
      <c r="J60" s="4"/>
    </row>
    <row r="61" spans="1:18">
      <c r="A61" s="58"/>
      <c r="B61" s="163" t="s">
        <v>275</v>
      </c>
      <c r="C61" s="163"/>
      <c r="D61" s="163"/>
      <c r="E61" s="280" t="e">
        <f>C17*E59</f>
        <v>#N/A</v>
      </c>
      <c r="F61" s="280" t="e">
        <f>H17</f>
        <v>#N/A</v>
      </c>
      <c r="G61" s="281" t="e">
        <f>C17*G59</f>
        <v>#N/A</v>
      </c>
      <c r="H61" s="4"/>
      <c r="I61" s="4"/>
      <c r="J61" s="4"/>
    </row>
    <row r="62" spans="1:18" s="4" customFormat="1"/>
    <row r="63" spans="1:18" hidden="1">
      <c r="A63" s="414" t="s">
        <v>235</v>
      </c>
      <c r="B63" s="415"/>
      <c r="C63" s="86"/>
      <c r="D63" s="86"/>
      <c r="E63" s="86"/>
      <c r="F63" s="39"/>
      <c r="G63" s="39"/>
      <c r="H63" s="40"/>
      <c r="I63" s="40"/>
      <c r="J63" s="41"/>
    </row>
    <row r="64" spans="1:18" ht="57.75" hidden="1" customHeight="1">
      <c r="A64" s="42" t="s">
        <v>236</v>
      </c>
      <c r="B64" s="402" t="s">
        <v>237</v>
      </c>
      <c r="C64" s="402"/>
      <c r="D64" s="402"/>
      <c r="E64" s="402"/>
      <c r="F64" s="403"/>
      <c r="G64" s="403"/>
      <c r="H64" s="403"/>
      <c r="I64" s="403"/>
      <c r="J64" s="403"/>
    </row>
    <row r="65" spans="1:10" hidden="1">
      <c r="A65" s="43"/>
      <c r="B65" s="44"/>
      <c r="C65" s="44"/>
      <c r="D65" s="44"/>
      <c r="E65" s="44"/>
      <c r="F65" s="45"/>
      <c r="G65" s="45"/>
      <c r="H65" s="45"/>
      <c r="I65" s="45"/>
      <c r="J65" s="45"/>
    </row>
    <row r="66" spans="1:10" ht="58.5" hidden="1" customHeight="1">
      <c r="A66" s="42" t="s">
        <v>238</v>
      </c>
      <c r="B66" s="402" t="s">
        <v>239</v>
      </c>
      <c r="C66" s="402"/>
      <c r="D66" s="402"/>
      <c r="E66" s="402"/>
      <c r="F66" s="402"/>
      <c r="G66" s="402"/>
      <c r="H66" s="402"/>
      <c r="I66" s="402"/>
      <c r="J66" s="402"/>
    </row>
    <row r="67" spans="1:10" hidden="1">
      <c r="A67" s="43"/>
      <c r="B67" s="44"/>
      <c r="C67" s="44"/>
      <c r="D67" s="44"/>
      <c r="E67" s="44"/>
      <c r="F67" s="45"/>
      <c r="G67" s="45"/>
      <c r="H67" s="45"/>
      <c r="I67" s="45"/>
      <c r="J67" s="45"/>
    </row>
    <row r="68" spans="1:10" ht="28.5" hidden="1" customHeight="1">
      <c r="A68" s="42" t="s">
        <v>240</v>
      </c>
      <c r="B68" s="400" t="s">
        <v>241</v>
      </c>
      <c r="C68" s="400"/>
      <c r="D68" s="400"/>
      <c r="E68" s="400"/>
      <c r="F68" s="401"/>
      <c r="G68" s="401"/>
      <c r="H68" s="401"/>
      <c r="I68" s="401"/>
      <c r="J68" s="401"/>
    </row>
    <row r="69" spans="1:10" hidden="1">
      <c r="A69" s="43"/>
      <c r="B69" s="44"/>
      <c r="C69" s="44"/>
      <c r="D69" s="44"/>
      <c r="E69" s="44"/>
      <c r="F69" s="45"/>
      <c r="G69" s="45"/>
      <c r="H69" s="45"/>
      <c r="I69" s="45"/>
      <c r="J69" s="45"/>
    </row>
    <row r="70" spans="1:10" ht="51.75" hidden="1" customHeight="1">
      <c r="A70" s="42" t="s">
        <v>242</v>
      </c>
      <c r="B70" s="402" t="s">
        <v>243</v>
      </c>
      <c r="C70" s="402"/>
      <c r="D70" s="402"/>
      <c r="E70" s="402"/>
      <c r="F70" s="401"/>
      <c r="G70" s="401"/>
      <c r="H70" s="401"/>
      <c r="I70" s="401"/>
      <c r="J70" s="401"/>
    </row>
    <row r="71" spans="1:10" hidden="1">
      <c r="A71" s="43"/>
      <c r="B71" s="84"/>
      <c r="C71" s="84"/>
      <c r="D71" s="84"/>
      <c r="E71" s="84"/>
      <c r="F71" s="84"/>
      <c r="G71" s="84"/>
      <c r="H71" s="84"/>
      <c r="I71" s="84"/>
      <c r="J71" s="84"/>
    </row>
    <row r="72" spans="1:10" hidden="1">
      <c r="A72" s="42" t="s">
        <v>244</v>
      </c>
      <c r="B72" s="400" t="s">
        <v>245</v>
      </c>
      <c r="C72" s="400"/>
      <c r="D72" s="400"/>
      <c r="E72" s="400"/>
      <c r="F72" s="401"/>
      <c r="G72" s="401"/>
      <c r="H72" s="401"/>
      <c r="I72" s="401"/>
      <c r="J72" s="401"/>
    </row>
    <row r="73" spans="1:10" hidden="1">
      <c r="A73" s="43"/>
      <c r="B73" s="45"/>
      <c r="C73" s="45"/>
      <c r="D73" s="45"/>
      <c r="E73" s="45"/>
      <c r="F73" s="84"/>
      <c r="G73" s="84"/>
      <c r="H73" s="84"/>
      <c r="I73" s="84"/>
      <c r="J73" s="84"/>
    </row>
    <row r="74" spans="1:10" ht="47.25" hidden="1" customHeight="1">
      <c r="A74" s="42" t="s">
        <v>246</v>
      </c>
      <c r="B74" s="402" t="s">
        <v>247</v>
      </c>
      <c r="C74" s="402"/>
      <c r="D74" s="402"/>
      <c r="E74" s="402"/>
      <c r="F74" s="402"/>
      <c r="G74" s="402"/>
      <c r="H74" s="402"/>
      <c r="I74" s="402"/>
      <c r="J74" s="402"/>
    </row>
    <row r="75" spans="1:10" hidden="1">
      <c r="A75" s="43"/>
      <c r="B75" s="84"/>
      <c r="C75" s="84"/>
      <c r="D75" s="84"/>
      <c r="E75" s="84"/>
      <c r="F75" s="84"/>
      <c r="G75" s="84"/>
      <c r="H75" s="84"/>
      <c r="I75" s="84"/>
      <c r="J75" s="84"/>
    </row>
    <row r="76" spans="1:10" ht="71.25" hidden="1" customHeight="1">
      <c r="A76" s="46" t="s">
        <v>248</v>
      </c>
      <c r="B76" s="402" t="s">
        <v>249</v>
      </c>
      <c r="C76" s="402"/>
      <c r="D76" s="402"/>
      <c r="E76" s="402"/>
      <c r="F76" s="403"/>
      <c r="G76" s="403"/>
      <c r="H76" s="403"/>
      <c r="I76" s="403"/>
      <c r="J76" s="403"/>
    </row>
    <row r="77" spans="1:10" ht="12" hidden="1" customHeight="1">
      <c r="A77" s="43"/>
      <c r="B77" s="84"/>
      <c r="C77" s="84"/>
      <c r="D77" s="84"/>
      <c r="E77" s="84"/>
      <c r="F77" s="84"/>
      <c r="G77" s="84"/>
      <c r="H77" s="84"/>
      <c r="I77" s="84"/>
      <c r="J77" s="84"/>
    </row>
    <row r="78" spans="1:10" ht="85.5" hidden="1" customHeight="1">
      <c r="A78" s="42" t="s">
        <v>250</v>
      </c>
      <c r="B78" s="402" t="s">
        <v>251</v>
      </c>
      <c r="C78" s="402"/>
      <c r="D78" s="402"/>
      <c r="E78" s="402"/>
      <c r="F78" s="401"/>
      <c r="G78" s="401"/>
      <c r="H78" s="401"/>
      <c r="I78" s="401"/>
      <c r="J78" s="401"/>
    </row>
    <row r="79" spans="1:10" ht="12" hidden="1" customHeight="1">
      <c r="A79" s="43"/>
      <c r="B79" s="84"/>
      <c r="C79" s="84"/>
      <c r="D79" s="84"/>
      <c r="E79" s="84"/>
      <c r="F79" s="84"/>
      <c r="G79" s="84"/>
      <c r="H79" s="84"/>
      <c r="I79" s="84"/>
      <c r="J79" s="84"/>
    </row>
    <row r="80" spans="1:10" ht="12" hidden="1" customHeight="1">
      <c r="A80" s="47" t="s">
        <v>252</v>
      </c>
      <c r="B80" s="400" t="s">
        <v>253</v>
      </c>
      <c r="C80" s="400"/>
      <c r="D80" s="400"/>
      <c r="E80" s="400"/>
      <c r="F80" s="401"/>
      <c r="G80" s="401"/>
      <c r="H80" s="401"/>
      <c r="I80" s="401"/>
      <c r="J80" s="401"/>
    </row>
    <row r="81" spans="1:11" hidden="1">
      <c r="A81" s="43"/>
      <c r="B81" s="84"/>
      <c r="C81" s="84"/>
      <c r="D81" s="84"/>
      <c r="E81" s="84"/>
      <c r="F81" s="84"/>
      <c r="G81" s="84"/>
      <c r="H81" s="84"/>
      <c r="I81" s="84"/>
      <c r="J81" s="84"/>
    </row>
    <row r="82" spans="1:11" ht="27.75" hidden="1" customHeight="1">
      <c r="A82" s="47" t="s">
        <v>254</v>
      </c>
      <c r="B82" s="400" t="s">
        <v>255</v>
      </c>
      <c r="C82" s="400"/>
      <c r="D82" s="400"/>
      <c r="E82" s="400"/>
      <c r="F82" s="401"/>
      <c r="G82" s="401"/>
      <c r="H82" s="401"/>
      <c r="I82" s="401"/>
      <c r="J82" s="401"/>
    </row>
    <row r="83" spans="1:11" ht="12" hidden="1" customHeight="1">
      <c r="A83" s="47"/>
      <c r="B83" s="82"/>
      <c r="C83" s="82"/>
      <c r="D83" s="82"/>
      <c r="E83" s="82"/>
      <c r="F83" s="83"/>
      <c r="G83" s="83"/>
      <c r="H83" s="83"/>
      <c r="I83" s="83"/>
      <c r="J83" s="83"/>
    </row>
    <row r="84" spans="1:11" ht="45" hidden="1" customHeight="1">
      <c r="A84" s="47" t="s">
        <v>256</v>
      </c>
      <c r="B84" s="400" t="s">
        <v>257</v>
      </c>
      <c r="C84" s="400"/>
      <c r="D84" s="400"/>
      <c r="E84" s="400"/>
      <c r="F84" s="401"/>
      <c r="G84" s="401"/>
      <c r="H84" s="401"/>
      <c r="I84" s="401"/>
      <c r="J84" s="401"/>
    </row>
    <row r="85" spans="1:11">
      <c r="A85" s="167" t="s">
        <v>1920</v>
      </c>
      <c r="B85" s="168"/>
      <c r="C85" s="168"/>
      <c r="D85" s="168"/>
      <c r="E85" s="169" t="s">
        <v>705</v>
      </c>
      <c r="F85" s="170" t="s">
        <v>706</v>
      </c>
      <c r="G85" s="4"/>
    </row>
    <row r="86" spans="1:11">
      <c r="A86" s="164" t="s">
        <v>707</v>
      </c>
      <c r="B86" s="16"/>
      <c r="C86" s="16"/>
      <c r="D86" s="16"/>
      <c r="E86" s="172" t="e">
        <f>ROUND(IF(J17&gt;J26,J17-J26,0),0)</f>
        <v>#N/A</v>
      </c>
      <c r="F86" s="174" t="e">
        <f>ROUND(IF(J26&gt;J17,J26-J17,0),0)</f>
        <v>#N/A</v>
      </c>
      <c r="G86" s="4"/>
      <c r="H86" s="2"/>
      <c r="K86" s="2"/>
    </row>
    <row r="87" spans="1:11">
      <c r="A87" s="164" t="s">
        <v>708</v>
      </c>
      <c r="B87" s="21"/>
      <c r="C87" s="16"/>
      <c r="D87" s="16"/>
      <c r="E87" s="172" t="e">
        <f>ROUND(IF(L17&gt;L26,L17-L26,0),0)</f>
        <v>#N/A</v>
      </c>
      <c r="F87" s="174" t="e">
        <f>ROUND(IF(L26&gt;L17,L26-L17,0),0)</f>
        <v>#N/A</v>
      </c>
      <c r="G87" s="4"/>
      <c r="H87" s="2"/>
    </row>
    <row r="88" spans="1:11">
      <c r="A88" s="164" t="s">
        <v>709</v>
      </c>
      <c r="B88" s="21"/>
      <c r="C88" s="16"/>
      <c r="D88" s="16"/>
      <c r="E88" s="172" t="e">
        <f>ROUND(IF(K17&gt;(K26-P26),(K17-(K26-P26)),0),0)</f>
        <v>#N/A</v>
      </c>
      <c r="F88" s="174" t="e">
        <f>ROUND(IF((K26-P26)&gt;K17,K26-P26-K17,0),0)</f>
        <v>#N/A</v>
      </c>
      <c r="G88" s="4"/>
      <c r="K88" s="2"/>
    </row>
    <row r="89" spans="1:11">
      <c r="A89" s="164" t="s">
        <v>710</v>
      </c>
      <c r="B89" s="21"/>
      <c r="C89" s="16"/>
      <c r="D89" s="16"/>
      <c r="E89" s="172" t="e">
        <f>ROUND(IF(M17&gt;M26,M17-M26,0),0)</f>
        <v>#N/A</v>
      </c>
      <c r="F89" s="174" t="e">
        <f>ROUND(IF(M26&gt;M17,M26-M17,0),0)</f>
        <v>#N/A</v>
      </c>
      <c r="G89" s="4"/>
      <c r="I89" s="2"/>
    </row>
    <row r="90" spans="1:11">
      <c r="A90" s="164" t="s">
        <v>711</v>
      </c>
      <c r="B90" s="21"/>
      <c r="C90" s="16"/>
      <c r="D90" s="16"/>
      <c r="E90" s="172" t="e">
        <f>ROUND(IF(O26&gt;O17,O26-O17,0),0)</f>
        <v>#N/A</v>
      </c>
      <c r="F90" s="174" t="e">
        <f>ROUND(IF(O17&gt;O26,O17-O26,0),0)</f>
        <v>#N/A</v>
      </c>
      <c r="G90" s="4"/>
    </row>
    <row r="91" spans="1:11">
      <c r="A91" s="164" t="s">
        <v>712</v>
      </c>
      <c r="B91" s="21"/>
      <c r="C91" s="16"/>
      <c r="D91" s="16"/>
      <c r="E91" s="172" t="e">
        <f>ROUND(IF(Q26&gt;Q17,Q26-Q17,0),0)</f>
        <v>#N/A</v>
      </c>
      <c r="F91" s="174" t="e">
        <f>ROUND(IF(Q19&gt;Q26,Q19-Q26,0),0)</f>
        <v>#N/A</v>
      </c>
      <c r="G91" s="4"/>
    </row>
    <row r="92" spans="1:11">
      <c r="A92" s="164" t="s">
        <v>713</v>
      </c>
      <c r="B92" s="60"/>
      <c r="C92" s="60"/>
      <c r="D92" s="60"/>
      <c r="E92" s="172" t="e">
        <f>IF((P26-K26)&gt;P17,P26-K26-P17,0)</f>
        <v>#N/A</v>
      </c>
      <c r="F92" s="174" t="e">
        <f>IF(P17&gt;(ABS(P26-K26)),P17-(P26-K26),0)</f>
        <v>#N/A</v>
      </c>
      <c r="G92" s="4"/>
    </row>
    <row r="93" spans="1:11">
      <c r="A93" s="164" t="s">
        <v>714</v>
      </c>
      <c r="B93" s="14"/>
      <c r="C93" s="14"/>
      <c r="D93" s="14"/>
      <c r="E93" s="172" t="e">
        <f>ROUND(IF(R17&lt;R26,R26-R17,0),0)</f>
        <v>#N/A</v>
      </c>
      <c r="F93" s="174" t="e">
        <f>ROUND(IF(R17&gt;R26,R17-R26,0),0)</f>
        <v>#N/A</v>
      </c>
      <c r="G93" s="4"/>
    </row>
    <row r="94" spans="1:11">
      <c r="A94" s="164" t="s">
        <v>718</v>
      </c>
      <c r="B94" s="14"/>
      <c r="C94" s="14"/>
      <c r="D94" s="14"/>
      <c r="E94" s="172">
        <f>Info!C33</f>
        <v>0</v>
      </c>
      <c r="F94" s="175">
        <f>Info!C29</f>
        <v>0</v>
      </c>
      <c r="G94" s="4"/>
    </row>
    <row r="95" spans="1:11">
      <c r="A95" s="164" t="s">
        <v>723</v>
      </c>
      <c r="B95" s="14"/>
      <c r="C95" s="14"/>
      <c r="D95" s="14"/>
      <c r="E95" s="172">
        <v>0</v>
      </c>
      <c r="F95" s="174">
        <f>Info!C33+Info!C31</f>
        <v>0</v>
      </c>
      <c r="G95" s="4"/>
    </row>
    <row r="96" spans="1:11" hidden="1">
      <c r="A96" s="164" t="s">
        <v>716</v>
      </c>
      <c r="B96" s="14"/>
      <c r="C96" s="14"/>
      <c r="D96" s="14"/>
      <c r="E96" s="172" t="e">
        <f>IF(V17&gt;=0,V17,0)</f>
        <v>#N/A</v>
      </c>
      <c r="F96" s="176" t="e">
        <f>IF(V17&lt;0,-V17,0)</f>
        <v>#N/A</v>
      </c>
      <c r="G96" s="4"/>
    </row>
    <row r="97" spans="1:8" hidden="1">
      <c r="A97" s="164" t="s">
        <v>717</v>
      </c>
      <c r="B97" s="14"/>
      <c r="C97" s="14"/>
      <c r="D97" s="14"/>
      <c r="E97" s="172" t="e">
        <f>IF((Info!C29+Info!C31)&gt;'JE Template 2020'!F17,(Info!C29+Info!C31-'JE Template 2020'!F17),0)</f>
        <v>#N/A</v>
      </c>
      <c r="F97" s="177" t="e">
        <f>IF((Info!C29+Info!C31)&lt;'JE Template 2020'!F17,'JE Template 2020'!F17-(Info!C29+Info!C31),0)</f>
        <v>#N/A</v>
      </c>
      <c r="G97" s="4"/>
    </row>
    <row r="98" spans="1:8">
      <c r="A98" s="164" t="s">
        <v>272</v>
      </c>
      <c r="B98" s="14"/>
      <c r="C98" s="14"/>
      <c r="D98" s="14"/>
      <c r="E98" s="172" t="e">
        <f>ROUND(IF(SUM((E96:E97))&gt;SUM((F96:F97)),(SUM(E96:E97))-(SUM(F96:F97)),0),0)</f>
        <v>#N/A</v>
      </c>
      <c r="F98" s="174" t="e">
        <f>ROUND(IF((SUM(F96:F97))&gt;(SUM(E96:E97)), (SUM(F96:F97))-(SUM(E96:E97)),0),0)</f>
        <v>#N/A</v>
      </c>
      <c r="G98" s="4"/>
    </row>
    <row r="99" spans="1:8">
      <c r="A99" s="164" t="s">
        <v>271</v>
      </c>
      <c r="B99" s="14"/>
      <c r="C99" s="14"/>
      <c r="D99" s="14"/>
      <c r="E99" s="172" t="e">
        <f>ROUND(IF(G17&gt;H17,G17-H17,0),0)</f>
        <v>#N/A</v>
      </c>
      <c r="F99" s="175" t="e">
        <f>ROUND(IF(H17&lt;G17,0,H17-G17),0)</f>
        <v>#N/A</v>
      </c>
      <c r="G99" s="4"/>
    </row>
    <row r="100" spans="1:8">
      <c r="A100" s="165" t="s">
        <v>715</v>
      </c>
      <c r="B100" s="59"/>
      <c r="C100" s="59"/>
      <c r="D100" s="59"/>
      <c r="E100" s="173" t="e">
        <f>SUM(E86:E99)-E96-E97</f>
        <v>#N/A</v>
      </c>
      <c r="F100" s="166" t="e">
        <f>SUM(F86:F99)-F96-F97</f>
        <v>#N/A</v>
      </c>
      <c r="G100" s="75" t="e">
        <f>IF((ROUND(E100,0)=(ROUND(F100,0)))," ",CONCATENATE((TEXT((ABS(E100-F100)),"$#,##_);($#,##)"))," rounding"))</f>
        <v>#N/A</v>
      </c>
      <c r="H100" s="297"/>
    </row>
    <row r="101" spans="1:8">
      <c r="G101" s="73"/>
    </row>
    <row r="103" spans="1:8">
      <c r="G103" s="73"/>
    </row>
  </sheetData>
  <sheetProtection password="CEAA" sheet="1" objects="1" scenarios="1"/>
  <mergeCells count="15">
    <mergeCell ref="D34:G34"/>
    <mergeCell ref="B82:J82"/>
    <mergeCell ref="B84:J84"/>
    <mergeCell ref="B70:J70"/>
    <mergeCell ref="B72:J72"/>
    <mergeCell ref="B74:J74"/>
    <mergeCell ref="B76:J76"/>
    <mergeCell ref="B78:J78"/>
    <mergeCell ref="B80:J80"/>
    <mergeCell ref="B68:J68"/>
    <mergeCell ref="J36:K36"/>
    <mergeCell ref="H38:K41"/>
    <mergeCell ref="A63:B63"/>
    <mergeCell ref="B64:J64"/>
    <mergeCell ref="B66:J66"/>
  </mergeCells>
  <conditionalFormatting sqref="A58:G61">
    <cfRule type="expression" dxfId="9" priority="2">
      <formula>MOD(ROW(),2)</formula>
    </cfRule>
  </conditionalFormatting>
  <conditionalFormatting sqref="A36:F45">
    <cfRule type="expression" dxfId="8" priority="8">
      <formula>MOD(ROW(),2)</formula>
    </cfRule>
  </conditionalFormatting>
  <conditionalFormatting sqref="A47:D56">
    <cfRule type="expression" dxfId="7" priority="4">
      <formula>MOD(ROW(),2)=0</formula>
    </cfRule>
  </conditionalFormatting>
  <conditionalFormatting sqref="A31:C34">
    <cfRule type="expression" dxfId="6" priority="3">
      <formula>MOD(ROW(),2)=0</formula>
    </cfRule>
  </conditionalFormatting>
  <conditionalFormatting sqref="A85:F100">
    <cfRule type="expression" dxfId="5" priority="1">
      <formula>MOD(ROW(),2)=0</formula>
    </cfRule>
  </conditionalFormatting>
  <pageMargins left="0.7" right="0.7" top="0.75" bottom="0.75" header="0.3" footer="0.3"/>
  <pageSetup scale="61" fitToHeight="8"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EA2ED-0C0A-474B-B730-F8F8EE892924}">
  <sheetPr>
    <pageSetUpPr fitToPage="1"/>
  </sheetPr>
  <dimension ref="A1:U1915"/>
  <sheetViews>
    <sheetView zoomScale="90" zoomScaleNormal="90" workbookViewId="0">
      <pane ySplit="7" topLeftCell="A8" activePane="bottomLeft" state="frozen"/>
      <selection activeCell="B12" sqref="B12"/>
      <selection pane="bottomLeft" activeCell="A8" sqref="A8"/>
    </sheetView>
  </sheetViews>
  <sheetFormatPr defaultRowHeight="15"/>
  <cols>
    <col min="1" max="1" width="10.5703125" style="230" customWidth="1"/>
    <col min="2" max="2" width="48.85546875" style="230" customWidth="1"/>
    <col min="3" max="3" width="13.85546875" style="230" customWidth="1"/>
    <col min="4" max="4" width="13.85546875" style="239" customWidth="1"/>
    <col min="5" max="5" width="30.140625" style="230" customWidth="1"/>
    <col min="6" max="6" width="3.85546875" style="230" customWidth="1"/>
    <col min="7" max="7" width="18.28515625" style="230" customWidth="1"/>
    <col min="8" max="8" width="20" style="94" customWidth="1"/>
    <col min="9" max="9" width="16.85546875" style="230" customWidth="1"/>
    <col min="10" max="10" width="19.42578125" style="230" customWidth="1"/>
    <col min="11" max="11" width="20" style="94" customWidth="1"/>
    <col min="12" max="12" width="3.85546875" style="230" customWidth="1"/>
    <col min="13" max="13" width="18.28515625" style="230" customWidth="1"/>
    <col min="14" max="14" width="11.85546875" style="230" customWidth="1"/>
    <col min="15" max="15" width="19.42578125" style="230" customWidth="1"/>
    <col min="16" max="16" width="20" style="94" customWidth="1"/>
    <col min="17" max="17" width="3.85546875" style="230" customWidth="1"/>
    <col min="18" max="18" width="21.140625" style="230" bestFit="1" customWidth="1"/>
    <col min="19" max="19" width="22.42578125" style="230" customWidth="1"/>
    <col min="20" max="20" width="19.140625" style="230" bestFit="1" customWidth="1"/>
    <col min="21" max="21" width="13.28515625" style="230" bestFit="1" customWidth="1"/>
    <col min="22" max="16384" width="9.140625" style="230"/>
  </cols>
  <sheetData>
    <row r="1" spans="1:21" ht="30">
      <c r="A1" s="230" t="str">
        <f>+'Changes to Update Template '!C43</f>
        <v>Measurement date 6/30/2019</v>
      </c>
      <c r="C1" s="375"/>
      <c r="D1" s="356" t="s">
        <v>3745</v>
      </c>
      <c r="E1" s="331" t="s">
        <v>3746</v>
      </c>
      <c r="G1" s="363" t="s">
        <v>3747</v>
      </c>
      <c r="H1" s="230"/>
    </row>
    <row r="2" spans="1:21">
      <c r="A2" s="230" t="s">
        <v>1926</v>
      </c>
      <c r="C2" s="346">
        <f>+C4-C3</f>
        <v>0</v>
      </c>
      <c r="D2" s="346">
        <f>+D4-D3</f>
        <v>0</v>
      </c>
      <c r="E2" s="237">
        <f>+E4-E3</f>
        <v>0</v>
      </c>
      <c r="G2" s="237">
        <f>+G4-G3</f>
        <v>0</v>
      </c>
      <c r="H2" s="237">
        <f>+H4-H3</f>
        <v>0</v>
      </c>
      <c r="I2" s="237">
        <f>+I4-I3</f>
        <v>0</v>
      </c>
      <c r="J2" s="237">
        <f>+J4-J3</f>
        <v>0</v>
      </c>
      <c r="K2" s="237">
        <f>+K4-K3</f>
        <v>0</v>
      </c>
      <c r="M2" s="237">
        <f>+M4-M3</f>
        <v>0</v>
      </c>
      <c r="N2" s="237">
        <f>+N4-N3</f>
        <v>0</v>
      </c>
      <c r="O2" s="237">
        <f>+O4-O3</f>
        <v>0</v>
      </c>
      <c r="P2" s="237">
        <f>+P4-P3</f>
        <v>0</v>
      </c>
      <c r="R2" s="237">
        <f>+R4-R3</f>
        <v>0</v>
      </c>
      <c r="S2" s="237">
        <f>+S4-S3</f>
        <v>0</v>
      </c>
      <c r="T2" s="237">
        <f>+T4-T3</f>
        <v>0</v>
      </c>
    </row>
    <row r="3" spans="1:21" s="100" customFormat="1">
      <c r="A3" s="95"/>
      <c r="B3" s="56" t="s">
        <v>715</v>
      </c>
      <c r="C3" s="327">
        <f>SUM(C8:C925)-C24-C25-C27-C28-C29-C21-C22-C31-C32-C34-C35</f>
        <v>1.0000000000000004</v>
      </c>
      <c r="D3" s="327">
        <f>SUM(D8:D925)-D24-D25-D27-D28-D29-D21-D22-D31-D32-D34-D35</f>
        <v>0.99999999999999978</v>
      </c>
      <c r="E3" s="253">
        <f>SUM(E8:E925)-E24-E25-E27-E28-E29-E21-E22-E31-E32-E34-E35</f>
        <v>2730922015</v>
      </c>
      <c r="F3" s="253"/>
      <c r="G3" s="253">
        <f t="shared" ref="G3:T3" si="0">SUM(G8:G925)-G24-G25-G27-G28-G29-G21-G22-G31-G32-G34-G35</f>
        <v>467603002</v>
      </c>
      <c r="H3" s="253">
        <f t="shared" si="0"/>
        <v>66610997</v>
      </c>
      <c r="I3" s="253">
        <f t="shared" si="0"/>
        <v>445095014</v>
      </c>
      <c r="J3" s="253">
        <f t="shared" si="0"/>
        <v>38373065</v>
      </c>
      <c r="K3" s="253">
        <f t="shared" si="0"/>
        <v>1017682078</v>
      </c>
      <c r="L3" s="253"/>
      <c r="M3" s="253">
        <f t="shared" si="0"/>
        <v>0</v>
      </c>
      <c r="N3" s="253">
        <f t="shared" si="0"/>
        <v>0</v>
      </c>
      <c r="O3" s="253">
        <f t="shared" si="0"/>
        <v>38372960</v>
      </c>
      <c r="P3" s="253">
        <f t="shared" si="0"/>
        <v>38372960</v>
      </c>
      <c r="Q3" s="253"/>
      <c r="R3" s="253">
        <f t="shared" si="0"/>
        <v>1216512993</v>
      </c>
      <c r="S3" s="253">
        <f t="shared" si="0"/>
        <v>24</v>
      </c>
      <c r="T3" s="253">
        <f t="shared" si="0"/>
        <v>1216513017</v>
      </c>
      <c r="U3" s="97"/>
    </row>
    <row r="4" spans="1:21" s="100" customFormat="1">
      <c r="A4" s="95"/>
      <c r="B4" s="56" t="s">
        <v>3522</v>
      </c>
      <c r="C4" s="327">
        <v>1</v>
      </c>
      <c r="D4" s="327">
        <v>1.0000000000000002</v>
      </c>
      <c r="E4" s="253">
        <v>2730922015</v>
      </c>
      <c r="F4" s="97"/>
      <c r="G4" s="97">
        <v>467603002</v>
      </c>
      <c r="H4" s="242">
        <v>66610997</v>
      </c>
      <c r="I4" s="97">
        <v>445095014</v>
      </c>
      <c r="J4" s="97">
        <v>38373065</v>
      </c>
      <c r="K4" s="242">
        <v>1017682078</v>
      </c>
      <c r="L4" s="97"/>
      <c r="M4" s="97">
        <v>0</v>
      </c>
      <c r="N4" s="97">
        <v>0</v>
      </c>
      <c r="O4" s="97">
        <v>38372960</v>
      </c>
      <c r="P4" s="99">
        <v>38372960</v>
      </c>
      <c r="Q4" s="98"/>
      <c r="R4" s="98">
        <v>1216512993</v>
      </c>
      <c r="S4" s="98">
        <v>24</v>
      </c>
      <c r="T4" s="98">
        <v>1216513017</v>
      </c>
    </row>
    <row r="5" spans="1:21">
      <c r="B5">
        <f>COUNT(B9:B926)</f>
        <v>0</v>
      </c>
      <c r="H5" s="230"/>
    </row>
    <row r="6" spans="1:21">
      <c r="G6" s="88" t="s">
        <v>2</v>
      </c>
      <c r="H6" s="88"/>
      <c r="I6" s="88"/>
      <c r="J6" s="88"/>
      <c r="K6" s="89"/>
      <c r="M6" s="88" t="s">
        <v>3</v>
      </c>
      <c r="N6" s="88"/>
      <c r="O6" s="88"/>
      <c r="P6" s="89"/>
      <c r="R6" s="88" t="s">
        <v>4</v>
      </c>
      <c r="S6" s="88"/>
      <c r="T6" s="88"/>
    </row>
    <row r="7" spans="1:21" ht="120">
      <c r="A7" s="90" t="s">
        <v>0</v>
      </c>
      <c r="B7" s="90" t="s">
        <v>1</v>
      </c>
      <c r="C7" s="90" t="s">
        <v>263</v>
      </c>
      <c r="D7" s="90" t="s">
        <v>264</v>
      </c>
      <c r="E7" s="90" t="s">
        <v>724</v>
      </c>
      <c r="F7" s="90"/>
      <c r="G7" s="90" t="s">
        <v>5</v>
      </c>
      <c r="H7" s="91" t="s">
        <v>6</v>
      </c>
      <c r="I7" s="90" t="s">
        <v>7</v>
      </c>
      <c r="J7" s="90" t="s">
        <v>8</v>
      </c>
      <c r="K7" s="91" t="s">
        <v>725</v>
      </c>
      <c r="L7" s="90"/>
      <c r="M7" s="90" t="s">
        <v>5</v>
      </c>
      <c r="N7" s="90" t="s">
        <v>7</v>
      </c>
      <c r="O7" s="90" t="s">
        <v>8</v>
      </c>
      <c r="P7" s="91" t="s">
        <v>726</v>
      </c>
      <c r="Q7" s="90"/>
      <c r="R7" s="90" t="s">
        <v>9</v>
      </c>
      <c r="S7" s="90" t="s">
        <v>10</v>
      </c>
      <c r="T7" s="90" t="s">
        <v>11</v>
      </c>
    </row>
    <row r="8" spans="1:21">
      <c r="A8" s="362">
        <v>91414</v>
      </c>
      <c r="B8" s="363" t="s">
        <v>3636</v>
      </c>
      <c r="C8" s="239">
        <v>2.2200000000000001E-5</v>
      </c>
      <c r="D8" s="239">
        <v>0</v>
      </c>
      <c r="E8" s="329">
        <v>60626</v>
      </c>
      <c r="F8" s="329"/>
      <c r="G8" s="329">
        <v>10381</v>
      </c>
      <c r="H8" s="329">
        <v>1478</v>
      </c>
      <c r="I8" s="329">
        <v>9881</v>
      </c>
      <c r="J8" s="329">
        <v>17022</v>
      </c>
      <c r="K8" s="329">
        <v>38762</v>
      </c>
      <c r="L8" s="329"/>
      <c r="M8" s="329">
        <v>0</v>
      </c>
      <c r="N8" s="329">
        <v>0</v>
      </c>
      <c r="O8" s="329">
        <v>0</v>
      </c>
      <c r="P8" s="329">
        <v>0</v>
      </c>
      <c r="Q8" s="329"/>
      <c r="R8" s="329">
        <v>27007</v>
      </c>
      <c r="S8" s="329">
        <v>4255</v>
      </c>
      <c r="T8" s="329">
        <v>31262</v>
      </c>
    </row>
    <row r="9" spans="1:21">
      <c r="A9" s="364">
        <v>97302</v>
      </c>
      <c r="B9" s="363" t="s">
        <v>3639</v>
      </c>
      <c r="C9" s="239">
        <v>0</v>
      </c>
      <c r="D9" s="239">
        <v>0</v>
      </c>
      <c r="E9" s="329">
        <v>0</v>
      </c>
      <c r="F9" s="329"/>
      <c r="G9" s="329">
        <v>0</v>
      </c>
      <c r="H9" s="329">
        <v>0</v>
      </c>
      <c r="I9" s="329">
        <v>0</v>
      </c>
      <c r="J9" s="329">
        <v>10885</v>
      </c>
      <c r="K9" s="329">
        <v>10885</v>
      </c>
      <c r="L9" s="329"/>
      <c r="M9" s="329">
        <v>0</v>
      </c>
      <c r="N9" s="329">
        <v>0</v>
      </c>
      <c r="O9" s="329">
        <v>0</v>
      </c>
      <c r="P9" s="329">
        <v>0</v>
      </c>
      <c r="Q9" s="329"/>
      <c r="R9" s="329">
        <v>0</v>
      </c>
      <c r="S9" s="329">
        <v>2721</v>
      </c>
      <c r="T9" s="329">
        <v>2721</v>
      </c>
    </row>
    <row r="10" spans="1:21">
      <c r="A10" s="330">
        <v>92414</v>
      </c>
      <c r="B10" s="331" t="s">
        <v>70</v>
      </c>
      <c r="C10" s="239">
        <v>0</v>
      </c>
      <c r="D10" s="239">
        <v>0</v>
      </c>
      <c r="E10" s="329">
        <v>0</v>
      </c>
      <c r="F10" s="329"/>
      <c r="G10" s="329">
        <v>0</v>
      </c>
      <c r="H10" s="329">
        <v>0</v>
      </c>
      <c r="I10" s="329">
        <v>0</v>
      </c>
      <c r="J10" s="329">
        <v>0</v>
      </c>
      <c r="K10" s="329">
        <v>0</v>
      </c>
      <c r="L10" s="329"/>
      <c r="M10" s="329">
        <v>0</v>
      </c>
      <c r="N10" s="329">
        <v>0</v>
      </c>
      <c r="O10" s="329">
        <v>1184</v>
      </c>
      <c r="P10" s="329">
        <v>1184</v>
      </c>
      <c r="Q10" s="329"/>
      <c r="R10" s="329">
        <v>0</v>
      </c>
      <c r="S10" s="329">
        <v>-2085</v>
      </c>
      <c r="T10" s="329">
        <v>-2085</v>
      </c>
    </row>
    <row r="11" spans="1:21" ht="30">
      <c r="A11" s="330">
        <v>92608</v>
      </c>
      <c r="B11" s="331" t="s">
        <v>3737</v>
      </c>
      <c r="C11" s="239">
        <v>0</v>
      </c>
      <c r="D11" s="239">
        <v>0</v>
      </c>
      <c r="E11" s="329">
        <v>0</v>
      </c>
      <c r="F11" s="329"/>
      <c r="G11" s="329">
        <v>0</v>
      </c>
      <c r="H11" s="329">
        <v>0</v>
      </c>
      <c r="I11" s="329">
        <v>0</v>
      </c>
      <c r="J11" s="329">
        <v>0</v>
      </c>
      <c r="K11" s="329">
        <v>0</v>
      </c>
      <c r="L11" s="329"/>
      <c r="M11" s="329">
        <v>0</v>
      </c>
      <c r="N11" s="329">
        <v>0</v>
      </c>
      <c r="O11" s="329">
        <v>0</v>
      </c>
      <c r="P11" s="329">
        <v>0</v>
      </c>
      <c r="Q11" s="329"/>
      <c r="R11" s="329">
        <v>0</v>
      </c>
      <c r="S11" s="329">
        <v>-752</v>
      </c>
      <c r="T11" s="329">
        <v>-752</v>
      </c>
    </row>
    <row r="12" spans="1:21">
      <c r="A12" s="330">
        <v>93202</v>
      </c>
      <c r="B12" s="365" t="s">
        <v>1022</v>
      </c>
      <c r="C12" s="239">
        <v>0</v>
      </c>
      <c r="D12" s="239">
        <v>0</v>
      </c>
      <c r="E12" s="329">
        <v>0</v>
      </c>
      <c r="F12" s="329"/>
      <c r="G12" s="329">
        <v>0</v>
      </c>
      <c r="H12" s="329">
        <v>0</v>
      </c>
      <c r="I12" s="329">
        <v>0</v>
      </c>
      <c r="J12" s="329">
        <v>0</v>
      </c>
      <c r="K12" s="329">
        <v>0</v>
      </c>
      <c r="L12" s="329"/>
      <c r="M12" s="329">
        <v>0</v>
      </c>
      <c r="N12" s="329">
        <v>0</v>
      </c>
      <c r="O12" s="329">
        <v>25055</v>
      </c>
      <c r="P12" s="329">
        <v>25055</v>
      </c>
      <c r="Q12" s="329"/>
      <c r="R12" s="329">
        <v>0</v>
      </c>
      <c r="S12" s="329">
        <v>-78126</v>
      </c>
      <c r="T12" s="329">
        <v>-78126</v>
      </c>
    </row>
    <row r="13" spans="1:21">
      <c r="A13" s="330">
        <v>93402</v>
      </c>
      <c r="B13" s="365" t="s">
        <v>1041</v>
      </c>
      <c r="C13" s="239">
        <v>0</v>
      </c>
      <c r="D13" s="239">
        <v>9.6399999999999999E-5</v>
      </c>
      <c r="E13" s="329">
        <v>0</v>
      </c>
      <c r="F13" s="329"/>
      <c r="G13" s="329">
        <v>0</v>
      </c>
      <c r="H13" s="329">
        <v>0</v>
      </c>
      <c r="I13" s="329">
        <v>0</v>
      </c>
      <c r="J13" s="329">
        <v>0</v>
      </c>
      <c r="K13" s="329">
        <v>0</v>
      </c>
      <c r="L13" s="329"/>
      <c r="M13" s="329">
        <v>0</v>
      </c>
      <c r="N13" s="329">
        <v>0</v>
      </c>
      <c r="O13" s="329">
        <v>72060</v>
      </c>
      <c r="P13" s="329">
        <v>72060</v>
      </c>
      <c r="Q13" s="329"/>
      <c r="R13" s="329">
        <v>0</v>
      </c>
      <c r="S13" s="329">
        <v>-17741</v>
      </c>
      <c r="T13" s="329">
        <v>-17741</v>
      </c>
    </row>
    <row r="14" spans="1:21">
      <c r="A14" s="330">
        <v>93408</v>
      </c>
      <c r="B14" s="365" t="s">
        <v>1043</v>
      </c>
      <c r="C14" s="239">
        <v>0</v>
      </c>
      <c r="D14" s="239">
        <v>0</v>
      </c>
      <c r="E14" s="329">
        <v>0</v>
      </c>
      <c r="F14" s="329"/>
      <c r="G14" s="329">
        <v>0</v>
      </c>
      <c r="H14" s="329">
        <v>0</v>
      </c>
      <c r="I14" s="329">
        <v>0</v>
      </c>
      <c r="J14" s="329">
        <v>0</v>
      </c>
      <c r="K14" s="329">
        <v>0</v>
      </c>
      <c r="L14" s="329"/>
      <c r="M14" s="329">
        <v>0</v>
      </c>
      <c r="N14" s="329">
        <v>0</v>
      </c>
      <c r="O14" s="329">
        <v>724296</v>
      </c>
      <c r="P14" s="329">
        <v>724296</v>
      </c>
      <c r="Q14" s="329"/>
      <c r="R14" s="329">
        <v>0</v>
      </c>
      <c r="S14" s="329">
        <v>-413845</v>
      </c>
      <c r="T14" s="329">
        <v>-413845</v>
      </c>
    </row>
    <row r="15" spans="1:21">
      <c r="A15" s="330">
        <v>94402</v>
      </c>
      <c r="B15" s="365" t="s">
        <v>1139</v>
      </c>
      <c r="C15" s="239">
        <v>0</v>
      </c>
      <c r="D15" s="239">
        <v>0</v>
      </c>
      <c r="E15" s="329">
        <v>0</v>
      </c>
      <c r="F15" s="329"/>
      <c r="G15" s="329">
        <v>0</v>
      </c>
      <c r="H15" s="329">
        <v>0</v>
      </c>
      <c r="I15" s="329">
        <v>0</v>
      </c>
      <c r="J15" s="329">
        <v>0</v>
      </c>
      <c r="K15" s="329">
        <v>0</v>
      </c>
      <c r="L15" s="329"/>
      <c r="M15" s="329">
        <v>0</v>
      </c>
      <c r="N15" s="329">
        <v>0</v>
      </c>
      <c r="O15" s="329">
        <v>0</v>
      </c>
      <c r="P15" s="329">
        <v>0</v>
      </c>
      <c r="Q15" s="329"/>
      <c r="R15" s="329">
        <v>0</v>
      </c>
      <c r="S15" s="329">
        <v>-767649</v>
      </c>
      <c r="T15" s="329">
        <v>-767649</v>
      </c>
    </row>
    <row r="16" spans="1:21">
      <c r="A16" s="330">
        <v>94512</v>
      </c>
      <c r="B16" s="365" t="s">
        <v>1151</v>
      </c>
      <c r="C16" s="239">
        <v>0</v>
      </c>
      <c r="D16" s="239">
        <v>0</v>
      </c>
      <c r="E16" s="329">
        <v>0</v>
      </c>
      <c r="F16" s="329"/>
      <c r="G16" s="329">
        <v>0</v>
      </c>
      <c r="H16" s="329">
        <v>0</v>
      </c>
      <c r="I16" s="329">
        <v>0</v>
      </c>
      <c r="J16" s="329">
        <v>0</v>
      </c>
      <c r="K16" s="329">
        <v>0</v>
      </c>
      <c r="L16" s="329"/>
      <c r="M16" s="329">
        <v>0</v>
      </c>
      <c r="N16" s="329">
        <v>0</v>
      </c>
      <c r="O16" s="329">
        <v>0</v>
      </c>
      <c r="P16" s="329">
        <v>0</v>
      </c>
      <c r="Q16" s="329"/>
      <c r="R16" s="329">
        <v>0</v>
      </c>
      <c r="S16" s="329">
        <v>-59923</v>
      </c>
      <c r="T16" s="329">
        <v>-59923</v>
      </c>
    </row>
    <row r="17" spans="1:20">
      <c r="A17" s="330">
        <v>94606</v>
      </c>
      <c r="B17" s="365" t="s">
        <v>1162</v>
      </c>
      <c r="C17" s="239">
        <v>0</v>
      </c>
      <c r="D17" s="239">
        <v>1.9019999999999999E-4</v>
      </c>
      <c r="E17" s="329">
        <v>0</v>
      </c>
      <c r="F17" s="329"/>
      <c r="G17" s="329">
        <v>0</v>
      </c>
      <c r="H17" s="329">
        <v>0</v>
      </c>
      <c r="I17" s="329">
        <v>0</v>
      </c>
      <c r="J17" s="329">
        <v>0</v>
      </c>
      <c r="K17" s="329">
        <v>0</v>
      </c>
      <c r="L17" s="329"/>
      <c r="M17" s="329">
        <v>0</v>
      </c>
      <c r="N17" s="329">
        <v>0</v>
      </c>
      <c r="O17" s="329">
        <v>194185</v>
      </c>
      <c r="P17" s="329">
        <v>194185</v>
      </c>
      <c r="Q17" s="329"/>
      <c r="R17" s="329">
        <v>0</v>
      </c>
      <c r="S17" s="329">
        <v>-60935</v>
      </c>
      <c r="T17" s="329">
        <v>-60935</v>
      </c>
    </row>
    <row r="18" spans="1:20">
      <c r="A18" s="330">
        <v>95412</v>
      </c>
      <c r="B18" s="365" t="s">
        <v>3738</v>
      </c>
      <c r="C18" s="239">
        <v>0</v>
      </c>
      <c r="D18" s="239">
        <v>0</v>
      </c>
      <c r="E18" s="329">
        <v>0</v>
      </c>
      <c r="F18" s="329"/>
      <c r="G18" s="329">
        <v>0</v>
      </c>
      <c r="H18" s="329">
        <v>0</v>
      </c>
      <c r="I18" s="329">
        <v>0</v>
      </c>
      <c r="J18" s="329">
        <v>0</v>
      </c>
      <c r="K18" s="329">
        <v>0</v>
      </c>
      <c r="L18" s="329"/>
      <c r="M18" s="329">
        <v>0</v>
      </c>
      <c r="N18" s="329">
        <v>0</v>
      </c>
      <c r="O18" s="329">
        <v>0</v>
      </c>
      <c r="P18" s="329">
        <v>0</v>
      </c>
      <c r="Q18" s="329"/>
      <c r="R18" s="329">
        <v>0</v>
      </c>
      <c r="S18" s="329">
        <v>-9383</v>
      </c>
      <c r="T18" s="329">
        <v>-9383</v>
      </c>
    </row>
    <row r="19" spans="1:20">
      <c r="A19" s="330">
        <v>97010</v>
      </c>
      <c r="B19" s="365" t="s">
        <v>1351</v>
      </c>
      <c r="C19" s="239">
        <v>0</v>
      </c>
      <c r="D19" s="239">
        <v>0</v>
      </c>
      <c r="E19" s="329">
        <v>0</v>
      </c>
      <c r="F19" s="329"/>
      <c r="G19" s="329">
        <v>0</v>
      </c>
      <c r="H19" s="329">
        <v>0</v>
      </c>
      <c r="I19" s="329">
        <v>0</v>
      </c>
      <c r="J19" s="329">
        <v>0</v>
      </c>
      <c r="K19" s="329">
        <v>0</v>
      </c>
      <c r="L19" s="329"/>
      <c r="M19" s="329">
        <v>0</v>
      </c>
      <c r="N19" s="329">
        <v>0</v>
      </c>
      <c r="O19" s="329">
        <v>0</v>
      </c>
      <c r="P19" s="329">
        <v>0</v>
      </c>
      <c r="Q19" s="329"/>
      <c r="R19" s="329">
        <v>0</v>
      </c>
      <c r="S19" s="329">
        <v>-777787</v>
      </c>
      <c r="T19" s="329">
        <v>-777787</v>
      </c>
    </row>
    <row r="20" spans="1:20">
      <c r="A20" s="330">
        <v>97491</v>
      </c>
      <c r="B20" s="331" t="s">
        <v>3739</v>
      </c>
      <c r="C20" s="239">
        <v>0</v>
      </c>
      <c r="D20" s="239">
        <v>0</v>
      </c>
      <c r="E20" s="329">
        <v>0</v>
      </c>
      <c r="F20" s="329"/>
      <c r="G20" s="329">
        <v>0</v>
      </c>
      <c r="H20" s="329">
        <v>0</v>
      </c>
      <c r="I20" s="329">
        <v>0</v>
      </c>
      <c r="J20" s="329">
        <v>0</v>
      </c>
      <c r="K20" s="329">
        <v>0</v>
      </c>
      <c r="L20" s="329"/>
      <c r="M20" s="329">
        <v>0</v>
      </c>
      <c r="N20" s="329">
        <v>0</v>
      </c>
      <c r="O20" s="329">
        <v>0</v>
      </c>
      <c r="P20" s="329">
        <v>0</v>
      </c>
      <c r="Q20" s="329"/>
      <c r="R20" s="329">
        <v>0</v>
      </c>
      <c r="S20" s="329">
        <v>-2921</v>
      </c>
      <c r="T20" s="329">
        <v>-2921</v>
      </c>
    </row>
    <row r="21" spans="1:20">
      <c r="A21" s="357" t="s">
        <v>3749</v>
      </c>
      <c r="B21" s="358" t="s">
        <v>1005</v>
      </c>
      <c r="C21" s="239">
        <v>0</v>
      </c>
      <c r="D21" s="239">
        <v>1.5E-5</v>
      </c>
      <c r="E21" s="329">
        <v>0</v>
      </c>
      <c r="F21" s="329"/>
      <c r="G21" s="329">
        <v>0</v>
      </c>
      <c r="H21" s="329">
        <v>0</v>
      </c>
      <c r="I21" s="329">
        <v>0</v>
      </c>
      <c r="J21" s="329">
        <v>441</v>
      </c>
      <c r="K21" s="329">
        <v>441</v>
      </c>
      <c r="L21" s="329"/>
      <c r="M21" s="329">
        <v>0</v>
      </c>
      <c r="N21" s="329">
        <v>0</v>
      </c>
      <c r="O21" s="329">
        <v>14352</v>
      </c>
      <c r="P21" s="329">
        <v>14352</v>
      </c>
      <c r="Q21" s="329"/>
      <c r="R21" s="329">
        <v>0</v>
      </c>
      <c r="S21" s="329">
        <v>-3541</v>
      </c>
      <c r="T21" s="329">
        <v>-3541</v>
      </c>
    </row>
    <row r="22" spans="1:20">
      <c r="A22" s="357" t="s">
        <v>3750</v>
      </c>
      <c r="B22" s="358" t="s">
        <v>3637</v>
      </c>
      <c r="C22" s="239">
        <v>0</v>
      </c>
      <c r="D22" s="239">
        <v>0</v>
      </c>
      <c r="E22" s="329">
        <v>0</v>
      </c>
      <c r="F22" s="329"/>
      <c r="G22" s="329">
        <v>0</v>
      </c>
      <c r="H22" s="329">
        <v>0</v>
      </c>
      <c r="I22" s="329">
        <v>0</v>
      </c>
      <c r="J22" s="329">
        <v>3696</v>
      </c>
      <c r="K22" s="329">
        <v>3696</v>
      </c>
      <c r="L22" s="329"/>
      <c r="M22" s="329">
        <v>0</v>
      </c>
      <c r="N22" s="329">
        <v>0</v>
      </c>
      <c r="O22" s="329">
        <v>0</v>
      </c>
      <c r="P22" s="329">
        <v>0</v>
      </c>
      <c r="Q22" s="329"/>
      <c r="R22" s="329">
        <v>0</v>
      </c>
      <c r="S22" s="329">
        <v>924</v>
      </c>
      <c r="T22" s="329">
        <v>924</v>
      </c>
    </row>
    <row r="23" spans="1:20">
      <c r="A23" s="357">
        <v>93028</v>
      </c>
      <c r="B23" s="358" t="s">
        <v>3637</v>
      </c>
      <c r="C23" s="239">
        <v>0</v>
      </c>
      <c r="D23" s="239">
        <v>1.5E-5</v>
      </c>
      <c r="E23" s="329">
        <v>0</v>
      </c>
      <c r="F23" s="329"/>
      <c r="G23" s="329">
        <v>0</v>
      </c>
      <c r="H23" s="329">
        <v>0</v>
      </c>
      <c r="I23" s="329">
        <v>0</v>
      </c>
      <c r="J23" s="329">
        <v>4137</v>
      </c>
      <c r="K23" s="329">
        <v>4137</v>
      </c>
      <c r="L23" s="329"/>
      <c r="M23" s="329">
        <v>0</v>
      </c>
      <c r="N23" s="329">
        <v>0</v>
      </c>
      <c r="O23" s="329">
        <v>14352</v>
      </c>
      <c r="P23" s="329">
        <v>14352</v>
      </c>
      <c r="Q23" s="329"/>
      <c r="R23" s="329">
        <v>0</v>
      </c>
      <c r="S23" s="329">
        <v>-2617</v>
      </c>
      <c r="T23" s="329">
        <v>-2617</v>
      </c>
    </row>
    <row r="24" spans="1:20">
      <c r="A24" s="359" t="s">
        <v>3519</v>
      </c>
      <c r="B24" s="360" t="s">
        <v>1491</v>
      </c>
      <c r="C24" s="239">
        <v>0</v>
      </c>
      <c r="D24" s="239">
        <v>0</v>
      </c>
      <c r="E24" s="329">
        <v>0</v>
      </c>
      <c r="F24" s="329"/>
      <c r="G24" s="329">
        <v>0</v>
      </c>
      <c r="H24" s="329">
        <v>0</v>
      </c>
      <c r="I24" s="329">
        <v>0</v>
      </c>
      <c r="J24" s="329">
        <v>0</v>
      </c>
      <c r="K24" s="329">
        <v>0</v>
      </c>
      <c r="L24" s="329"/>
      <c r="M24" s="329">
        <v>0</v>
      </c>
      <c r="N24" s="329">
        <v>0</v>
      </c>
      <c r="O24" s="329">
        <v>16309</v>
      </c>
      <c r="P24" s="329">
        <v>16309</v>
      </c>
      <c r="Q24" s="329"/>
      <c r="R24" s="329">
        <v>0</v>
      </c>
      <c r="S24" s="329">
        <v>-8040</v>
      </c>
      <c r="T24" s="329">
        <v>-8040</v>
      </c>
    </row>
    <row r="25" spans="1:20">
      <c r="A25" s="361" t="s">
        <v>3518</v>
      </c>
      <c r="B25" s="360" t="s">
        <v>1491</v>
      </c>
      <c r="C25" s="239">
        <v>3.01E-5</v>
      </c>
      <c r="D25" s="239">
        <v>4.1600000000000002E-5</v>
      </c>
      <c r="E25" s="329">
        <v>82201</v>
      </c>
      <c r="F25" s="329"/>
      <c r="G25" s="329">
        <v>14075</v>
      </c>
      <c r="H25" s="329">
        <v>2005</v>
      </c>
      <c r="I25" s="329">
        <v>13397</v>
      </c>
      <c r="J25" s="329">
        <v>12992</v>
      </c>
      <c r="K25" s="329">
        <v>42469</v>
      </c>
      <c r="L25" s="329"/>
      <c r="M25" s="329">
        <v>0</v>
      </c>
      <c r="N25" s="329">
        <v>0</v>
      </c>
      <c r="O25" s="329">
        <v>8099</v>
      </c>
      <c r="P25" s="329">
        <v>8099</v>
      </c>
      <c r="Q25" s="329"/>
      <c r="R25" s="329">
        <v>36617</v>
      </c>
      <c r="S25" s="329">
        <v>3512</v>
      </c>
      <c r="T25" s="329">
        <v>40129</v>
      </c>
    </row>
    <row r="26" spans="1:20">
      <c r="A26" s="361">
        <v>98414</v>
      </c>
      <c r="B26" s="360" t="s">
        <v>1491</v>
      </c>
      <c r="C26" s="239">
        <v>3.01E-5</v>
      </c>
      <c r="D26" s="239">
        <v>4.1600000000000002E-5</v>
      </c>
      <c r="E26" s="329">
        <v>82201</v>
      </c>
      <c r="F26" s="329"/>
      <c r="G26" s="329">
        <v>14075</v>
      </c>
      <c r="H26" s="329">
        <v>2005</v>
      </c>
      <c r="I26" s="329">
        <v>13397</v>
      </c>
      <c r="J26" s="329">
        <v>12992</v>
      </c>
      <c r="K26" s="329">
        <v>42469</v>
      </c>
      <c r="L26" s="329"/>
      <c r="M26" s="329">
        <v>0</v>
      </c>
      <c r="N26" s="329">
        <v>0</v>
      </c>
      <c r="O26" s="329">
        <v>24408</v>
      </c>
      <c r="P26" s="329">
        <v>24408</v>
      </c>
      <c r="Q26" s="329"/>
      <c r="R26" s="329">
        <v>36617</v>
      </c>
      <c r="S26" s="329">
        <v>-4528</v>
      </c>
      <c r="T26" s="329">
        <v>32089</v>
      </c>
    </row>
    <row r="27" spans="1:20">
      <c r="A27" s="366" t="s">
        <v>3513</v>
      </c>
      <c r="B27" s="367" t="s">
        <v>1618</v>
      </c>
      <c r="C27" s="239">
        <v>0</v>
      </c>
      <c r="D27" s="239">
        <v>0</v>
      </c>
      <c r="E27" s="329">
        <v>0</v>
      </c>
      <c r="F27" s="329"/>
      <c r="G27" s="329">
        <v>0</v>
      </c>
      <c r="H27" s="329">
        <v>0</v>
      </c>
      <c r="I27" s="329">
        <v>0</v>
      </c>
      <c r="J27" s="329">
        <v>0</v>
      </c>
      <c r="K27" s="329">
        <v>0</v>
      </c>
      <c r="L27" s="329"/>
      <c r="M27" s="329">
        <v>0</v>
      </c>
      <c r="N27" s="329">
        <v>0</v>
      </c>
      <c r="O27" s="329">
        <v>260868</v>
      </c>
      <c r="P27" s="329">
        <v>260868</v>
      </c>
      <c r="Q27" s="329"/>
      <c r="R27" s="329">
        <v>0</v>
      </c>
      <c r="S27" s="329">
        <v>-295145</v>
      </c>
      <c r="T27" s="329">
        <v>-295145</v>
      </c>
    </row>
    <row r="28" spans="1:20">
      <c r="A28" s="366" t="s">
        <v>3512</v>
      </c>
      <c r="B28" s="367" t="s">
        <v>1619</v>
      </c>
      <c r="C28" s="239">
        <v>0</v>
      </c>
      <c r="D28" s="239">
        <v>0</v>
      </c>
      <c r="E28" s="329">
        <v>0</v>
      </c>
      <c r="F28" s="329"/>
      <c r="G28" s="329">
        <v>0</v>
      </c>
      <c r="H28" s="329">
        <v>0</v>
      </c>
      <c r="I28" s="329">
        <v>0</v>
      </c>
      <c r="J28" s="329">
        <v>0</v>
      </c>
      <c r="K28" s="329">
        <v>0</v>
      </c>
      <c r="L28" s="329"/>
      <c r="M28" s="329">
        <v>0</v>
      </c>
      <c r="N28" s="329">
        <v>0</v>
      </c>
      <c r="O28" s="329">
        <v>207555</v>
      </c>
      <c r="P28" s="329">
        <v>207555</v>
      </c>
      <c r="Q28" s="329"/>
      <c r="R28" s="329">
        <v>0</v>
      </c>
      <c r="S28" s="329">
        <v>-216126</v>
      </c>
      <c r="T28" s="329">
        <v>-216126</v>
      </c>
    </row>
    <row r="29" spans="1:20">
      <c r="A29" s="366" t="s">
        <v>3514</v>
      </c>
      <c r="B29" s="367" t="s">
        <v>961</v>
      </c>
      <c r="C29" s="239">
        <v>3.9484999999999998E-3</v>
      </c>
      <c r="D29" s="239">
        <v>3.9129000000000004E-3</v>
      </c>
      <c r="E29" s="329">
        <v>10783046</v>
      </c>
      <c r="F29" s="329"/>
      <c r="G29" s="329">
        <v>1846330</v>
      </c>
      <c r="H29" s="329">
        <v>263013</v>
      </c>
      <c r="I29" s="329">
        <v>1757458</v>
      </c>
      <c r="J29" s="329">
        <v>445498</v>
      </c>
      <c r="K29" s="329">
        <v>4312299</v>
      </c>
      <c r="L29" s="329"/>
      <c r="M29" s="329">
        <v>0</v>
      </c>
      <c r="N29" s="329">
        <v>0</v>
      </c>
      <c r="O29" s="329">
        <v>304141</v>
      </c>
      <c r="P29" s="329">
        <v>304141</v>
      </c>
      <c r="Q29" s="329"/>
      <c r="R29" s="329">
        <v>4803402</v>
      </c>
      <c r="S29" s="329">
        <v>415640</v>
      </c>
      <c r="T29" s="329">
        <v>5219042</v>
      </c>
    </row>
    <row r="30" spans="1:20">
      <c r="A30" s="366">
        <v>92513</v>
      </c>
      <c r="B30" s="367" t="s">
        <v>961</v>
      </c>
      <c r="C30" s="239">
        <v>3.9484999999999998E-3</v>
      </c>
      <c r="D30" s="239">
        <v>3.9129000000000004E-3</v>
      </c>
      <c r="E30" s="329">
        <v>10783046</v>
      </c>
      <c r="F30" s="329"/>
      <c r="G30" s="329">
        <v>1846330</v>
      </c>
      <c r="H30" s="329">
        <v>263013</v>
      </c>
      <c r="I30" s="329">
        <v>1757458</v>
      </c>
      <c r="J30" s="329">
        <v>445498</v>
      </c>
      <c r="K30" s="329">
        <v>4312299</v>
      </c>
      <c r="L30" s="329"/>
      <c r="M30" s="329">
        <v>0</v>
      </c>
      <c r="N30" s="329">
        <v>0</v>
      </c>
      <c r="O30" s="329">
        <v>772564</v>
      </c>
      <c r="P30" s="329">
        <v>772564</v>
      </c>
      <c r="Q30" s="329"/>
      <c r="R30" s="329">
        <v>4803402</v>
      </c>
      <c r="S30" s="329">
        <v>-95631</v>
      </c>
      <c r="T30" s="329">
        <v>4707771</v>
      </c>
    </row>
    <row r="31" spans="1:20">
      <c r="A31" s="368" t="s">
        <v>3516</v>
      </c>
      <c r="B31" s="369" t="s">
        <v>1383</v>
      </c>
      <c r="C31" s="239">
        <v>5.7600000000000001E-4</v>
      </c>
      <c r="D31" s="239">
        <v>5.3019999999999999E-4</v>
      </c>
      <c r="E31" s="329">
        <v>1573011</v>
      </c>
      <c r="F31" s="329"/>
      <c r="G31" s="329">
        <v>269339</v>
      </c>
      <c r="H31" s="329">
        <v>38368</v>
      </c>
      <c r="I31" s="329">
        <v>256375</v>
      </c>
      <c r="J31" s="329">
        <v>14572</v>
      </c>
      <c r="K31" s="329">
        <v>578654</v>
      </c>
      <c r="L31" s="329"/>
      <c r="M31" s="329">
        <v>0</v>
      </c>
      <c r="N31" s="329">
        <v>0</v>
      </c>
      <c r="O31" s="329">
        <v>33434</v>
      </c>
      <c r="P31" s="329">
        <v>33434</v>
      </c>
      <c r="Q31" s="329"/>
      <c r="R31" s="329">
        <v>700711</v>
      </c>
      <c r="S31" s="329">
        <v>-18371</v>
      </c>
      <c r="T31" s="329">
        <v>682340</v>
      </c>
    </row>
    <row r="32" spans="1:20" ht="13.5" customHeight="1">
      <c r="A32" s="370" t="s">
        <v>3517</v>
      </c>
      <c r="B32" s="369" t="s">
        <v>1384</v>
      </c>
      <c r="C32" s="239">
        <v>0</v>
      </c>
      <c r="D32" s="239">
        <v>0</v>
      </c>
      <c r="E32" s="329">
        <v>0</v>
      </c>
      <c r="F32" s="329"/>
      <c r="G32" s="329">
        <v>0</v>
      </c>
      <c r="H32" s="329">
        <v>0</v>
      </c>
      <c r="I32" s="329">
        <v>0</v>
      </c>
      <c r="J32" s="329">
        <v>0</v>
      </c>
      <c r="K32" s="329">
        <v>0</v>
      </c>
      <c r="L32" s="329"/>
      <c r="M32" s="329">
        <v>0</v>
      </c>
      <c r="N32" s="329">
        <v>0</v>
      </c>
      <c r="O32" s="329">
        <v>22190</v>
      </c>
      <c r="P32" s="329">
        <v>22190</v>
      </c>
      <c r="Q32" s="329"/>
      <c r="R32" s="329">
        <v>0</v>
      </c>
      <c r="S32" s="329">
        <v>-8862</v>
      </c>
      <c r="T32" s="329">
        <v>-8862</v>
      </c>
    </row>
    <row r="33" spans="1:20" ht="13.5" customHeight="1">
      <c r="A33" s="368">
        <v>97461</v>
      </c>
      <c r="B33" s="369" t="s">
        <v>1383</v>
      </c>
      <c r="C33" s="239">
        <v>5.7600000000000001E-4</v>
      </c>
      <c r="D33" s="239">
        <v>5.3019999999999999E-4</v>
      </c>
      <c r="E33" s="329">
        <v>1573011</v>
      </c>
      <c r="F33" s="329"/>
      <c r="G33" s="329">
        <v>269339</v>
      </c>
      <c r="H33" s="329">
        <v>38368</v>
      </c>
      <c r="I33" s="329">
        <v>256375</v>
      </c>
      <c r="J33" s="329">
        <v>14572</v>
      </c>
      <c r="K33" s="329">
        <v>578654</v>
      </c>
      <c r="L33" s="329"/>
      <c r="M33" s="329">
        <v>0</v>
      </c>
      <c r="N33" s="329">
        <v>0</v>
      </c>
      <c r="O33" s="329">
        <v>55624</v>
      </c>
      <c r="P33" s="329">
        <v>55624</v>
      </c>
      <c r="Q33" s="329"/>
      <c r="R33" s="329">
        <v>700711</v>
      </c>
      <c r="S33" s="329">
        <v>-27233</v>
      </c>
      <c r="T33" s="329">
        <v>673478</v>
      </c>
    </row>
    <row r="34" spans="1:20">
      <c r="A34" s="386" t="s">
        <v>3520</v>
      </c>
      <c r="B34" s="387" t="s">
        <v>1504</v>
      </c>
      <c r="C34" s="239">
        <v>1.2099999999999999E-5</v>
      </c>
      <c r="D34" s="239">
        <v>1.29E-5</v>
      </c>
      <c r="E34" s="329">
        <v>33044</v>
      </c>
      <c r="F34" s="329"/>
      <c r="G34" s="329">
        <v>5658</v>
      </c>
      <c r="H34" s="329">
        <v>806</v>
      </c>
      <c r="I34" s="329">
        <v>5386</v>
      </c>
      <c r="J34" s="329">
        <v>3783</v>
      </c>
      <c r="K34" s="329">
        <v>15633</v>
      </c>
      <c r="L34" s="329"/>
      <c r="M34" s="329">
        <v>0</v>
      </c>
      <c r="N34" s="329">
        <v>0</v>
      </c>
      <c r="O34" s="329">
        <v>263</v>
      </c>
      <c r="P34" s="329">
        <v>263</v>
      </c>
      <c r="Q34" s="329"/>
      <c r="R34" s="329">
        <v>14720</v>
      </c>
      <c r="S34" s="329">
        <v>2511</v>
      </c>
      <c r="T34" s="329">
        <v>17231</v>
      </c>
    </row>
    <row r="35" spans="1:20">
      <c r="A35" s="388" t="s">
        <v>3521</v>
      </c>
      <c r="B35" s="387" t="s">
        <v>1620</v>
      </c>
      <c r="C35" s="239">
        <v>0</v>
      </c>
      <c r="D35" s="239">
        <v>0</v>
      </c>
      <c r="E35" s="329">
        <v>0</v>
      </c>
      <c r="F35" s="329"/>
      <c r="G35" s="329">
        <v>0</v>
      </c>
      <c r="H35" s="329">
        <v>0</v>
      </c>
      <c r="I35" s="329">
        <v>0</v>
      </c>
      <c r="J35" s="329">
        <v>0</v>
      </c>
      <c r="K35" s="329">
        <v>0</v>
      </c>
      <c r="L35" s="329"/>
      <c r="M35" s="329">
        <v>0</v>
      </c>
      <c r="N35" s="329">
        <v>0</v>
      </c>
      <c r="O35" s="329">
        <v>1498</v>
      </c>
      <c r="P35" s="329">
        <v>1498</v>
      </c>
      <c r="Q35" s="329"/>
      <c r="R35" s="329">
        <v>0</v>
      </c>
      <c r="S35" s="329">
        <v>-684</v>
      </c>
      <c r="T35" s="329">
        <v>-684</v>
      </c>
    </row>
    <row r="36" spans="1:20">
      <c r="A36" s="386">
        <v>98604</v>
      </c>
      <c r="B36" s="387" t="s">
        <v>1504</v>
      </c>
      <c r="C36" s="239">
        <v>1.2099999999999999E-5</v>
      </c>
      <c r="D36" s="239">
        <v>1.29E-5</v>
      </c>
      <c r="E36" s="329">
        <v>33044</v>
      </c>
      <c r="F36" s="329"/>
      <c r="G36" s="329">
        <v>5658</v>
      </c>
      <c r="H36" s="329">
        <v>806</v>
      </c>
      <c r="I36" s="329">
        <v>5386</v>
      </c>
      <c r="J36" s="329">
        <v>3783</v>
      </c>
      <c r="K36" s="329">
        <v>15633</v>
      </c>
      <c r="L36" s="329"/>
      <c r="M36" s="329">
        <v>0</v>
      </c>
      <c r="N36" s="329">
        <v>0</v>
      </c>
      <c r="O36" s="329">
        <v>1761</v>
      </c>
      <c r="P36" s="329">
        <v>1761</v>
      </c>
      <c r="Q36" s="329"/>
      <c r="R36" s="329">
        <v>14720</v>
      </c>
      <c r="S36" s="329">
        <v>1827</v>
      </c>
      <c r="T36" s="329">
        <v>16547</v>
      </c>
    </row>
    <row r="37" spans="1:20">
      <c r="A37" s="335">
        <v>70505</v>
      </c>
      <c r="B37" s="328" t="s">
        <v>727</v>
      </c>
      <c r="C37" s="239">
        <v>3.2890000000000003E-4</v>
      </c>
      <c r="D37" s="239">
        <v>3.6600000000000001E-4</v>
      </c>
      <c r="E37" s="329">
        <v>898200</v>
      </c>
      <c r="F37" s="329"/>
      <c r="G37" s="329">
        <v>153795</v>
      </c>
      <c r="H37" s="329">
        <v>21909</v>
      </c>
      <c r="I37" s="329">
        <v>146392</v>
      </c>
      <c r="J37" s="329">
        <v>0</v>
      </c>
      <c r="K37" s="329">
        <v>322096</v>
      </c>
      <c r="L37" s="329"/>
      <c r="M37" s="329">
        <v>0</v>
      </c>
      <c r="N37" s="329">
        <v>0</v>
      </c>
      <c r="O37" s="329">
        <v>58557</v>
      </c>
      <c r="P37" s="329">
        <v>58557</v>
      </c>
      <c r="Q37" s="329"/>
      <c r="R37" s="329">
        <v>400111</v>
      </c>
      <c r="S37" s="329">
        <v>-24557</v>
      </c>
      <c r="T37" s="329">
        <v>375554</v>
      </c>
    </row>
    <row r="38" spans="1:20">
      <c r="A38" s="335">
        <v>72265</v>
      </c>
      <c r="B38" s="328" t="s">
        <v>728</v>
      </c>
      <c r="C38" s="239">
        <v>1.44E-4</v>
      </c>
      <c r="D38" s="239">
        <v>1.538E-4</v>
      </c>
      <c r="E38" s="329">
        <v>393253</v>
      </c>
      <c r="F38" s="329"/>
      <c r="G38" s="329">
        <v>67335</v>
      </c>
      <c r="H38" s="329">
        <v>9592</v>
      </c>
      <c r="I38" s="329">
        <v>64094</v>
      </c>
      <c r="J38" s="329">
        <v>7536</v>
      </c>
      <c r="K38" s="329">
        <v>148557</v>
      </c>
      <c r="L38" s="329"/>
      <c r="M38" s="329">
        <v>0</v>
      </c>
      <c r="N38" s="329">
        <v>0</v>
      </c>
      <c r="O38" s="329">
        <v>6839</v>
      </c>
      <c r="P38" s="329">
        <v>6839</v>
      </c>
      <c r="Q38" s="329"/>
      <c r="R38" s="329">
        <v>175178</v>
      </c>
      <c r="S38" s="329">
        <v>-2</v>
      </c>
      <c r="T38" s="329">
        <v>175176</v>
      </c>
    </row>
    <row r="39" spans="1:20">
      <c r="A39" s="335">
        <v>72593</v>
      </c>
      <c r="B39" s="328" t="s">
        <v>729</v>
      </c>
      <c r="C39" s="239">
        <v>6.1E-6</v>
      </c>
      <c r="D39" s="239">
        <v>6.0000000000000002E-6</v>
      </c>
      <c r="E39" s="329">
        <v>16659</v>
      </c>
      <c r="F39" s="329"/>
      <c r="G39" s="329">
        <v>2852</v>
      </c>
      <c r="H39" s="329">
        <v>406</v>
      </c>
      <c r="I39" s="329">
        <v>2715</v>
      </c>
      <c r="J39" s="329">
        <v>1508</v>
      </c>
      <c r="K39" s="329">
        <v>7481</v>
      </c>
      <c r="L39" s="329"/>
      <c r="M39" s="329">
        <v>0</v>
      </c>
      <c r="N39" s="329">
        <v>0</v>
      </c>
      <c r="O39" s="329">
        <v>844</v>
      </c>
      <c r="P39" s="329">
        <v>844</v>
      </c>
      <c r="Q39" s="329"/>
      <c r="R39" s="329">
        <v>7421</v>
      </c>
      <c r="S39" s="329">
        <v>505</v>
      </c>
      <c r="T39" s="329">
        <v>7926</v>
      </c>
    </row>
    <row r="40" spans="1:20">
      <c r="A40" s="335">
        <v>72657</v>
      </c>
      <c r="B40" s="328" t="s">
        <v>730</v>
      </c>
      <c r="C40" s="239">
        <v>3.7200000000000003E-5</v>
      </c>
      <c r="D40" s="239">
        <v>3.9199999999999997E-5</v>
      </c>
      <c r="E40" s="329">
        <v>101590</v>
      </c>
      <c r="F40" s="329"/>
      <c r="G40" s="329">
        <v>17395</v>
      </c>
      <c r="H40" s="329">
        <v>2478</v>
      </c>
      <c r="I40" s="329">
        <v>16558</v>
      </c>
      <c r="J40" s="329">
        <v>0</v>
      </c>
      <c r="K40" s="329">
        <v>36431</v>
      </c>
      <c r="L40" s="329"/>
      <c r="M40" s="329">
        <v>0</v>
      </c>
      <c r="N40" s="329">
        <v>0</v>
      </c>
      <c r="O40" s="329">
        <v>6739</v>
      </c>
      <c r="P40" s="329">
        <v>6739</v>
      </c>
      <c r="Q40" s="329"/>
      <c r="R40" s="329">
        <v>45254</v>
      </c>
      <c r="S40" s="329">
        <v>-3514</v>
      </c>
      <c r="T40" s="329">
        <v>41740</v>
      </c>
    </row>
    <row r="41" spans="1:20">
      <c r="A41" s="335">
        <v>90001</v>
      </c>
      <c r="B41" s="328" t="s">
        <v>731</v>
      </c>
      <c r="C41" s="239">
        <v>8.6050000000000005E-4</v>
      </c>
      <c r="D41" s="239">
        <v>8.61E-4</v>
      </c>
      <c r="E41" s="329">
        <v>2349958</v>
      </c>
      <c r="F41" s="329"/>
      <c r="G41" s="329">
        <v>402372</v>
      </c>
      <c r="H41" s="329">
        <v>57319</v>
      </c>
      <c r="I41" s="329">
        <v>383004</v>
      </c>
      <c r="J41" s="329">
        <v>12346</v>
      </c>
      <c r="K41" s="329">
        <v>855041</v>
      </c>
      <c r="L41" s="329"/>
      <c r="M41" s="329">
        <v>0</v>
      </c>
      <c r="N41" s="329">
        <v>0</v>
      </c>
      <c r="O41" s="329">
        <v>6268</v>
      </c>
      <c r="P41" s="329">
        <v>6268</v>
      </c>
      <c r="Q41" s="329"/>
      <c r="R41" s="329">
        <v>1046809</v>
      </c>
      <c r="S41" s="329">
        <v>1394</v>
      </c>
      <c r="T41" s="329">
        <v>1048203</v>
      </c>
    </row>
    <row r="42" spans="1:20">
      <c r="A42" s="335">
        <v>90002</v>
      </c>
      <c r="B42" s="328" t="s">
        <v>3658</v>
      </c>
      <c r="C42" s="239">
        <v>8.3999999999999992E-6</v>
      </c>
      <c r="D42" s="239">
        <v>9.5000000000000005E-6</v>
      </c>
      <c r="E42" s="329">
        <v>22940</v>
      </c>
      <c r="F42" s="329"/>
      <c r="G42" s="329">
        <v>3928</v>
      </c>
      <c r="H42" s="329">
        <v>559</v>
      </c>
      <c r="I42" s="329">
        <v>3739</v>
      </c>
      <c r="J42" s="329">
        <v>1912</v>
      </c>
      <c r="K42" s="329">
        <v>10138</v>
      </c>
      <c r="L42" s="329"/>
      <c r="M42" s="329">
        <v>0</v>
      </c>
      <c r="N42" s="329">
        <v>0</v>
      </c>
      <c r="O42" s="329">
        <v>0</v>
      </c>
      <c r="P42" s="329">
        <v>0</v>
      </c>
      <c r="Q42" s="329"/>
      <c r="R42" s="329">
        <v>10219</v>
      </c>
      <c r="S42" s="329">
        <v>873</v>
      </c>
      <c r="T42" s="329">
        <v>11092</v>
      </c>
    </row>
    <row r="43" spans="1:20">
      <c r="A43" s="335">
        <v>90011</v>
      </c>
      <c r="B43" s="328" t="s">
        <v>733</v>
      </c>
      <c r="C43" s="239">
        <v>1.8009999999999999E-4</v>
      </c>
      <c r="D43" s="239">
        <v>1.916E-4</v>
      </c>
      <c r="E43" s="329">
        <v>491839</v>
      </c>
      <c r="F43" s="329"/>
      <c r="G43" s="329">
        <v>84215</v>
      </c>
      <c r="H43" s="329">
        <v>11996</v>
      </c>
      <c r="I43" s="329">
        <v>80162</v>
      </c>
      <c r="J43" s="329">
        <v>0</v>
      </c>
      <c r="K43" s="329">
        <v>176373</v>
      </c>
      <c r="L43" s="329"/>
      <c r="M43" s="329">
        <v>0</v>
      </c>
      <c r="N43" s="329">
        <v>0</v>
      </c>
      <c r="O43" s="329">
        <v>25090</v>
      </c>
      <c r="P43" s="329">
        <v>25090</v>
      </c>
      <c r="Q43" s="329"/>
      <c r="R43" s="329">
        <v>219094</v>
      </c>
      <c r="S43" s="329">
        <v>-13726</v>
      </c>
      <c r="T43" s="329">
        <v>205368</v>
      </c>
    </row>
    <row r="44" spans="1:20" ht="30">
      <c r="A44" s="335">
        <v>90092</v>
      </c>
      <c r="B44" s="328" t="s">
        <v>2802</v>
      </c>
      <c r="C44" s="239">
        <v>3.9530000000000001E-4</v>
      </c>
      <c r="D44" s="239">
        <v>3.547E-4</v>
      </c>
      <c r="E44" s="329">
        <v>1079533</v>
      </c>
      <c r="F44" s="329"/>
      <c r="G44" s="329">
        <v>184843</v>
      </c>
      <c r="H44" s="329">
        <v>26332</v>
      </c>
      <c r="I44" s="329">
        <v>175946</v>
      </c>
      <c r="J44" s="329">
        <v>52449</v>
      </c>
      <c r="K44" s="329">
        <v>439570</v>
      </c>
      <c r="L44" s="329"/>
      <c r="M44" s="329">
        <v>0</v>
      </c>
      <c r="N44" s="329">
        <v>0</v>
      </c>
      <c r="O44" s="329">
        <v>13888</v>
      </c>
      <c r="P44" s="329">
        <v>13888</v>
      </c>
      <c r="Q44" s="329"/>
      <c r="R44" s="329">
        <v>480888</v>
      </c>
      <c r="S44" s="329">
        <v>-12591</v>
      </c>
      <c r="T44" s="329">
        <v>468297</v>
      </c>
    </row>
    <row r="45" spans="1:20">
      <c r="A45" s="335">
        <v>90096</v>
      </c>
      <c r="B45" s="328" t="s">
        <v>735</v>
      </c>
      <c r="C45" s="239">
        <v>9.722E-4</v>
      </c>
      <c r="D45" s="239">
        <v>9.1730000000000002E-4</v>
      </c>
      <c r="E45" s="329">
        <v>2655002</v>
      </c>
      <c r="F45" s="329"/>
      <c r="G45" s="329">
        <v>454604</v>
      </c>
      <c r="H45" s="329">
        <v>64759</v>
      </c>
      <c r="I45" s="329">
        <v>432721</v>
      </c>
      <c r="J45" s="329">
        <v>154352</v>
      </c>
      <c r="K45" s="329">
        <v>1106436</v>
      </c>
      <c r="L45" s="329"/>
      <c r="M45" s="329">
        <v>0</v>
      </c>
      <c r="N45" s="329">
        <v>0</v>
      </c>
      <c r="O45" s="329">
        <v>112677</v>
      </c>
      <c r="P45" s="329">
        <v>112677</v>
      </c>
      <c r="Q45" s="329"/>
      <c r="R45" s="329">
        <v>1182694</v>
      </c>
      <c r="S45" s="329">
        <v>-13741</v>
      </c>
      <c r="T45" s="329">
        <v>1168953</v>
      </c>
    </row>
    <row r="46" spans="1:20">
      <c r="A46" s="335">
        <v>90098</v>
      </c>
      <c r="B46" s="328" t="s">
        <v>736</v>
      </c>
      <c r="C46" s="239">
        <v>2.521E-4</v>
      </c>
      <c r="D46" s="239">
        <v>3.1510000000000002E-4</v>
      </c>
      <c r="E46" s="329">
        <v>688465</v>
      </c>
      <c r="F46" s="329"/>
      <c r="G46" s="329">
        <v>117883</v>
      </c>
      <c r="H46" s="329">
        <v>16793</v>
      </c>
      <c r="I46" s="329">
        <v>112208</v>
      </c>
      <c r="J46" s="329">
        <v>14122</v>
      </c>
      <c r="K46" s="329">
        <v>261006</v>
      </c>
      <c r="L46" s="329"/>
      <c r="M46" s="329">
        <v>0</v>
      </c>
      <c r="N46" s="329">
        <v>0</v>
      </c>
      <c r="O46" s="329">
        <v>69540</v>
      </c>
      <c r="P46" s="329">
        <v>69540</v>
      </c>
      <c r="Q46" s="329"/>
      <c r="R46" s="329">
        <v>306683</v>
      </c>
      <c r="S46" s="329">
        <v>-39915</v>
      </c>
      <c r="T46" s="329">
        <v>266768</v>
      </c>
    </row>
    <row r="47" spans="1:20">
      <c r="A47" s="335">
        <v>90099</v>
      </c>
      <c r="B47" s="328" t="s">
        <v>3659</v>
      </c>
      <c r="C47" s="239">
        <v>6.7389999999999995E-4</v>
      </c>
      <c r="D47" s="239">
        <v>6.8800000000000003E-4</v>
      </c>
      <c r="E47" s="329">
        <v>1840368</v>
      </c>
      <c r="F47" s="329"/>
      <c r="G47" s="329">
        <v>315118</v>
      </c>
      <c r="H47" s="329">
        <v>44889</v>
      </c>
      <c r="I47" s="329">
        <v>299950</v>
      </c>
      <c r="J47" s="329">
        <v>43670</v>
      </c>
      <c r="K47" s="329">
        <v>703627</v>
      </c>
      <c r="L47" s="329"/>
      <c r="M47" s="329">
        <v>0</v>
      </c>
      <c r="N47" s="329">
        <v>0</v>
      </c>
      <c r="O47" s="329">
        <v>63390</v>
      </c>
      <c r="P47" s="329">
        <v>63390</v>
      </c>
      <c r="Q47" s="329"/>
      <c r="R47" s="329">
        <v>819808</v>
      </c>
      <c r="S47" s="329">
        <v>-7313</v>
      </c>
      <c r="T47" s="329">
        <v>812495</v>
      </c>
    </row>
    <row r="48" spans="1:20">
      <c r="A48" s="335">
        <v>90101</v>
      </c>
      <c r="B48" s="328" t="s">
        <v>738</v>
      </c>
      <c r="C48" s="239">
        <v>6.2302E-3</v>
      </c>
      <c r="D48" s="239">
        <v>6.4729000000000002E-3</v>
      </c>
      <c r="E48" s="329">
        <v>17014190</v>
      </c>
      <c r="F48" s="329"/>
      <c r="G48" s="329">
        <v>2913260</v>
      </c>
      <c r="H48" s="329">
        <v>415000</v>
      </c>
      <c r="I48" s="329">
        <v>2773031</v>
      </c>
      <c r="J48" s="329">
        <v>66528</v>
      </c>
      <c r="K48" s="329">
        <v>6167819</v>
      </c>
      <c r="L48" s="329"/>
      <c r="M48" s="329">
        <v>0</v>
      </c>
      <c r="N48" s="329">
        <v>0</v>
      </c>
      <c r="O48" s="329">
        <v>337135</v>
      </c>
      <c r="P48" s="329">
        <v>337135</v>
      </c>
      <c r="Q48" s="329"/>
      <c r="R48" s="329">
        <v>7579119</v>
      </c>
      <c r="S48" s="329">
        <v>-7540</v>
      </c>
      <c r="T48" s="329">
        <v>7571579</v>
      </c>
    </row>
    <row r="49" spans="1:20">
      <c r="A49" s="335">
        <v>90111</v>
      </c>
      <c r="B49" s="328" t="s">
        <v>739</v>
      </c>
      <c r="C49" s="239">
        <v>4.9528000000000003E-3</v>
      </c>
      <c r="D49" s="239">
        <v>5.0667999999999998E-3</v>
      </c>
      <c r="E49" s="329">
        <v>13525710</v>
      </c>
      <c r="F49" s="329"/>
      <c r="G49" s="329">
        <v>2315944</v>
      </c>
      <c r="H49" s="329">
        <v>329911</v>
      </c>
      <c r="I49" s="329">
        <v>2204467</v>
      </c>
      <c r="J49" s="329">
        <v>12792</v>
      </c>
      <c r="K49" s="329">
        <v>4863114</v>
      </c>
      <c r="L49" s="329"/>
      <c r="M49" s="329">
        <v>0</v>
      </c>
      <c r="N49" s="329">
        <v>0</v>
      </c>
      <c r="O49" s="329">
        <v>170370</v>
      </c>
      <c r="P49" s="329">
        <v>170370</v>
      </c>
      <c r="Q49" s="329"/>
      <c r="R49" s="329">
        <v>6025146</v>
      </c>
      <c r="S49" s="329">
        <v>-63111</v>
      </c>
      <c r="T49" s="329">
        <v>5962035</v>
      </c>
    </row>
    <row r="50" spans="1:20">
      <c r="A50" s="335">
        <v>90114</v>
      </c>
      <c r="B50" s="328" t="s">
        <v>740</v>
      </c>
      <c r="C50" s="239">
        <v>1.1188999999999999E-3</v>
      </c>
      <c r="D50" s="239">
        <v>1.0735E-3</v>
      </c>
      <c r="E50" s="329">
        <v>3055629</v>
      </c>
      <c r="F50" s="329"/>
      <c r="G50" s="329">
        <v>523201</v>
      </c>
      <c r="H50" s="329">
        <v>74531</v>
      </c>
      <c r="I50" s="329">
        <v>498017</v>
      </c>
      <c r="J50" s="329">
        <v>1384955</v>
      </c>
      <c r="K50" s="329">
        <v>2480704</v>
      </c>
      <c r="L50" s="329"/>
      <c r="M50" s="329">
        <v>0</v>
      </c>
      <c r="N50" s="329">
        <v>0</v>
      </c>
      <c r="O50" s="329">
        <v>0</v>
      </c>
      <c r="P50" s="329">
        <v>0</v>
      </c>
      <c r="Q50" s="329"/>
      <c r="R50" s="329">
        <v>1361156</v>
      </c>
      <c r="S50" s="329">
        <v>632710</v>
      </c>
      <c r="T50" s="329">
        <v>1993866</v>
      </c>
    </row>
    <row r="51" spans="1:20">
      <c r="A51" s="335">
        <v>90117</v>
      </c>
      <c r="B51" s="328" t="s">
        <v>741</v>
      </c>
      <c r="C51" s="239">
        <v>1.3219999999999999E-4</v>
      </c>
      <c r="D51" s="239">
        <v>1.36E-4</v>
      </c>
      <c r="E51" s="329">
        <v>361028</v>
      </c>
      <c r="F51" s="329"/>
      <c r="G51" s="329">
        <v>61817</v>
      </c>
      <c r="H51" s="329">
        <v>8806</v>
      </c>
      <c r="I51" s="329">
        <v>58842</v>
      </c>
      <c r="J51" s="329">
        <v>38678</v>
      </c>
      <c r="K51" s="329">
        <v>168143</v>
      </c>
      <c r="L51" s="329"/>
      <c r="M51" s="329">
        <v>0</v>
      </c>
      <c r="N51" s="329">
        <v>0</v>
      </c>
      <c r="O51" s="329">
        <v>0</v>
      </c>
      <c r="P51" s="329">
        <v>0</v>
      </c>
      <c r="Q51" s="329"/>
      <c r="R51" s="329">
        <v>160823</v>
      </c>
      <c r="S51" s="329">
        <v>20680</v>
      </c>
      <c r="T51" s="329">
        <v>181503</v>
      </c>
    </row>
    <row r="52" spans="1:20">
      <c r="A52" s="335">
        <v>90121</v>
      </c>
      <c r="B52" s="328" t="s">
        <v>742</v>
      </c>
      <c r="C52" s="239">
        <v>1.1077999999999999E-3</v>
      </c>
      <c r="D52" s="239">
        <v>1.0601E-3</v>
      </c>
      <c r="E52" s="329">
        <v>3025315</v>
      </c>
      <c r="F52" s="329"/>
      <c r="G52" s="329">
        <v>518011</v>
      </c>
      <c r="H52" s="329">
        <v>73792</v>
      </c>
      <c r="I52" s="329">
        <v>493076</v>
      </c>
      <c r="J52" s="329">
        <v>0</v>
      </c>
      <c r="K52" s="329">
        <v>1084879</v>
      </c>
      <c r="L52" s="329"/>
      <c r="M52" s="329">
        <v>0</v>
      </c>
      <c r="N52" s="329">
        <v>0</v>
      </c>
      <c r="O52" s="329">
        <v>82679</v>
      </c>
      <c r="P52" s="329">
        <v>82679</v>
      </c>
      <c r="Q52" s="329"/>
      <c r="R52" s="329">
        <v>1347653</v>
      </c>
      <c r="S52" s="329">
        <v>-45699</v>
      </c>
      <c r="T52" s="329">
        <v>1301954</v>
      </c>
    </row>
    <row r="53" spans="1:20">
      <c r="A53" s="335">
        <v>90131</v>
      </c>
      <c r="B53" s="328" t="s">
        <v>743</v>
      </c>
      <c r="C53" s="239">
        <v>4.9050000000000005E-4</v>
      </c>
      <c r="D53" s="239">
        <v>4.7830000000000003E-4</v>
      </c>
      <c r="E53" s="329">
        <v>1339517</v>
      </c>
      <c r="F53" s="329"/>
      <c r="G53" s="329">
        <v>229359</v>
      </c>
      <c r="H53" s="329">
        <v>32673</v>
      </c>
      <c r="I53" s="329">
        <v>218319</v>
      </c>
      <c r="J53" s="329">
        <v>2990</v>
      </c>
      <c r="K53" s="329">
        <v>483341</v>
      </c>
      <c r="L53" s="329"/>
      <c r="M53" s="329">
        <v>0</v>
      </c>
      <c r="N53" s="329">
        <v>0</v>
      </c>
      <c r="O53" s="329">
        <v>23769</v>
      </c>
      <c r="P53" s="329">
        <v>23769</v>
      </c>
      <c r="Q53" s="329"/>
      <c r="R53" s="329">
        <v>596700</v>
      </c>
      <c r="S53" s="329">
        <v>-11874</v>
      </c>
      <c r="T53" s="329">
        <v>584826</v>
      </c>
    </row>
    <row r="54" spans="1:20">
      <c r="A54" s="335">
        <v>90141</v>
      </c>
      <c r="B54" s="328" t="s">
        <v>744</v>
      </c>
      <c r="C54" s="239">
        <v>1.4770000000000001E-4</v>
      </c>
      <c r="D54" s="239">
        <v>1.4770000000000001E-4</v>
      </c>
      <c r="E54" s="329">
        <v>403357</v>
      </c>
      <c r="F54" s="329"/>
      <c r="G54" s="329">
        <v>69065</v>
      </c>
      <c r="H54" s="329">
        <v>9838</v>
      </c>
      <c r="I54" s="329">
        <v>65741</v>
      </c>
      <c r="J54" s="329">
        <v>5227</v>
      </c>
      <c r="K54" s="329">
        <v>149871</v>
      </c>
      <c r="L54" s="329"/>
      <c r="M54" s="329">
        <v>0</v>
      </c>
      <c r="N54" s="329">
        <v>0</v>
      </c>
      <c r="O54" s="329">
        <v>5164</v>
      </c>
      <c r="P54" s="329">
        <v>5164</v>
      </c>
      <c r="Q54" s="329"/>
      <c r="R54" s="329">
        <v>179679</v>
      </c>
      <c r="S54" s="329">
        <v>-1596</v>
      </c>
      <c r="T54" s="329">
        <v>178083</v>
      </c>
    </row>
    <row r="55" spans="1:20">
      <c r="A55" s="335">
        <v>90151</v>
      </c>
      <c r="B55" s="328" t="s">
        <v>745</v>
      </c>
      <c r="C55" s="239">
        <v>9.3000000000000007E-6</v>
      </c>
      <c r="D55" s="239">
        <v>9.7000000000000003E-6</v>
      </c>
      <c r="E55" s="329">
        <v>25398</v>
      </c>
      <c r="F55" s="329"/>
      <c r="G55" s="329">
        <v>4349</v>
      </c>
      <c r="H55" s="329">
        <v>620</v>
      </c>
      <c r="I55" s="329">
        <v>4139</v>
      </c>
      <c r="J55" s="329">
        <v>0</v>
      </c>
      <c r="K55" s="329">
        <v>9108</v>
      </c>
      <c r="L55" s="329"/>
      <c r="M55" s="329">
        <v>0</v>
      </c>
      <c r="N55" s="329">
        <v>0</v>
      </c>
      <c r="O55" s="329">
        <v>3296</v>
      </c>
      <c r="P55" s="329">
        <v>3296</v>
      </c>
      <c r="Q55" s="329"/>
      <c r="R55" s="329">
        <v>11314</v>
      </c>
      <c r="S55" s="329">
        <v>-1485</v>
      </c>
      <c r="T55" s="329">
        <v>9829</v>
      </c>
    </row>
    <row r="56" spans="1:20">
      <c r="A56" s="335">
        <v>90161</v>
      </c>
      <c r="B56" s="328" t="s">
        <v>746</v>
      </c>
      <c r="C56" s="239">
        <v>3.57E-5</v>
      </c>
      <c r="D56" s="239">
        <v>4.3999999999999999E-5</v>
      </c>
      <c r="E56" s="329">
        <v>97494</v>
      </c>
      <c r="F56" s="329"/>
      <c r="G56" s="329">
        <v>16693</v>
      </c>
      <c r="H56" s="329">
        <v>2378</v>
      </c>
      <c r="I56" s="329">
        <v>15890</v>
      </c>
      <c r="J56" s="329">
        <v>2808</v>
      </c>
      <c r="K56" s="329">
        <v>37769</v>
      </c>
      <c r="L56" s="329"/>
      <c r="M56" s="329">
        <v>0</v>
      </c>
      <c r="N56" s="329">
        <v>0</v>
      </c>
      <c r="O56" s="329">
        <v>7097</v>
      </c>
      <c r="P56" s="329">
        <v>7097</v>
      </c>
      <c r="Q56" s="329"/>
      <c r="R56" s="329">
        <v>43430</v>
      </c>
      <c r="S56" s="329">
        <v>336</v>
      </c>
      <c r="T56" s="329">
        <v>43766</v>
      </c>
    </row>
    <row r="57" spans="1:20">
      <c r="A57" s="335">
        <v>90201</v>
      </c>
      <c r="B57" s="328" t="s">
        <v>747</v>
      </c>
      <c r="C57" s="239">
        <v>1.2569E-3</v>
      </c>
      <c r="D57" s="239">
        <v>1.1705999999999999E-3</v>
      </c>
      <c r="E57" s="329">
        <v>3432496</v>
      </c>
      <c r="F57" s="329"/>
      <c r="G57" s="329">
        <v>587730</v>
      </c>
      <c r="H57" s="329">
        <v>83723</v>
      </c>
      <c r="I57" s="329">
        <v>559440</v>
      </c>
      <c r="J57" s="329">
        <v>62679</v>
      </c>
      <c r="K57" s="329">
        <v>1293572</v>
      </c>
      <c r="L57" s="329"/>
      <c r="M57" s="329">
        <v>0</v>
      </c>
      <c r="N57" s="329">
        <v>0</v>
      </c>
      <c r="O57" s="329">
        <v>37432</v>
      </c>
      <c r="P57" s="329">
        <v>37432</v>
      </c>
      <c r="Q57" s="329"/>
      <c r="R57" s="329">
        <v>1529035</v>
      </c>
      <c r="S57" s="329">
        <v>2957</v>
      </c>
      <c r="T57" s="329">
        <v>1531992</v>
      </c>
    </row>
    <row r="58" spans="1:20">
      <c r="A58" s="335">
        <v>90203</v>
      </c>
      <c r="B58" s="328" t="s">
        <v>3660</v>
      </c>
      <c r="C58" s="239">
        <v>2.0019999999999999E-4</v>
      </c>
      <c r="D58" s="239">
        <v>1.9909999999999999E-4</v>
      </c>
      <c r="E58" s="329">
        <v>546731</v>
      </c>
      <c r="F58" s="329"/>
      <c r="G58" s="329">
        <v>93614</v>
      </c>
      <c r="H58" s="329">
        <v>13336</v>
      </c>
      <c r="I58" s="329">
        <v>89108</v>
      </c>
      <c r="J58" s="329">
        <v>5278</v>
      </c>
      <c r="K58" s="329">
        <v>201336</v>
      </c>
      <c r="L58" s="329"/>
      <c r="M58" s="329">
        <v>0</v>
      </c>
      <c r="N58" s="329">
        <v>0</v>
      </c>
      <c r="O58" s="329">
        <v>17742</v>
      </c>
      <c r="P58" s="329">
        <v>17742</v>
      </c>
      <c r="Q58" s="329"/>
      <c r="R58" s="329">
        <v>243546</v>
      </c>
      <c r="S58" s="329">
        <v>-9710</v>
      </c>
      <c r="T58" s="329">
        <v>233836</v>
      </c>
    </row>
    <row r="59" spans="1:20">
      <c r="A59" s="335">
        <v>90205</v>
      </c>
      <c r="B59" s="328" t="s">
        <v>749</v>
      </c>
      <c r="C59" s="239">
        <v>3.04E-5</v>
      </c>
      <c r="D59" s="239">
        <v>3.2499999999999997E-5</v>
      </c>
      <c r="E59" s="329">
        <v>83020</v>
      </c>
      <c r="F59" s="329"/>
      <c r="G59" s="329">
        <v>14215</v>
      </c>
      <c r="H59" s="329">
        <v>2025</v>
      </c>
      <c r="I59" s="329">
        <v>13531</v>
      </c>
      <c r="J59" s="329">
        <v>1777</v>
      </c>
      <c r="K59" s="329">
        <v>31548</v>
      </c>
      <c r="L59" s="329"/>
      <c r="M59" s="329">
        <v>0</v>
      </c>
      <c r="N59" s="329">
        <v>0</v>
      </c>
      <c r="O59" s="329">
        <v>1763</v>
      </c>
      <c r="P59" s="329">
        <v>1763</v>
      </c>
      <c r="Q59" s="329"/>
      <c r="R59" s="329">
        <v>36982</v>
      </c>
      <c r="S59" s="329">
        <v>-98</v>
      </c>
      <c r="T59" s="329">
        <v>36884</v>
      </c>
    </row>
    <row r="60" spans="1:20">
      <c r="A60" s="335">
        <v>90206</v>
      </c>
      <c r="B60" s="328" t="s">
        <v>3661</v>
      </c>
      <c r="C60" s="239">
        <v>3.6160000000000001E-4</v>
      </c>
      <c r="D60" s="239">
        <v>4.1950000000000001E-4</v>
      </c>
      <c r="E60" s="329">
        <v>987501</v>
      </c>
      <c r="F60" s="329"/>
      <c r="G60" s="329">
        <v>169085</v>
      </c>
      <c r="H60" s="329">
        <v>24086</v>
      </c>
      <c r="I60" s="329">
        <v>160946</v>
      </c>
      <c r="J60" s="329">
        <v>0</v>
      </c>
      <c r="K60" s="329">
        <v>354117</v>
      </c>
      <c r="L60" s="329"/>
      <c r="M60" s="329">
        <v>0</v>
      </c>
      <c r="N60" s="329">
        <v>0</v>
      </c>
      <c r="O60" s="329">
        <v>57571</v>
      </c>
      <c r="P60" s="329">
        <v>57571</v>
      </c>
      <c r="Q60" s="329"/>
      <c r="R60" s="329">
        <v>439891</v>
      </c>
      <c r="S60" s="329">
        <v>-19711</v>
      </c>
      <c r="T60" s="329">
        <v>420180</v>
      </c>
    </row>
    <row r="61" spans="1:20">
      <c r="A61" s="335">
        <v>90211</v>
      </c>
      <c r="B61" s="328" t="s">
        <v>751</v>
      </c>
      <c r="C61" s="239">
        <v>1.5799999999999999E-4</v>
      </c>
      <c r="D61" s="239">
        <v>1.5330000000000001E-4</v>
      </c>
      <c r="E61" s="329">
        <v>431486</v>
      </c>
      <c r="F61" s="329"/>
      <c r="G61" s="329">
        <v>73881</v>
      </c>
      <c r="H61" s="329">
        <v>10525</v>
      </c>
      <c r="I61" s="329">
        <v>70325</v>
      </c>
      <c r="J61" s="329">
        <v>10065</v>
      </c>
      <c r="K61" s="329">
        <v>164796</v>
      </c>
      <c r="L61" s="329"/>
      <c r="M61" s="329">
        <v>0</v>
      </c>
      <c r="N61" s="329">
        <v>0</v>
      </c>
      <c r="O61" s="329">
        <v>4315</v>
      </c>
      <c r="P61" s="329">
        <v>4315</v>
      </c>
      <c r="Q61" s="329"/>
      <c r="R61" s="329">
        <v>192209</v>
      </c>
      <c r="S61" s="329">
        <v>-1941</v>
      </c>
      <c r="T61" s="329">
        <v>190268</v>
      </c>
    </row>
    <row r="62" spans="1:20">
      <c r="A62" s="335">
        <v>90301</v>
      </c>
      <c r="B62" s="328" t="s">
        <v>752</v>
      </c>
      <c r="C62" s="239">
        <v>7.339E-4</v>
      </c>
      <c r="D62" s="239">
        <v>7.0640000000000004E-4</v>
      </c>
      <c r="E62" s="329">
        <v>2004224</v>
      </c>
      <c r="F62" s="329"/>
      <c r="G62" s="329">
        <v>343174</v>
      </c>
      <c r="H62" s="329">
        <v>48886</v>
      </c>
      <c r="I62" s="329">
        <v>326655</v>
      </c>
      <c r="J62" s="329">
        <v>0</v>
      </c>
      <c r="K62" s="329">
        <v>718715</v>
      </c>
      <c r="L62" s="329"/>
      <c r="M62" s="329">
        <v>0</v>
      </c>
      <c r="N62" s="329">
        <v>0</v>
      </c>
      <c r="O62" s="329">
        <v>7727</v>
      </c>
      <c r="P62" s="329">
        <v>7727</v>
      </c>
      <c r="Q62" s="329"/>
      <c r="R62" s="329">
        <v>892799</v>
      </c>
      <c r="S62" s="329">
        <v>-2404</v>
      </c>
      <c r="T62" s="329">
        <v>890395</v>
      </c>
    </row>
    <row r="63" spans="1:20">
      <c r="A63" s="335">
        <v>90305</v>
      </c>
      <c r="B63" s="328" t="s">
        <v>753</v>
      </c>
      <c r="C63" s="239">
        <v>1.404E-4</v>
      </c>
      <c r="D63" s="239">
        <v>1.4909999999999999E-4</v>
      </c>
      <c r="E63" s="329">
        <v>383421</v>
      </c>
      <c r="F63" s="329"/>
      <c r="G63" s="329">
        <v>65651</v>
      </c>
      <c r="H63" s="329">
        <v>9352</v>
      </c>
      <c r="I63" s="329">
        <v>62491</v>
      </c>
      <c r="J63" s="329">
        <v>13757</v>
      </c>
      <c r="K63" s="329">
        <v>151251</v>
      </c>
      <c r="L63" s="329"/>
      <c r="M63" s="329">
        <v>0</v>
      </c>
      <c r="N63" s="329">
        <v>0</v>
      </c>
      <c r="O63" s="329">
        <v>0</v>
      </c>
      <c r="P63" s="329">
        <v>0</v>
      </c>
      <c r="Q63" s="329"/>
      <c r="R63" s="329">
        <v>170798</v>
      </c>
      <c r="S63" s="329">
        <v>9721</v>
      </c>
      <c r="T63" s="329">
        <v>180519</v>
      </c>
    </row>
    <row r="64" spans="1:20">
      <c r="A64" s="335">
        <v>90307</v>
      </c>
      <c r="B64" s="328" t="s">
        <v>754</v>
      </c>
      <c r="C64" s="239">
        <v>5.8000000000000004E-6</v>
      </c>
      <c r="D64" s="239">
        <v>6.6000000000000003E-6</v>
      </c>
      <c r="E64" s="329">
        <v>15839</v>
      </c>
      <c r="F64" s="329"/>
      <c r="G64" s="329">
        <v>2712</v>
      </c>
      <c r="H64" s="329">
        <v>386</v>
      </c>
      <c r="I64" s="329">
        <v>2582</v>
      </c>
      <c r="J64" s="329">
        <v>746</v>
      </c>
      <c r="K64" s="329">
        <v>6426</v>
      </c>
      <c r="L64" s="329"/>
      <c r="M64" s="329">
        <v>0</v>
      </c>
      <c r="N64" s="329">
        <v>0</v>
      </c>
      <c r="O64" s="329">
        <v>24</v>
      </c>
      <c r="P64" s="329">
        <v>24</v>
      </c>
      <c r="Q64" s="329"/>
      <c r="R64" s="329">
        <v>7056</v>
      </c>
      <c r="S64" s="329">
        <v>303</v>
      </c>
      <c r="T64" s="329">
        <v>7359</v>
      </c>
    </row>
    <row r="65" spans="1:20">
      <c r="A65" s="335">
        <v>90401</v>
      </c>
      <c r="B65" s="328" t="s">
        <v>755</v>
      </c>
      <c r="C65" s="239">
        <v>1.2876000000000001E-3</v>
      </c>
      <c r="D65" s="239">
        <v>1.2583E-3</v>
      </c>
      <c r="E65" s="329">
        <v>3516335</v>
      </c>
      <c r="F65" s="329"/>
      <c r="G65" s="329">
        <v>602086</v>
      </c>
      <c r="H65" s="329">
        <v>85768</v>
      </c>
      <c r="I65" s="329">
        <v>573104</v>
      </c>
      <c r="J65" s="329">
        <v>79589</v>
      </c>
      <c r="K65" s="329">
        <v>1340547</v>
      </c>
      <c r="L65" s="329"/>
      <c r="M65" s="329">
        <v>0</v>
      </c>
      <c r="N65" s="329">
        <v>0</v>
      </c>
      <c r="O65" s="329">
        <v>12903</v>
      </c>
      <c r="P65" s="329">
        <v>12903</v>
      </c>
      <c r="Q65" s="329"/>
      <c r="R65" s="329">
        <v>1566382</v>
      </c>
      <c r="S65" s="329">
        <v>29320</v>
      </c>
      <c r="T65" s="329">
        <v>1595702</v>
      </c>
    </row>
    <row r="66" spans="1:20">
      <c r="A66" s="335">
        <v>90411</v>
      </c>
      <c r="B66" s="328" t="s">
        <v>756</v>
      </c>
      <c r="C66" s="239">
        <v>3.2929999999999998E-4</v>
      </c>
      <c r="D66" s="239">
        <v>3.5110000000000002E-4</v>
      </c>
      <c r="E66" s="329">
        <v>899293</v>
      </c>
      <c r="F66" s="329"/>
      <c r="G66" s="329">
        <v>153982</v>
      </c>
      <c r="H66" s="329">
        <v>21935</v>
      </c>
      <c r="I66" s="329">
        <v>146570</v>
      </c>
      <c r="J66" s="329">
        <v>0</v>
      </c>
      <c r="K66" s="329">
        <v>322487</v>
      </c>
      <c r="L66" s="329"/>
      <c r="M66" s="329">
        <v>0</v>
      </c>
      <c r="N66" s="329">
        <v>0</v>
      </c>
      <c r="O66" s="329">
        <v>39964</v>
      </c>
      <c r="P66" s="329">
        <v>39964</v>
      </c>
      <c r="Q66" s="329"/>
      <c r="R66" s="329">
        <v>400598</v>
      </c>
      <c r="S66" s="329">
        <v>-22186</v>
      </c>
      <c r="T66" s="329">
        <v>378412</v>
      </c>
    </row>
    <row r="67" spans="1:20">
      <c r="A67" s="335">
        <v>90413</v>
      </c>
      <c r="B67" s="328" t="s">
        <v>757</v>
      </c>
      <c r="C67" s="239">
        <v>3.4900000000000001E-5</v>
      </c>
      <c r="D67" s="239">
        <v>3.4700000000000003E-5</v>
      </c>
      <c r="E67" s="329">
        <v>95309</v>
      </c>
      <c r="F67" s="329"/>
      <c r="G67" s="329">
        <v>16319</v>
      </c>
      <c r="H67" s="329">
        <v>2324</v>
      </c>
      <c r="I67" s="329">
        <v>15534</v>
      </c>
      <c r="J67" s="329">
        <v>3239</v>
      </c>
      <c r="K67" s="329">
        <v>37416</v>
      </c>
      <c r="L67" s="329"/>
      <c r="M67" s="329">
        <v>0</v>
      </c>
      <c r="N67" s="329">
        <v>0</v>
      </c>
      <c r="O67" s="329">
        <v>458</v>
      </c>
      <c r="P67" s="329">
        <v>458</v>
      </c>
      <c r="Q67" s="329"/>
      <c r="R67" s="329">
        <v>42456</v>
      </c>
      <c r="S67" s="329">
        <v>2578</v>
      </c>
      <c r="T67" s="329">
        <v>45034</v>
      </c>
    </row>
    <row r="68" spans="1:20">
      <c r="A68" s="335">
        <v>90417</v>
      </c>
      <c r="B68" s="328" t="s">
        <v>758</v>
      </c>
      <c r="C68" s="239">
        <v>1.06E-5</v>
      </c>
      <c r="D68" s="239">
        <v>1.19E-5</v>
      </c>
      <c r="E68" s="329">
        <v>28948</v>
      </c>
      <c r="F68" s="329"/>
      <c r="G68" s="329">
        <v>4957</v>
      </c>
      <c r="H68" s="329">
        <v>706</v>
      </c>
      <c r="I68" s="329">
        <v>4718</v>
      </c>
      <c r="J68" s="329">
        <v>4847</v>
      </c>
      <c r="K68" s="329">
        <v>15228</v>
      </c>
      <c r="L68" s="329"/>
      <c r="M68" s="329">
        <v>0</v>
      </c>
      <c r="N68" s="329">
        <v>0</v>
      </c>
      <c r="O68" s="329">
        <v>0</v>
      </c>
      <c r="P68" s="329">
        <v>0</v>
      </c>
      <c r="Q68" s="329"/>
      <c r="R68" s="329">
        <v>12895</v>
      </c>
      <c r="S68" s="329">
        <v>2003</v>
      </c>
      <c r="T68" s="329">
        <v>14898</v>
      </c>
    </row>
    <row r="69" spans="1:20">
      <c r="A69" s="335">
        <v>90421</v>
      </c>
      <c r="B69" s="328" t="s">
        <v>759</v>
      </c>
      <c r="C69" s="239">
        <v>1.98E-5</v>
      </c>
      <c r="D69" s="239">
        <v>2.09E-5</v>
      </c>
      <c r="E69" s="329">
        <v>54072</v>
      </c>
      <c r="F69" s="329"/>
      <c r="G69" s="329">
        <v>9259</v>
      </c>
      <c r="H69" s="329">
        <v>1319</v>
      </c>
      <c r="I69" s="329">
        <v>8813</v>
      </c>
      <c r="J69" s="329">
        <v>0</v>
      </c>
      <c r="K69" s="329">
        <v>19391</v>
      </c>
      <c r="L69" s="329"/>
      <c r="M69" s="329">
        <v>0</v>
      </c>
      <c r="N69" s="329">
        <v>0</v>
      </c>
      <c r="O69" s="329">
        <v>4296</v>
      </c>
      <c r="P69" s="329">
        <v>4296</v>
      </c>
      <c r="Q69" s="329"/>
      <c r="R69" s="329">
        <v>24087</v>
      </c>
      <c r="S69" s="329">
        <v>-2020</v>
      </c>
      <c r="T69" s="329">
        <v>22067</v>
      </c>
    </row>
    <row r="70" spans="1:20">
      <c r="A70" s="335">
        <v>90431</v>
      </c>
      <c r="B70" s="328" t="s">
        <v>760</v>
      </c>
      <c r="C70" s="239">
        <v>4.8099999999999997E-5</v>
      </c>
      <c r="D70" s="239">
        <v>4.5099999999999998E-5</v>
      </c>
      <c r="E70" s="329">
        <v>131357</v>
      </c>
      <c r="F70" s="329"/>
      <c r="G70" s="329">
        <v>22492</v>
      </c>
      <c r="H70" s="329">
        <v>3204</v>
      </c>
      <c r="I70" s="329">
        <v>21409</v>
      </c>
      <c r="J70" s="329">
        <v>4313</v>
      </c>
      <c r="K70" s="329">
        <v>51418</v>
      </c>
      <c r="L70" s="329"/>
      <c r="M70" s="329">
        <v>0</v>
      </c>
      <c r="N70" s="329">
        <v>0</v>
      </c>
      <c r="O70" s="329">
        <v>1462</v>
      </c>
      <c r="P70" s="329">
        <v>1462</v>
      </c>
      <c r="Q70" s="329"/>
      <c r="R70" s="329">
        <v>58514</v>
      </c>
      <c r="S70" s="329">
        <v>2712</v>
      </c>
      <c r="T70" s="329">
        <v>61226</v>
      </c>
    </row>
    <row r="71" spans="1:20">
      <c r="A71" s="335">
        <v>90441</v>
      </c>
      <c r="B71" s="328" t="s">
        <v>761</v>
      </c>
      <c r="C71" s="239">
        <v>6.7000000000000002E-6</v>
      </c>
      <c r="D71" s="239">
        <v>7.5000000000000002E-6</v>
      </c>
      <c r="E71" s="329">
        <v>18297</v>
      </c>
      <c r="F71" s="329"/>
      <c r="G71" s="329">
        <v>3133</v>
      </c>
      <c r="H71" s="329">
        <v>447</v>
      </c>
      <c r="I71" s="329">
        <v>2982</v>
      </c>
      <c r="J71" s="329">
        <v>1456</v>
      </c>
      <c r="K71" s="329">
        <v>8018</v>
      </c>
      <c r="L71" s="329"/>
      <c r="M71" s="329">
        <v>0</v>
      </c>
      <c r="N71" s="329">
        <v>0</v>
      </c>
      <c r="O71" s="329">
        <v>0</v>
      </c>
      <c r="P71" s="329">
        <v>0</v>
      </c>
      <c r="Q71" s="329"/>
      <c r="R71" s="329">
        <v>8151</v>
      </c>
      <c r="S71" s="329">
        <v>398</v>
      </c>
      <c r="T71" s="329">
        <v>8549</v>
      </c>
    </row>
    <row r="72" spans="1:20">
      <c r="A72" s="335">
        <v>90451</v>
      </c>
      <c r="B72" s="328" t="s">
        <v>762</v>
      </c>
      <c r="C72" s="239">
        <v>2.3099999999999999E-5</v>
      </c>
      <c r="D72" s="239">
        <v>2.05E-5</v>
      </c>
      <c r="E72" s="329">
        <v>63084</v>
      </c>
      <c r="F72" s="329"/>
      <c r="G72" s="329">
        <v>10802</v>
      </c>
      <c r="H72" s="329">
        <v>1539</v>
      </c>
      <c r="I72" s="329">
        <v>10282</v>
      </c>
      <c r="J72" s="329">
        <v>4388</v>
      </c>
      <c r="K72" s="329">
        <v>27011</v>
      </c>
      <c r="L72" s="329"/>
      <c r="M72" s="329">
        <v>0</v>
      </c>
      <c r="N72" s="329">
        <v>0</v>
      </c>
      <c r="O72" s="329">
        <v>360</v>
      </c>
      <c r="P72" s="329">
        <v>360</v>
      </c>
      <c r="Q72" s="329"/>
      <c r="R72" s="329">
        <v>28101</v>
      </c>
      <c r="S72" s="329">
        <v>1540</v>
      </c>
      <c r="T72" s="329">
        <v>29641</v>
      </c>
    </row>
    <row r="73" spans="1:20">
      <c r="A73" s="335">
        <v>90461</v>
      </c>
      <c r="B73" s="328" t="s">
        <v>763</v>
      </c>
      <c r="C73" s="239">
        <v>2.0999999999999998E-6</v>
      </c>
      <c r="D73" s="239">
        <v>5.5999999999999997E-6</v>
      </c>
      <c r="E73" s="329">
        <v>5735</v>
      </c>
      <c r="F73" s="329"/>
      <c r="G73" s="329">
        <v>982</v>
      </c>
      <c r="H73" s="329">
        <v>140</v>
      </c>
      <c r="I73" s="329">
        <v>935</v>
      </c>
      <c r="J73" s="329">
        <v>67</v>
      </c>
      <c r="K73" s="329">
        <v>2124</v>
      </c>
      <c r="L73" s="329"/>
      <c r="M73" s="329">
        <v>0</v>
      </c>
      <c r="N73" s="329">
        <v>0</v>
      </c>
      <c r="O73" s="329">
        <v>5895</v>
      </c>
      <c r="P73" s="329">
        <v>5895</v>
      </c>
      <c r="Q73" s="329"/>
      <c r="R73" s="329">
        <v>2555</v>
      </c>
      <c r="S73" s="329">
        <v>-961</v>
      </c>
      <c r="T73" s="329">
        <v>1594</v>
      </c>
    </row>
    <row r="74" spans="1:20">
      <c r="A74" s="335">
        <v>90501</v>
      </c>
      <c r="B74" s="328" t="s">
        <v>764</v>
      </c>
      <c r="C74" s="239">
        <v>1.4587000000000001E-3</v>
      </c>
      <c r="D74" s="239">
        <v>1.3675E-3</v>
      </c>
      <c r="E74" s="329">
        <v>3983596</v>
      </c>
      <c r="F74" s="329"/>
      <c r="G74" s="329">
        <v>682092</v>
      </c>
      <c r="H74" s="329">
        <v>97166</v>
      </c>
      <c r="I74" s="329">
        <v>649260</v>
      </c>
      <c r="J74" s="329">
        <v>104668</v>
      </c>
      <c r="K74" s="329">
        <v>1533186</v>
      </c>
      <c r="L74" s="329"/>
      <c r="M74" s="329">
        <v>0</v>
      </c>
      <c r="N74" s="329">
        <v>0</v>
      </c>
      <c r="O74" s="329">
        <v>4461</v>
      </c>
      <c r="P74" s="329">
        <v>4461</v>
      </c>
      <c r="Q74" s="329"/>
      <c r="R74" s="329">
        <v>1774528</v>
      </c>
      <c r="S74" s="329">
        <v>33610</v>
      </c>
      <c r="T74" s="329">
        <v>1808138</v>
      </c>
    </row>
    <row r="75" spans="1:20">
      <c r="A75" s="335">
        <v>90507</v>
      </c>
      <c r="B75" s="328" t="s">
        <v>34</v>
      </c>
      <c r="C75" s="239">
        <v>3.4000000000000001E-6</v>
      </c>
      <c r="D75" s="239">
        <v>6.3999999999999997E-6</v>
      </c>
      <c r="E75" s="329">
        <v>9285</v>
      </c>
      <c r="F75" s="329"/>
      <c r="G75" s="329">
        <v>1590</v>
      </c>
      <c r="H75" s="329">
        <v>226</v>
      </c>
      <c r="I75" s="329">
        <v>1513</v>
      </c>
      <c r="J75" s="329">
        <v>11773</v>
      </c>
      <c r="K75" s="329">
        <v>15102</v>
      </c>
      <c r="L75" s="329"/>
      <c r="M75" s="329">
        <v>0</v>
      </c>
      <c r="N75" s="329">
        <v>0</v>
      </c>
      <c r="O75" s="329">
        <v>0</v>
      </c>
      <c r="P75" s="329">
        <v>0</v>
      </c>
      <c r="Q75" s="329"/>
      <c r="R75" s="329">
        <v>4136</v>
      </c>
      <c r="S75" s="329">
        <v>5978</v>
      </c>
      <c r="T75" s="329">
        <v>10114</v>
      </c>
    </row>
    <row r="76" spans="1:20">
      <c r="A76" s="335">
        <v>90511</v>
      </c>
      <c r="B76" s="328" t="s">
        <v>765</v>
      </c>
      <c r="C76" s="239">
        <v>1.011E-4</v>
      </c>
      <c r="D76" s="239">
        <v>8.25E-5</v>
      </c>
      <c r="E76" s="329">
        <v>276096</v>
      </c>
      <c r="F76" s="329"/>
      <c r="G76" s="329">
        <v>47275</v>
      </c>
      <c r="H76" s="329">
        <v>6734</v>
      </c>
      <c r="I76" s="329">
        <v>44999</v>
      </c>
      <c r="J76" s="329">
        <v>31491</v>
      </c>
      <c r="K76" s="329">
        <v>130499</v>
      </c>
      <c r="L76" s="329"/>
      <c r="M76" s="329">
        <v>0</v>
      </c>
      <c r="N76" s="329">
        <v>0</v>
      </c>
      <c r="O76" s="329">
        <v>0</v>
      </c>
      <c r="P76" s="329">
        <v>0</v>
      </c>
      <c r="Q76" s="329"/>
      <c r="R76" s="329">
        <v>122989</v>
      </c>
      <c r="S76" s="329">
        <v>11554</v>
      </c>
      <c r="T76" s="329">
        <v>134543</v>
      </c>
    </row>
    <row r="77" spans="1:20">
      <c r="A77" s="335">
        <v>90521</v>
      </c>
      <c r="B77" s="328" t="s">
        <v>766</v>
      </c>
      <c r="C77" s="239">
        <v>1.371E-4</v>
      </c>
      <c r="D77" s="239">
        <v>1.281E-4</v>
      </c>
      <c r="E77" s="329">
        <v>374409</v>
      </c>
      <c r="F77" s="329"/>
      <c r="G77" s="329">
        <v>64108</v>
      </c>
      <c r="H77" s="329">
        <v>9132</v>
      </c>
      <c r="I77" s="329">
        <v>61023</v>
      </c>
      <c r="J77" s="329">
        <v>0</v>
      </c>
      <c r="K77" s="329">
        <v>134263</v>
      </c>
      <c r="L77" s="329"/>
      <c r="M77" s="329">
        <v>0</v>
      </c>
      <c r="N77" s="329">
        <v>0</v>
      </c>
      <c r="O77" s="329">
        <v>17308</v>
      </c>
      <c r="P77" s="329">
        <v>17308</v>
      </c>
      <c r="Q77" s="329"/>
      <c r="R77" s="329">
        <v>166784</v>
      </c>
      <c r="S77" s="329">
        <v>-9423</v>
      </c>
      <c r="T77" s="329">
        <v>157361</v>
      </c>
    </row>
    <row r="78" spans="1:20">
      <c r="A78" s="335">
        <v>90601</v>
      </c>
      <c r="B78" s="328" t="s">
        <v>767</v>
      </c>
      <c r="C78" s="239">
        <v>1.1100999999999999E-3</v>
      </c>
      <c r="D78" s="239">
        <v>1.1383999999999999E-3</v>
      </c>
      <c r="E78" s="329">
        <v>3031597</v>
      </c>
      <c r="F78" s="329"/>
      <c r="G78" s="329">
        <v>519086</v>
      </c>
      <c r="H78" s="329">
        <v>73945</v>
      </c>
      <c r="I78" s="329">
        <v>494100</v>
      </c>
      <c r="J78" s="329">
        <v>8511</v>
      </c>
      <c r="K78" s="329">
        <v>1095642</v>
      </c>
      <c r="L78" s="329"/>
      <c r="M78" s="329">
        <v>0</v>
      </c>
      <c r="N78" s="329">
        <v>0</v>
      </c>
      <c r="O78" s="329">
        <v>25458</v>
      </c>
      <c r="P78" s="329">
        <v>25458</v>
      </c>
      <c r="Q78" s="329"/>
      <c r="R78" s="329">
        <v>1350451</v>
      </c>
      <c r="S78" s="329">
        <v>-7560</v>
      </c>
      <c r="T78" s="329">
        <v>1342891</v>
      </c>
    </row>
    <row r="79" spans="1:20">
      <c r="A79" s="335">
        <v>90602</v>
      </c>
      <c r="B79" s="328" t="s">
        <v>259</v>
      </c>
      <c r="C79" s="239">
        <v>9.2999999999999997E-5</v>
      </c>
      <c r="D79" s="239">
        <v>6.3100000000000002E-5</v>
      </c>
      <c r="E79" s="329">
        <v>253976</v>
      </c>
      <c r="F79" s="329"/>
      <c r="G79" s="329">
        <v>43487</v>
      </c>
      <c r="H79" s="329">
        <v>6195</v>
      </c>
      <c r="I79" s="329">
        <v>41394</v>
      </c>
      <c r="J79" s="329">
        <v>48781</v>
      </c>
      <c r="K79" s="329">
        <v>139857</v>
      </c>
      <c r="L79" s="329"/>
      <c r="M79" s="329">
        <v>0</v>
      </c>
      <c r="N79" s="329">
        <v>0</v>
      </c>
      <c r="O79" s="329">
        <v>0</v>
      </c>
      <c r="P79" s="329">
        <v>0</v>
      </c>
      <c r="Q79" s="329"/>
      <c r="R79" s="329">
        <v>113136</v>
      </c>
      <c r="S79" s="329">
        <v>23692</v>
      </c>
      <c r="T79" s="329">
        <v>136828</v>
      </c>
    </row>
    <row r="80" spans="1:20">
      <c r="A80" s="335">
        <v>90605</v>
      </c>
      <c r="B80" s="328" t="s">
        <v>3662</v>
      </c>
      <c r="C80" s="239">
        <v>4.9799999999999998E-5</v>
      </c>
      <c r="D80" s="239">
        <v>3.9199999999999997E-5</v>
      </c>
      <c r="E80" s="329">
        <v>136000</v>
      </c>
      <c r="F80" s="329"/>
      <c r="G80" s="329">
        <v>23287</v>
      </c>
      <c r="H80" s="329">
        <v>3317</v>
      </c>
      <c r="I80" s="329">
        <v>22166</v>
      </c>
      <c r="J80" s="329">
        <v>19578</v>
      </c>
      <c r="K80" s="329">
        <v>68348</v>
      </c>
      <c r="L80" s="329"/>
      <c r="M80" s="329">
        <v>0</v>
      </c>
      <c r="N80" s="329">
        <v>0</v>
      </c>
      <c r="O80" s="329">
        <v>0</v>
      </c>
      <c r="P80" s="329">
        <v>0</v>
      </c>
      <c r="Q80" s="329"/>
      <c r="R80" s="329">
        <v>60582</v>
      </c>
      <c r="S80" s="329">
        <v>8653</v>
      </c>
      <c r="T80" s="329">
        <v>69235</v>
      </c>
    </row>
    <row r="81" spans="1:20">
      <c r="A81" s="335">
        <v>90611</v>
      </c>
      <c r="B81" s="328" t="s">
        <v>769</v>
      </c>
      <c r="C81" s="239">
        <v>1.526E-4</v>
      </c>
      <c r="D81" s="239">
        <v>1.4009999999999999E-4</v>
      </c>
      <c r="E81" s="329">
        <v>416739</v>
      </c>
      <c r="F81" s="329"/>
      <c r="G81" s="329">
        <v>71356</v>
      </c>
      <c r="H81" s="329">
        <v>10165</v>
      </c>
      <c r="I81" s="329">
        <v>67921</v>
      </c>
      <c r="J81" s="329">
        <v>4970</v>
      </c>
      <c r="K81" s="329">
        <v>154412</v>
      </c>
      <c r="L81" s="329"/>
      <c r="M81" s="329">
        <v>0</v>
      </c>
      <c r="N81" s="329">
        <v>0</v>
      </c>
      <c r="O81" s="329">
        <v>13216</v>
      </c>
      <c r="P81" s="329">
        <v>13216</v>
      </c>
      <c r="Q81" s="329"/>
      <c r="R81" s="329">
        <v>185640</v>
      </c>
      <c r="S81" s="329">
        <v>-6430</v>
      </c>
      <c r="T81" s="329">
        <v>179210</v>
      </c>
    </row>
    <row r="82" spans="1:20">
      <c r="A82" s="335">
        <v>90617</v>
      </c>
      <c r="B82" s="328" t="s">
        <v>770</v>
      </c>
      <c r="C82" s="239">
        <v>2.8600000000000001E-5</v>
      </c>
      <c r="D82" s="239">
        <v>2.72E-5</v>
      </c>
      <c r="E82" s="329">
        <v>78104</v>
      </c>
      <c r="F82" s="329"/>
      <c r="G82" s="329">
        <v>13373</v>
      </c>
      <c r="H82" s="329">
        <v>1905</v>
      </c>
      <c r="I82" s="329">
        <v>12730</v>
      </c>
      <c r="J82" s="329">
        <v>5886</v>
      </c>
      <c r="K82" s="329">
        <v>33894</v>
      </c>
      <c r="L82" s="329"/>
      <c r="M82" s="329">
        <v>0</v>
      </c>
      <c r="N82" s="329">
        <v>0</v>
      </c>
      <c r="O82" s="329">
        <v>0</v>
      </c>
      <c r="P82" s="329">
        <v>0</v>
      </c>
      <c r="Q82" s="329"/>
      <c r="R82" s="329">
        <v>34792</v>
      </c>
      <c r="S82" s="329">
        <v>2840</v>
      </c>
      <c r="T82" s="329">
        <v>37632</v>
      </c>
    </row>
    <row r="83" spans="1:20">
      <c r="A83" s="335">
        <v>90621</v>
      </c>
      <c r="B83" s="328" t="s">
        <v>771</v>
      </c>
      <c r="C83" s="239">
        <v>6.97E-5</v>
      </c>
      <c r="D83" s="239">
        <v>6.5699999999999998E-5</v>
      </c>
      <c r="E83" s="329">
        <v>190345</v>
      </c>
      <c r="F83" s="329"/>
      <c r="G83" s="329">
        <v>32592</v>
      </c>
      <c r="H83" s="329">
        <v>4642</v>
      </c>
      <c r="I83" s="329">
        <v>31023</v>
      </c>
      <c r="J83" s="329">
        <v>2208</v>
      </c>
      <c r="K83" s="329">
        <v>70465</v>
      </c>
      <c r="L83" s="329"/>
      <c r="M83" s="329">
        <v>0</v>
      </c>
      <c r="N83" s="329">
        <v>0</v>
      </c>
      <c r="O83" s="329">
        <v>9522</v>
      </c>
      <c r="P83" s="329">
        <v>9522</v>
      </c>
      <c r="Q83" s="329"/>
      <c r="R83" s="329">
        <v>84791</v>
      </c>
      <c r="S83" s="329">
        <v>-5748</v>
      </c>
      <c r="T83" s="329">
        <v>79043</v>
      </c>
    </row>
    <row r="84" spans="1:20">
      <c r="A84" s="335">
        <v>90631</v>
      </c>
      <c r="B84" s="328" t="s">
        <v>772</v>
      </c>
      <c r="C84" s="239">
        <v>3.6430000000000002E-4</v>
      </c>
      <c r="D84" s="239">
        <v>3.7120000000000002E-4</v>
      </c>
      <c r="E84" s="329">
        <v>994875</v>
      </c>
      <c r="F84" s="329"/>
      <c r="G84" s="329">
        <v>170348</v>
      </c>
      <c r="H84" s="329">
        <v>24266</v>
      </c>
      <c r="I84" s="329">
        <v>162148</v>
      </c>
      <c r="J84" s="329">
        <v>6544</v>
      </c>
      <c r="K84" s="329">
        <v>363306</v>
      </c>
      <c r="L84" s="329"/>
      <c r="M84" s="329">
        <v>0</v>
      </c>
      <c r="N84" s="329">
        <v>0</v>
      </c>
      <c r="O84" s="329">
        <v>12172</v>
      </c>
      <c r="P84" s="329">
        <v>12172</v>
      </c>
      <c r="Q84" s="329"/>
      <c r="R84" s="329">
        <v>443176</v>
      </c>
      <c r="S84" s="329">
        <v>-488</v>
      </c>
      <c r="T84" s="329">
        <v>442688</v>
      </c>
    </row>
    <row r="85" spans="1:20">
      <c r="A85" s="335">
        <v>90641</v>
      </c>
      <c r="B85" s="328" t="s">
        <v>773</v>
      </c>
      <c r="C85" s="239">
        <v>1.1800000000000001E-5</v>
      </c>
      <c r="D85" s="239">
        <v>1.2999999999999999E-5</v>
      </c>
      <c r="E85" s="329">
        <v>32225</v>
      </c>
      <c r="F85" s="329"/>
      <c r="G85" s="329">
        <v>5518</v>
      </c>
      <c r="H85" s="329">
        <v>786</v>
      </c>
      <c r="I85" s="329">
        <v>5252</v>
      </c>
      <c r="J85" s="329">
        <v>217</v>
      </c>
      <c r="K85" s="329">
        <v>11773</v>
      </c>
      <c r="L85" s="329"/>
      <c r="M85" s="329">
        <v>0</v>
      </c>
      <c r="N85" s="329">
        <v>0</v>
      </c>
      <c r="O85" s="329">
        <v>117</v>
      </c>
      <c r="P85" s="329">
        <v>117</v>
      </c>
      <c r="Q85" s="329"/>
      <c r="R85" s="329">
        <v>14355</v>
      </c>
      <c r="S85" s="329">
        <v>32</v>
      </c>
      <c r="T85" s="329">
        <v>14387</v>
      </c>
    </row>
    <row r="86" spans="1:20">
      <c r="A86" s="335">
        <v>90651</v>
      </c>
      <c r="B86" s="328" t="s">
        <v>774</v>
      </c>
      <c r="C86" s="239">
        <v>1.031E-4</v>
      </c>
      <c r="D86" s="239">
        <v>1.064E-4</v>
      </c>
      <c r="E86" s="329">
        <v>281558</v>
      </c>
      <c r="F86" s="329"/>
      <c r="G86" s="329">
        <v>48210</v>
      </c>
      <c r="H86" s="329">
        <v>6868</v>
      </c>
      <c r="I86" s="329">
        <v>45889</v>
      </c>
      <c r="J86" s="329">
        <v>103130</v>
      </c>
      <c r="K86" s="329">
        <v>204097</v>
      </c>
      <c r="L86" s="329"/>
      <c r="M86" s="329">
        <v>0</v>
      </c>
      <c r="N86" s="329">
        <v>0</v>
      </c>
      <c r="O86" s="329">
        <v>0</v>
      </c>
      <c r="P86" s="329">
        <v>0</v>
      </c>
      <c r="Q86" s="329"/>
      <c r="R86" s="329">
        <v>125422</v>
      </c>
      <c r="S86" s="329">
        <v>50353</v>
      </c>
      <c r="T86" s="329">
        <v>175775</v>
      </c>
    </row>
    <row r="87" spans="1:20">
      <c r="A87" s="335">
        <v>90701</v>
      </c>
      <c r="B87" s="328" t="s">
        <v>775</v>
      </c>
      <c r="C87" s="239">
        <v>2.6227999999999998E-3</v>
      </c>
      <c r="D87" s="239">
        <v>2.6327999999999998E-3</v>
      </c>
      <c r="E87" s="329">
        <v>7162662</v>
      </c>
      <c r="F87" s="329"/>
      <c r="G87" s="329">
        <v>1226429</v>
      </c>
      <c r="H87" s="329">
        <v>174707</v>
      </c>
      <c r="I87" s="329">
        <v>1167395</v>
      </c>
      <c r="J87" s="329">
        <v>56500</v>
      </c>
      <c r="K87" s="329">
        <v>2625031</v>
      </c>
      <c r="L87" s="329"/>
      <c r="M87" s="329">
        <v>0</v>
      </c>
      <c r="N87" s="329">
        <v>0</v>
      </c>
      <c r="O87" s="329">
        <v>161267</v>
      </c>
      <c r="P87" s="329">
        <v>161267</v>
      </c>
      <c r="Q87" s="329"/>
      <c r="R87" s="329">
        <v>3190670</v>
      </c>
      <c r="S87" s="329">
        <v>-27550</v>
      </c>
      <c r="T87" s="329">
        <v>3163120</v>
      </c>
    </row>
    <row r="88" spans="1:20">
      <c r="A88" s="335">
        <v>90704</v>
      </c>
      <c r="B88" s="328" t="s">
        <v>776</v>
      </c>
      <c r="C88" s="239">
        <v>4.4299999999999999E-5</v>
      </c>
      <c r="D88" s="239">
        <v>3.4100000000000002E-5</v>
      </c>
      <c r="E88" s="329">
        <v>120980</v>
      </c>
      <c r="F88" s="329"/>
      <c r="G88" s="329">
        <v>20715</v>
      </c>
      <c r="H88" s="329">
        <v>2951</v>
      </c>
      <c r="I88" s="329">
        <v>19718</v>
      </c>
      <c r="J88" s="329">
        <v>26018</v>
      </c>
      <c r="K88" s="329">
        <v>69402</v>
      </c>
      <c r="L88" s="329"/>
      <c r="M88" s="329">
        <v>0</v>
      </c>
      <c r="N88" s="329">
        <v>0</v>
      </c>
      <c r="O88" s="329">
        <v>0</v>
      </c>
      <c r="P88" s="329">
        <v>0</v>
      </c>
      <c r="Q88" s="329"/>
      <c r="R88" s="329">
        <v>53892</v>
      </c>
      <c r="S88" s="329">
        <v>10331</v>
      </c>
      <c r="T88" s="329">
        <v>64223</v>
      </c>
    </row>
    <row r="89" spans="1:20">
      <c r="A89" s="335">
        <v>90705</v>
      </c>
      <c r="B89" s="328" t="s">
        <v>777</v>
      </c>
      <c r="C89" s="239">
        <v>4.1199999999999999E-5</v>
      </c>
      <c r="D89" s="239">
        <v>3.6000000000000001E-5</v>
      </c>
      <c r="E89" s="329">
        <v>112514</v>
      </c>
      <c r="F89" s="329"/>
      <c r="G89" s="329">
        <v>19265</v>
      </c>
      <c r="H89" s="329">
        <v>2745</v>
      </c>
      <c r="I89" s="329">
        <v>18338</v>
      </c>
      <c r="J89" s="329">
        <v>14850</v>
      </c>
      <c r="K89" s="329">
        <v>55198</v>
      </c>
      <c r="L89" s="329"/>
      <c r="M89" s="329">
        <v>0</v>
      </c>
      <c r="N89" s="329">
        <v>0</v>
      </c>
      <c r="O89" s="329">
        <v>5580</v>
      </c>
      <c r="P89" s="329">
        <v>5580</v>
      </c>
      <c r="Q89" s="329"/>
      <c r="R89" s="329">
        <v>50120</v>
      </c>
      <c r="S89" s="329">
        <v>5322</v>
      </c>
      <c r="T89" s="329">
        <v>55442</v>
      </c>
    </row>
    <row r="90" spans="1:20">
      <c r="A90" s="335">
        <v>90709</v>
      </c>
      <c r="B90" s="328" t="s">
        <v>778</v>
      </c>
      <c r="C90" s="239">
        <v>1.474E-4</v>
      </c>
      <c r="D90" s="239">
        <v>1.683E-4</v>
      </c>
      <c r="E90" s="329">
        <v>402538</v>
      </c>
      <c r="F90" s="329"/>
      <c r="G90" s="329">
        <v>68925</v>
      </c>
      <c r="H90" s="329">
        <v>9819</v>
      </c>
      <c r="I90" s="329">
        <v>65607</v>
      </c>
      <c r="J90" s="329">
        <v>29311</v>
      </c>
      <c r="K90" s="329">
        <v>173662</v>
      </c>
      <c r="L90" s="329"/>
      <c r="M90" s="329">
        <v>0</v>
      </c>
      <c r="N90" s="329">
        <v>0</v>
      </c>
      <c r="O90" s="329">
        <v>28480</v>
      </c>
      <c r="P90" s="329">
        <v>28480</v>
      </c>
      <c r="Q90" s="329"/>
      <c r="R90" s="329">
        <v>179314</v>
      </c>
      <c r="S90" s="329">
        <v>-8090</v>
      </c>
      <c r="T90" s="329">
        <v>171224</v>
      </c>
    </row>
    <row r="91" spans="1:20">
      <c r="A91" s="335">
        <v>90711</v>
      </c>
      <c r="B91" s="328" t="s">
        <v>779</v>
      </c>
      <c r="C91" s="239">
        <v>1.5481E-3</v>
      </c>
      <c r="D91" s="239">
        <v>1.6165000000000001E-3</v>
      </c>
      <c r="E91" s="329">
        <v>4227740</v>
      </c>
      <c r="F91" s="329"/>
      <c r="G91" s="329">
        <v>723896</v>
      </c>
      <c r="H91" s="329">
        <v>103121</v>
      </c>
      <c r="I91" s="329">
        <v>689052</v>
      </c>
      <c r="J91" s="329">
        <v>0</v>
      </c>
      <c r="K91" s="329">
        <v>1516069</v>
      </c>
      <c r="L91" s="329"/>
      <c r="M91" s="329">
        <v>0</v>
      </c>
      <c r="N91" s="329">
        <v>0</v>
      </c>
      <c r="O91" s="329">
        <v>141744</v>
      </c>
      <c r="P91" s="329">
        <v>141744</v>
      </c>
      <c r="Q91" s="329"/>
      <c r="R91" s="329">
        <v>1883284</v>
      </c>
      <c r="S91" s="329">
        <v>-80901</v>
      </c>
      <c r="T91" s="329">
        <v>1802383</v>
      </c>
    </row>
    <row r="92" spans="1:20">
      <c r="A92" s="335">
        <v>90721</v>
      </c>
      <c r="B92" s="328" t="s">
        <v>780</v>
      </c>
      <c r="C92" s="239">
        <v>2.1399999999999998E-5</v>
      </c>
      <c r="D92" s="239">
        <v>2.8200000000000001E-5</v>
      </c>
      <c r="E92" s="329">
        <v>58442</v>
      </c>
      <c r="F92" s="329"/>
      <c r="G92" s="329">
        <v>10007</v>
      </c>
      <c r="H92" s="329">
        <v>1425</v>
      </c>
      <c r="I92" s="329">
        <v>9525</v>
      </c>
      <c r="J92" s="329">
        <v>157</v>
      </c>
      <c r="K92" s="329">
        <v>21114</v>
      </c>
      <c r="L92" s="329"/>
      <c r="M92" s="329">
        <v>0</v>
      </c>
      <c r="N92" s="329">
        <v>0</v>
      </c>
      <c r="O92" s="329">
        <v>6486</v>
      </c>
      <c r="P92" s="329">
        <v>6486</v>
      </c>
      <c r="Q92" s="329"/>
      <c r="R92" s="329">
        <v>26033</v>
      </c>
      <c r="S92" s="329">
        <v>-1729</v>
      </c>
      <c r="T92" s="329">
        <v>24304</v>
      </c>
    </row>
    <row r="93" spans="1:20">
      <c r="A93" s="335">
        <v>90731</v>
      </c>
      <c r="B93" s="328" t="s">
        <v>781</v>
      </c>
      <c r="C93" s="239">
        <v>1.384E-4</v>
      </c>
      <c r="D93" s="239">
        <v>1.4919999999999999E-4</v>
      </c>
      <c r="E93" s="329">
        <v>377960</v>
      </c>
      <c r="F93" s="329"/>
      <c r="G93" s="329">
        <v>64716</v>
      </c>
      <c r="H93" s="329">
        <v>9219</v>
      </c>
      <c r="I93" s="329">
        <v>61601</v>
      </c>
      <c r="J93" s="329">
        <v>0</v>
      </c>
      <c r="K93" s="329">
        <v>135536</v>
      </c>
      <c r="L93" s="329"/>
      <c r="M93" s="329">
        <v>0</v>
      </c>
      <c r="N93" s="329">
        <v>0</v>
      </c>
      <c r="O93" s="329">
        <v>17153</v>
      </c>
      <c r="P93" s="329">
        <v>17153</v>
      </c>
      <c r="Q93" s="329"/>
      <c r="R93" s="329">
        <v>168365</v>
      </c>
      <c r="S93" s="329">
        <v>-7847</v>
      </c>
      <c r="T93" s="329">
        <v>160518</v>
      </c>
    </row>
    <row r="94" spans="1:20">
      <c r="A94" s="335">
        <v>90741</v>
      </c>
      <c r="B94" s="328" t="s">
        <v>782</v>
      </c>
      <c r="C94" s="239">
        <v>1.38E-5</v>
      </c>
      <c r="D94" s="239">
        <v>1.52E-5</v>
      </c>
      <c r="E94" s="329">
        <v>37687</v>
      </c>
      <c r="F94" s="329"/>
      <c r="G94" s="329">
        <v>6453</v>
      </c>
      <c r="H94" s="329">
        <v>919</v>
      </c>
      <c r="I94" s="329">
        <v>6142</v>
      </c>
      <c r="J94" s="329">
        <v>3237</v>
      </c>
      <c r="K94" s="329">
        <v>16751</v>
      </c>
      <c r="L94" s="329"/>
      <c r="M94" s="329">
        <v>0</v>
      </c>
      <c r="N94" s="329">
        <v>0</v>
      </c>
      <c r="O94" s="329">
        <v>1091</v>
      </c>
      <c r="P94" s="329">
        <v>1091</v>
      </c>
      <c r="Q94" s="329"/>
      <c r="R94" s="329">
        <v>16788</v>
      </c>
      <c r="S94" s="329">
        <v>1605</v>
      </c>
      <c r="T94" s="329">
        <v>18393</v>
      </c>
    </row>
    <row r="95" spans="1:20">
      <c r="A95" s="335">
        <v>90751</v>
      </c>
      <c r="B95" s="328" t="s">
        <v>783</v>
      </c>
      <c r="C95" s="239">
        <v>6.3E-5</v>
      </c>
      <c r="D95" s="239">
        <v>7.9499999999999994E-5</v>
      </c>
      <c r="E95" s="329">
        <v>172048</v>
      </c>
      <c r="F95" s="329"/>
      <c r="G95" s="329">
        <v>29459</v>
      </c>
      <c r="H95" s="329">
        <v>4197</v>
      </c>
      <c r="I95" s="329">
        <v>28041</v>
      </c>
      <c r="J95" s="329">
        <v>1902</v>
      </c>
      <c r="K95" s="329">
        <v>63599</v>
      </c>
      <c r="L95" s="329"/>
      <c r="M95" s="329">
        <v>0</v>
      </c>
      <c r="N95" s="329">
        <v>0</v>
      </c>
      <c r="O95" s="329">
        <v>16916</v>
      </c>
      <c r="P95" s="329">
        <v>16916</v>
      </c>
      <c r="Q95" s="329"/>
      <c r="R95" s="329">
        <v>76640</v>
      </c>
      <c r="S95" s="329">
        <v>-2503</v>
      </c>
      <c r="T95" s="329">
        <v>74137</v>
      </c>
    </row>
    <row r="96" spans="1:20">
      <c r="A96" s="335">
        <v>90801</v>
      </c>
      <c r="B96" s="328" t="s">
        <v>784</v>
      </c>
      <c r="C96" s="239">
        <v>1.2669999999999999E-3</v>
      </c>
      <c r="D96" s="239">
        <v>1.338E-3</v>
      </c>
      <c r="E96" s="329">
        <v>3460078</v>
      </c>
      <c r="F96" s="329"/>
      <c r="G96" s="329">
        <v>592453</v>
      </c>
      <c r="H96" s="329">
        <v>84396</v>
      </c>
      <c r="I96" s="329">
        <v>563935</v>
      </c>
      <c r="J96" s="329">
        <v>30862</v>
      </c>
      <c r="K96" s="329">
        <v>1271646</v>
      </c>
      <c r="L96" s="329"/>
      <c r="M96" s="329">
        <v>0</v>
      </c>
      <c r="N96" s="329">
        <v>0</v>
      </c>
      <c r="O96" s="329">
        <v>151759</v>
      </c>
      <c r="P96" s="329">
        <v>151759</v>
      </c>
      <c r="Q96" s="329"/>
      <c r="R96" s="329">
        <v>1541322</v>
      </c>
      <c r="S96" s="329">
        <v>14339</v>
      </c>
      <c r="T96" s="329">
        <v>1555661</v>
      </c>
    </row>
    <row r="97" spans="1:20">
      <c r="A97" s="335">
        <v>90804</v>
      </c>
      <c r="B97" s="328" t="s">
        <v>785</v>
      </c>
      <c r="C97" s="239">
        <v>5.5999999999999997E-6</v>
      </c>
      <c r="D97" s="239">
        <v>6.0000000000000002E-6</v>
      </c>
      <c r="E97" s="329">
        <v>15293</v>
      </c>
      <c r="F97" s="329"/>
      <c r="G97" s="329">
        <v>2619</v>
      </c>
      <c r="H97" s="329">
        <v>373</v>
      </c>
      <c r="I97" s="329">
        <v>2493</v>
      </c>
      <c r="J97" s="329">
        <v>189</v>
      </c>
      <c r="K97" s="329">
        <v>5674</v>
      </c>
      <c r="L97" s="329"/>
      <c r="M97" s="329">
        <v>0</v>
      </c>
      <c r="N97" s="329">
        <v>0</v>
      </c>
      <c r="O97" s="329">
        <v>479</v>
      </c>
      <c r="P97" s="329">
        <v>479</v>
      </c>
      <c r="Q97" s="329"/>
      <c r="R97" s="329">
        <v>6812</v>
      </c>
      <c r="S97" s="329">
        <v>251</v>
      </c>
      <c r="T97" s="329">
        <v>7063</v>
      </c>
    </row>
    <row r="98" spans="1:20">
      <c r="A98" s="335">
        <v>90805</v>
      </c>
      <c r="B98" s="328" t="s">
        <v>786</v>
      </c>
      <c r="C98" s="239">
        <v>6.5900000000000003E-5</v>
      </c>
      <c r="D98" s="239">
        <v>6.6600000000000006E-5</v>
      </c>
      <c r="E98" s="329">
        <v>179968</v>
      </c>
      <c r="F98" s="329"/>
      <c r="G98" s="329">
        <v>30815</v>
      </c>
      <c r="H98" s="329">
        <v>4390</v>
      </c>
      <c r="I98" s="329">
        <v>29332</v>
      </c>
      <c r="J98" s="329">
        <v>26214</v>
      </c>
      <c r="K98" s="329">
        <v>90751</v>
      </c>
      <c r="L98" s="329"/>
      <c r="M98" s="329">
        <v>0</v>
      </c>
      <c r="N98" s="329">
        <v>0</v>
      </c>
      <c r="O98" s="329">
        <v>0</v>
      </c>
      <c r="P98" s="329">
        <v>0</v>
      </c>
      <c r="Q98" s="329"/>
      <c r="R98" s="329">
        <v>80168</v>
      </c>
      <c r="S98" s="329">
        <v>12759</v>
      </c>
      <c r="T98" s="329">
        <v>92927</v>
      </c>
    </row>
    <row r="99" spans="1:20">
      <c r="A99" s="335">
        <v>90808</v>
      </c>
      <c r="B99" s="328" t="s">
        <v>3663</v>
      </c>
      <c r="C99" s="239">
        <v>1.395E-4</v>
      </c>
      <c r="D99" s="239">
        <v>1.0119999999999999E-4</v>
      </c>
      <c r="E99" s="329">
        <v>380964</v>
      </c>
      <c r="F99" s="329"/>
      <c r="G99" s="329">
        <v>65231</v>
      </c>
      <c r="H99" s="329">
        <v>9292</v>
      </c>
      <c r="I99" s="329">
        <v>62091</v>
      </c>
      <c r="J99" s="329">
        <v>40200</v>
      </c>
      <c r="K99" s="329">
        <v>176814</v>
      </c>
      <c r="L99" s="329"/>
      <c r="M99" s="329">
        <v>0</v>
      </c>
      <c r="N99" s="329">
        <v>0</v>
      </c>
      <c r="O99" s="329">
        <v>702</v>
      </c>
      <c r="P99" s="329">
        <v>702</v>
      </c>
      <c r="Q99" s="329"/>
      <c r="R99" s="329">
        <v>169704</v>
      </c>
      <c r="S99" s="329">
        <v>10423</v>
      </c>
      <c r="T99" s="329">
        <v>180127</v>
      </c>
    </row>
    <row r="100" spans="1:20">
      <c r="A100" s="335">
        <v>90811</v>
      </c>
      <c r="B100" s="328" t="s">
        <v>788</v>
      </c>
      <c r="C100" s="239">
        <v>3.4900000000000001E-5</v>
      </c>
      <c r="D100" s="239">
        <v>3.6199999999999999E-5</v>
      </c>
      <c r="E100" s="329">
        <v>95309</v>
      </c>
      <c r="F100" s="329"/>
      <c r="G100" s="329">
        <v>16319</v>
      </c>
      <c r="H100" s="329">
        <v>2324</v>
      </c>
      <c r="I100" s="329">
        <v>15534</v>
      </c>
      <c r="J100" s="329">
        <v>0</v>
      </c>
      <c r="K100" s="329">
        <v>34177</v>
      </c>
      <c r="L100" s="329"/>
      <c r="M100" s="329">
        <v>0</v>
      </c>
      <c r="N100" s="329">
        <v>0</v>
      </c>
      <c r="O100" s="329">
        <v>9832</v>
      </c>
      <c r="P100" s="329">
        <v>9832</v>
      </c>
      <c r="Q100" s="329"/>
      <c r="R100" s="329">
        <v>42456</v>
      </c>
      <c r="S100" s="329">
        <v>-4056</v>
      </c>
      <c r="T100" s="329">
        <v>38400</v>
      </c>
    </row>
    <row r="101" spans="1:20">
      <c r="A101" s="335">
        <v>90812</v>
      </c>
      <c r="B101" s="328" t="s">
        <v>789</v>
      </c>
      <c r="C101" s="239">
        <v>2.2100000000000001E-4</v>
      </c>
      <c r="D101" s="239">
        <v>2.2489999999999999E-4</v>
      </c>
      <c r="E101" s="329">
        <v>603534</v>
      </c>
      <c r="F101" s="329"/>
      <c r="G101" s="329">
        <v>103340</v>
      </c>
      <c r="H101" s="329">
        <v>14721</v>
      </c>
      <c r="I101" s="329">
        <v>98366</v>
      </c>
      <c r="J101" s="329">
        <v>5327</v>
      </c>
      <c r="K101" s="329">
        <v>221754</v>
      </c>
      <c r="L101" s="329"/>
      <c r="M101" s="329">
        <v>0</v>
      </c>
      <c r="N101" s="329">
        <v>0</v>
      </c>
      <c r="O101" s="329">
        <v>12070</v>
      </c>
      <c r="P101" s="329">
        <v>12070</v>
      </c>
      <c r="Q101" s="329"/>
      <c r="R101" s="329">
        <v>268849</v>
      </c>
      <c r="S101" s="329">
        <v>-3204</v>
      </c>
      <c r="T101" s="329">
        <v>265645</v>
      </c>
    </row>
    <row r="102" spans="1:20">
      <c r="A102" s="335">
        <v>90813</v>
      </c>
      <c r="B102" s="328" t="s">
        <v>790</v>
      </c>
      <c r="C102" s="239">
        <v>4.6E-6</v>
      </c>
      <c r="D102" s="239">
        <v>5.0000000000000004E-6</v>
      </c>
      <c r="E102" s="329">
        <v>12562</v>
      </c>
      <c r="F102" s="329"/>
      <c r="G102" s="329">
        <v>2151</v>
      </c>
      <c r="H102" s="329">
        <v>307</v>
      </c>
      <c r="I102" s="329">
        <v>2047</v>
      </c>
      <c r="J102" s="329">
        <v>0</v>
      </c>
      <c r="K102" s="329">
        <v>4505</v>
      </c>
      <c r="L102" s="329"/>
      <c r="M102" s="329">
        <v>0</v>
      </c>
      <c r="N102" s="329">
        <v>0</v>
      </c>
      <c r="O102" s="329">
        <v>1049</v>
      </c>
      <c r="P102" s="329">
        <v>1049</v>
      </c>
      <c r="Q102" s="329"/>
      <c r="R102" s="329">
        <v>5596</v>
      </c>
      <c r="S102" s="329">
        <v>-559</v>
      </c>
      <c r="T102" s="329">
        <v>5037</v>
      </c>
    </row>
    <row r="103" spans="1:20">
      <c r="A103" s="335">
        <v>90861</v>
      </c>
      <c r="B103" s="328" t="s">
        <v>791</v>
      </c>
      <c r="C103" s="239">
        <v>8.4999999999999999E-6</v>
      </c>
      <c r="D103" s="239">
        <v>7.7999999999999999E-6</v>
      </c>
      <c r="E103" s="329">
        <v>23213</v>
      </c>
      <c r="F103" s="329"/>
      <c r="G103" s="329">
        <v>3975</v>
      </c>
      <c r="H103" s="329">
        <v>566</v>
      </c>
      <c r="I103" s="329">
        <v>3783</v>
      </c>
      <c r="J103" s="329">
        <v>7590</v>
      </c>
      <c r="K103" s="329">
        <v>15914</v>
      </c>
      <c r="L103" s="329"/>
      <c r="M103" s="329">
        <v>0</v>
      </c>
      <c r="N103" s="329">
        <v>0</v>
      </c>
      <c r="O103" s="329">
        <v>0</v>
      </c>
      <c r="P103" s="329">
        <v>0</v>
      </c>
      <c r="Q103" s="329"/>
      <c r="R103" s="329">
        <v>10340</v>
      </c>
      <c r="S103" s="329">
        <v>3178</v>
      </c>
      <c r="T103" s="329">
        <v>13518</v>
      </c>
    </row>
    <row r="104" spans="1:20">
      <c r="A104" s="335">
        <v>90901</v>
      </c>
      <c r="B104" s="328" t="s">
        <v>792</v>
      </c>
      <c r="C104" s="239">
        <v>2.274E-3</v>
      </c>
      <c r="D104" s="239">
        <v>2.1440000000000001E-3</v>
      </c>
      <c r="E104" s="329">
        <v>6210117</v>
      </c>
      <c r="F104" s="329"/>
      <c r="G104" s="329">
        <v>1063329</v>
      </c>
      <c r="H104" s="329">
        <v>151474</v>
      </c>
      <c r="I104" s="329">
        <v>1012146</v>
      </c>
      <c r="J104" s="329">
        <v>94867</v>
      </c>
      <c r="K104" s="329">
        <v>2321816</v>
      </c>
      <c r="L104" s="329"/>
      <c r="M104" s="329">
        <v>0</v>
      </c>
      <c r="N104" s="329">
        <v>0</v>
      </c>
      <c r="O104" s="329">
        <v>12787</v>
      </c>
      <c r="P104" s="329">
        <v>12787</v>
      </c>
      <c r="Q104" s="329"/>
      <c r="R104" s="329">
        <v>2766351</v>
      </c>
      <c r="S104" s="329">
        <v>10469</v>
      </c>
      <c r="T104" s="329">
        <v>2776820</v>
      </c>
    </row>
    <row r="105" spans="1:20">
      <c r="A105" s="335">
        <v>90911</v>
      </c>
      <c r="B105" s="328" t="s">
        <v>793</v>
      </c>
      <c r="C105" s="239">
        <v>3.8539999999999999E-4</v>
      </c>
      <c r="D105" s="239">
        <v>4.037E-4</v>
      </c>
      <c r="E105" s="329">
        <v>1052497</v>
      </c>
      <c r="F105" s="329"/>
      <c r="G105" s="329">
        <v>180214</v>
      </c>
      <c r="H105" s="329">
        <v>25672</v>
      </c>
      <c r="I105" s="329">
        <v>171540</v>
      </c>
      <c r="J105" s="329">
        <v>3402</v>
      </c>
      <c r="K105" s="329">
        <v>380828</v>
      </c>
      <c r="L105" s="329"/>
      <c r="M105" s="329">
        <v>0</v>
      </c>
      <c r="N105" s="329">
        <v>0</v>
      </c>
      <c r="O105" s="329">
        <v>47605</v>
      </c>
      <c r="P105" s="329">
        <v>47605</v>
      </c>
      <c r="Q105" s="329"/>
      <c r="R105" s="329">
        <v>468844</v>
      </c>
      <c r="S105" s="329">
        <v>-17641</v>
      </c>
      <c r="T105" s="329">
        <v>451203</v>
      </c>
    </row>
    <row r="106" spans="1:20">
      <c r="A106" s="335">
        <v>90917</v>
      </c>
      <c r="B106" s="328" t="s">
        <v>794</v>
      </c>
      <c r="C106" s="239">
        <v>8.1000000000000004E-6</v>
      </c>
      <c r="D106" s="239">
        <v>1.1800000000000001E-5</v>
      </c>
      <c r="E106" s="329">
        <v>22120</v>
      </c>
      <c r="F106" s="329"/>
      <c r="G106" s="329">
        <v>3788</v>
      </c>
      <c r="H106" s="329">
        <v>539</v>
      </c>
      <c r="I106" s="329">
        <v>3605</v>
      </c>
      <c r="J106" s="329">
        <v>377</v>
      </c>
      <c r="K106" s="329">
        <v>8309</v>
      </c>
      <c r="L106" s="329"/>
      <c r="M106" s="329">
        <v>0</v>
      </c>
      <c r="N106" s="329">
        <v>0</v>
      </c>
      <c r="O106" s="329">
        <v>3369</v>
      </c>
      <c r="P106" s="329">
        <v>3369</v>
      </c>
      <c r="Q106" s="329"/>
      <c r="R106" s="329">
        <v>9854</v>
      </c>
      <c r="S106" s="329">
        <v>-461</v>
      </c>
      <c r="T106" s="329">
        <v>9393</v>
      </c>
    </row>
    <row r="107" spans="1:20" ht="30">
      <c r="A107" s="335">
        <v>90918</v>
      </c>
      <c r="B107" s="328" t="s">
        <v>3664</v>
      </c>
      <c r="C107" s="239">
        <v>1.06E-5</v>
      </c>
      <c r="D107" s="239">
        <v>1.13E-5</v>
      </c>
      <c r="E107" s="329">
        <v>28948</v>
      </c>
      <c r="F107" s="329"/>
      <c r="G107" s="329">
        <v>4957</v>
      </c>
      <c r="H107" s="329">
        <v>706</v>
      </c>
      <c r="I107" s="329">
        <v>4718</v>
      </c>
      <c r="J107" s="329">
        <v>0</v>
      </c>
      <c r="K107" s="329">
        <v>10381</v>
      </c>
      <c r="L107" s="329"/>
      <c r="M107" s="329">
        <v>0</v>
      </c>
      <c r="N107" s="329">
        <v>0</v>
      </c>
      <c r="O107" s="329">
        <v>2125</v>
      </c>
      <c r="P107" s="329">
        <v>2125</v>
      </c>
      <c r="Q107" s="329"/>
      <c r="R107" s="329">
        <v>12895</v>
      </c>
      <c r="S107" s="329">
        <v>-1151</v>
      </c>
      <c r="T107" s="329">
        <v>11744</v>
      </c>
    </row>
    <row r="108" spans="1:20">
      <c r="A108" s="335">
        <v>90921</v>
      </c>
      <c r="B108" s="328" t="s">
        <v>796</v>
      </c>
      <c r="C108" s="239">
        <v>1.2129999999999999E-4</v>
      </c>
      <c r="D108" s="239">
        <v>1.2789999999999999E-4</v>
      </c>
      <c r="E108" s="329">
        <v>331261</v>
      </c>
      <c r="F108" s="329"/>
      <c r="G108" s="329">
        <v>56720</v>
      </c>
      <c r="H108" s="329">
        <v>8080</v>
      </c>
      <c r="I108" s="329">
        <v>53990</v>
      </c>
      <c r="J108" s="329">
        <v>14157</v>
      </c>
      <c r="K108" s="329">
        <v>132947</v>
      </c>
      <c r="L108" s="329"/>
      <c r="M108" s="329">
        <v>0</v>
      </c>
      <c r="N108" s="329">
        <v>0</v>
      </c>
      <c r="O108" s="329">
        <v>3883</v>
      </c>
      <c r="P108" s="329">
        <v>3883</v>
      </c>
      <c r="Q108" s="329"/>
      <c r="R108" s="329">
        <v>147563</v>
      </c>
      <c r="S108" s="329">
        <v>5889</v>
      </c>
      <c r="T108" s="329">
        <v>153452</v>
      </c>
    </row>
    <row r="109" spans="1:20">
      <c r="A109" s="335">
        <v>90931</v>
      </c>
      <c r="B109" s="328" t="s">
        <v>797</v>
      </c>
      <c r="C109" s="239">
        <v>3.7299999999999999E-5</v>
      </c>
      <c r="D109" s="239">
        <v>3.8099999999999998E-5</v>
      </c>
      <c r="E109" s="329">
        <v>101863</v>
      </c>
      <c r="F109" s="329"/>
      <c r="G109" s="329">
        <v>17442</v>
      </c>
      <c r="H109" s="329">
        <v>2484</v>
      </c>
      <c r="I109" s="329">
        <v>16602</v>
      </c>
      <c r="J109" s="329">
        <v>0</v>
      </c>
      <c r="K109" s="329">
        <v>36528</v>
      </c>
      <c r="L109" s="329"/>
      <c r="M109" s="329">
        <v>0</v>
      </c>
      <c r="N109" s="329">
        <v>0</v>
      </c>
      <c r="O109" s="329">
        <v>11531</v>
      </c>
      <c r="P109" s="329">
        <v>11531</v>
      </c>
      <c r="Q109" s="329"/>
      <c r="R109" s="329">
        <v>45376</v>
      </c>
      <c r="S109" s="329">
        <v>-4509</v>
      </c>
      <c r="T109" s="329">
        <v>40867</v>
      </c>
    </row>
    <row r="110" spans="1:20">
      <c r="A110" s="335">
        <v>90941</v>
      </c>
      <c r="B110" s="328" t="s">
        <v>798</v>
      </c>
      <c r="C110" s="239">
        <v>8.5400000000000002E-5</v>
      </c>
      <c r="D110" s="239">
        <v>8.2000000000000001E-5</v>
      </c>
      <c r="E110" s="329">
        <v>233221</v>
      </c>
      <c r="F110" s="329"/>
      <c r="G110" s="329">
        <v>39933</v>
      </c>
      <c r="H110" s="329">
        <v>5688</v>
      </c>
      <c r="I110" s="329">
        <v>38011</v>
      </c>
      <c r="J110" s="329">
        <v>6140</v>
      </c>
      <c r="K110" s="329">
        <v>89772</v>
      </c>
      <c r="L110" s="329"/>
      <c r="M110" s="329">
        <v>0</v>
      </c>
      <c r="N110" s="329">
        <v>0</v>
      </c>
      <c r="O110" s="329">
        <v>5789</v>
      </c>
      <c r="P110" s="329">
        <v>5789</v>
      </c>
      <c r="Q110" s="329"/>
      <c r="R110" s="329">
        <v>103890</v>
      </c>
      <c r="S110" s="329">
        <v>-2436</v>
      </c>
      <c r="T110" s="329">
        <v>101454</v>
      </c>
    </row>
    <row r="111" spans="1:20">
      <c r="A111" s="335">
        <v>91001</v>
      </c>
      <c r="B111" s="328" t="s">
        <v>799</v>
      </c>
      <c r="C111" s="239">
        <v>7.2779999999999997E-3</v>
      </c>
      <c r="D111" s="239">
        <v>6.6366999999999997E-3</v>
      </c>
      <c r="E111" s="329">
        <v>19875650</v>
      </c>
      <c r="F111" s="329"/>
      <c r="G111" s="329">
        <v>3403215</v>
      </c>
      <c r="H111" s="329">
        <v>484794</v>
      </c>
      <c r="I111" s="329">
        <v>3239401</v>
      </c>
      <c r="J111" s="329">
        <v>348849</v>
      </c>
      <c r="K111" s="329">
        <v>7476259</v>
      </c>
      <c r="L111" s="329"/>
      <c r="M111" s="329">
        <v>0</v>
      </c>
      <c r="N111" s="329">
        <v>0</v>
      </c>
      <c r="O111" s="329">
        <v>211170</v>
      </c>
      <c r="P111" s="329">
        <v>211170</v>
      </c>
      <c r="Q111" s="329"/>
      <c r="R111" s="329">
        <v>8853782</v>
      </c>
      <c r="S111" s="329">
        <v>-34417</v>
      </c>
      <c r="T111" s="329">
        <v>8819365</v>
      </c>
    </row>
    <row r="112" spans="1:20">
      <c r="A112" s="335">
        <v>91002</v>
      </c>
      <c r="B112" s="328" t="s">
        <v>800</v>
      </c>
      <c r="C112" s="239">
        <v>1.2939E-3</v>
      </c>
      <c r="D112" s="239">
        <v>9.4410000000000002E-4</v>
      </c>
      <c r="E112" s="329">
        <v>3533540</v>
      </c>
      <c r="F112" s="329"/>
      <c r="G112" s="329">
        <v>605032</v>
      </c>
      <c r="H112" s="329">
        <v>86188</v>
      </c>
      <c r="I112" s="329">
        <v>575908</v>
      </c>
      <c r="J112" s="329">
        <v>305840</v>
      </c>
      <c r="K112" s="329">
        <v>1572968</v>
      </c>
      <c r="L112" s="329"/>
      <c r="M112" s="329">
        <v>0</v>
      </c>
      <c r="N112" s="329">
        <v>0</v>
      </c>
      <c r="O112" s="329">
        <v>9040</v>
      </c>
      <c r="P112" s="329">
        <v>9040</v>
      </c>
      <c r="Q112" s="329"/>
      <c r="R112" s="329">
        <v>1574046</v>
      </c>
      <c r="S112" s="329">
        <v>70870</v>
      </c>
      <c r="T112" s="329">
        <v>1644916</v>
      </c>
    </row>
    <row r="113" spans="1:20">
      <c r="A113" s="335">
        <v>91003</v>
      </c>
      <c r="B113" s="328" t="s">
        <v>3665</v>
      </c>
      <c r="C113" s="239">
        <v>5.9570000000000001E-4</v>
      </c>
      <c r="D113" s="239">
        <v>5.354E-4</v>
      </c>
      <c r="E113" s="329">
        <v>1626810</v>
      </c>
      <c r="F113" s="329"/>
      <c r="G113" s="329">
        <v>278551</v>
      </c>
      <c r="H113" s="329">
        <v>39680</v>
      </c>
      <c r="I113" s="329">
        <v>265143</v>
      </c>
      <c r="J113" s="329">
        <v>53688</v>
      </c>
      <c r="K113" s="329">
        <v>637062</v>
      </c>
      <c r="L113" s="329"/>
      <c r="M113" s="329">
        <v>0</v>
      </c>
      <c r="N113" s="329">
        <v>0</v>
      </c>
      <c r="O113" s="329">
        <v>23363</v>
      </c>
      <c r="P113" s="329">
        <v>23363</v>
      </c>
      <c r="Q113" s="329"/>
      <c r="R113" s="329">
        <v>724677</v>
      </c>
      <c r="S113" s="329">
        <v>3187</v>
      </c>
      <c r="T113" s="329">
        <v>727864</v>
      </c>
    </row>
    <row r="114" spans="1:20">
      <c r="A114" s="335">
        <v>91004</v>
      </c>
      <c r="B114" s="328" t="s">
        <v>802</v>
      </c>
      <c r="C114" s="239">
        <v>3.3300000000000003E-5</v>
      </c>
      <c r="D114" s="239">
        <v>3.6600000000000002E-5</v>
      </c>
      <c r="E114" s="329">
        <v>90940</v>
      </c>
      <c r="F114" s="329"/>
      <c r="G114" s="329">
        <v>15571</v>
      </c>
      <c r="H114" s="329">
        <v>2219</v>
      </c>
      <c r="I114" s="329">
        <v>14822</v>
      </c>
      <c r="J114" s="329">
        <v>9268</v>
      </c>
      <c r="K114" s="329">
        <v>41880</v>
      </c>
      <c r="L114" s="329"/>
      <c r="M114" s="329">
        <v>0</v>
      </c>
      <c r="N114" s="329">
        <v>0</v>
      </c>
      <c r="O114" s="329">
        <v>3368</v>
      </c>
      <c r="P114" s="329">
        <v>3368</v>
      </c>
      <c r="Q114" s="329"/>
      <c r="R114" s="329">
        <v>40510</v>
      </c>
      <c r="S114" s="329">
        <v>4961</v>
      </c>
      <c r="T114" s="329">
        <v>45471</v>
      </c>
    </row>
    <row r="115" spans="1:20" ht="30">
      <c r="A115" s="335">
        <v>91006</v>
      </c>
      <c r="B115" s="328" t="s">
        <v>3666</v>
      </c>
      <c r="C115" s="239">
        <v>1.0489E-3</v>
      </c>
      <c r="D115" s="239">
        <v>1.0660999999999999E-3</v>
      </c>
      <c r="E115" s="329">
        <v>2864464</v>
      </c>
      <c r="F115" s="329"/>
      <c r="G115" s="329">
        <v>490469</v>
      </c>
      <c r="H115" s="329">
        <v>69869</v>
      </c>
      <c r="I115" s="329">
        <v>466860</v>
      </c>
      <c r="J115" s="329">
        <v>0</v>
      </c>
      <c r="K115" s="329">
        <v>1027198</v>
      </c>
      <c r="L115" s="329"/>
      <c r="M115" s="329">
        <v>0</v>
      </c>
      <c r="N115" s="329">
        <v>0</v>
      </c>
      <c r="O115" s="329">
        <v>63246</v>
      </c>
      <c r="P115" s="329">
        <v>63246</v>
      </c>
      <c r="Q115" s="329"/>
      <c r="R115" s="329">
        <v>1276000</v>
      </c>
      <c r="S115" s="329">
        <v>-14322</v>
      </c>
      <c r="T115" s="329">
        <v>1261678</v>
      </c>
    </row>
    <row r="116" spans="1:20">
      <c r="A116" s="335">
        <v>91007</v>
      </c>
      <c r="B116" s="328" t="s">
        <v>804</v>
      </c>
      <c r="C116" s="239">
        <v>1.0900000000000001E-5</v>
      </c>
      <c r="D116" s="239">
        <v>8.4999999999999999E-6</v>
      </c>
      <c r="E116" s="329">
        <v>29767</v>
      </c>
      <c r="F116" s="329"/>
      <c r="G116" s="329">
        <v>5097</v>
      </c>
      <c r="H116" s="329">
        <v>726</v>
      </c>
      <c r="I116" s="329">
        <v>4852</v>
      </c>
      <c r="J116" s="329">
        <v>4515</v>
      </c>
      <c r="K116" s="329">
        <v>15190</v>
      </c>
      <c r="L116" s="329"/>
      <c r="M116" s="329">
        <v>0</v>
      </c>
      <c r="N116" s="329">
        <v>0</v>
      </c>
      <c r="O116" s="329">
        <v>0</v>
      </c>
      <c r="P116" s="329">
        <v>0</v>
      </c>
      <c r="Q116" s="329"/>
      <c r="R116" s="329">
        <v>13260</v>
      </c>
      <c r="S116" s="329">
        <v>3098</v>
      </c>
      <c r="T116" s="329">
        <v>16358</v>
      </c>
    </row>
    <row r="117" spans="1:20">
      <c r="A117" s="335">
        <v>91008</v>
      </c>
      <c r="B117" s="328" t="s">
        <v>805</v>
      </c>
      <c r="C117" s="239">
        <v>1.474E-4</v>
      </c>
      <c r="D117" s="239">
        <v>1.3909999999999999E-4</v>
      </c>
      <c r="E117" s="329">
        <v>402538</v>
      </c>
      <c r="F117" s="329"/>
      <c r="G117" s="329">
        <v>68925</v>
      </c>
      <c r="H117" s="329">
        <v>9819</v>
      </c>
      <c r="I117" s="329">
        <v>65607</v>
      </c>
      <c r="J117" s="329">
        <v>30807</v>
      </c>
      <c r="K117" s="329">
        <v>175158</v>
      </c>
      <c r="L117" s="329"/>
      <c r="M117" s="329">
        <v>0</v>
      </c>
      <c r="N117" s="329">
        <v>0</v>
      </c>
      <c r="O117" s="329">
        <v>0</v>
      </c>
      <c r="P117" s="329">
        <v>0</v>
      </c>
      <c r="Q117" s="329"/>
      <c r="R117" s="329">
        <v>179314</v>
      </c>
      <c r="S117" s="329">
        <v>19442</v>
      </c>
      <c r="T117" s="329">
        <v>198756</v>
      </c>
    </row>
    <row r="118" spans="1:20">
      <c r="A118" s="335">
        <v>91009</v>
      </c>
      <c r="B118" s="328" t="s">
        <v>806</v>
      </c>
      <c r="C118" s="239">
        <v>8.3000000000000002E-6</v>
      </c>
      <c r="D118" s="239">
        <v>1.59E-5</v>
      </c>
      <c r="E118" s="329">
        <v>22667</v>
      </c>
      <c r="F118" s="329"/>
      <c r="G118" s="329">
        <v>3881</v>
      </c>
      <c r="H118" s="329">
        <v>553</v>
      </c>
      <c r="I118" s="329">
        <v>3694</v>
      </c>
      <c r="J118" s="329">
        <v>3287</v>
      </c>
      <c r="K118" s="329">
        <v>11415</v>
      </c>
      <c r="L118" s="329"/>
      <c r="M118" s="329">
        <v>0</v>
      </c>
      <c r="N118" s="329">
        <v>0</v>
      </c>
      <c r="O118" s="329">
        <v>642</v>
      </c>
      <c r="P118" s="329">
        <v>642</v>
      </c>
      <c r="Q118" s="329"/>
      <c r="R118" s="329">
        <v>10097</v>
      </c>
      <c r="S118" s="329">
        <v>756</v>
      </c>
      <c r="T118" s="329">
        <v>10853</v>
      </c>
    </row>
    <row r="119" spans="1:20">
      <c r="A119" s="335">
        <v>91010</v>
      </c>
      <c r="B119" s="328" t="s">
        <v>807</v>
      </c>
      <c r="C119" s="239">
        <v>5.1E-5</v>
      </c>
      <c r="D119" s="239">
        <v>5.8699999999999997E-5</v>
      </c>
      <c r="E119" s="329">
        <v>139277</v>
      </c>
      <c r="F119" s="329"/>
      <c r="G119" s="329">
        <v>23848</v>
      </c>
      <c r="H119" s="329">
        <v>3397</v>
      </c>
      <c r="I119" s="329">
        <v>22700</v>
      </c>
      <c r="J119" s="329">
        <v>704</v>
      </c>
      <c r="K119" s="329">
        <v>50649</v>
      </c>
      <c r="L119" s="329"/>
      <c r="M119" s="329">
        <v>0</v>
      </c>
      <c r="N119" s="329">
        <v>0</v>
      </c>
      <c r="O119" s="329">
        <v>7679</v>
      </c>
      <c r="P119" s="329">
        <v>7679</v>
      </c>
      <c r="Q119" s="329"/>
      <c r="R119" s="329">
        <v>62042</v>
      </c>
      <c r="S119" s="329">
        <v>-338</v>
      </c>
      <c r="T119" s="329">
        <v>61704</v>
      </c>
    </row>
    <row r="120" spans="1:20">
      <c r="A120" s="335">
        <v>91011</v>
      </c>
      <c r="B120" s="328" t="s">
        <v>808</v>
      </c>
      <c r="C120" s="239">
        <v>3.2009999999999997E-4</v>
      </c>
      <c r="D120" s="239">
        <v>3.6509999999999998E-4</v>
      </c>
      <c r="E120" s="329">
        <v>874168</v>
      </c>
      <c r="F120" s="329"/>
      <c r="G120" s="329">
        <v>149680</v>
      </c>
      <c r="H120" s="329">
        <v>21322</v>
      </c>
      <c r="I120" s="329">
        <v>142475</v>
      </c>
      <c r="J120" s="329">
        <v>14173</v>
      </c>
      <c r="K120" s="329">
        <v>327650</v>
      </c>
      <c r="L120" s="329"/>
      <c r="M120" s="329">
        <v>0</v>
      </c>
      <c r="N120" s="329">
        <v>0</v>
      </c>
      <c r="O120" s="329">
        <v>26422</v>
      </c>
      <c r="P120" s="329">
        <v>26422</v>
      </c>
      <c r="Q120" s="329"/>
      <c r="R120" s="329">
        <v>389406</v>
      </c>
      <c r="S120" s="329">
        <v>6664</v>
      </c>
      <c r="T120" s="329">
        <v>396070</v>
      </c>
    </row>
    <row r="121" spans="1:20">
      <c r="A121" s="335">
        <v>91012</v>
      </c>
      <c r="B121" s="328" t="s">
        <v>809</v>
      </c>
      <c r="C121" s="239">
        <v>1.4600000000000001E-5</v>
      </c>
      <c r="D121" s="239">
        <v>1.42E-5</v>
      </c>
      <c r="E121" s="329">
        <v>39871</v>
      </c>
      <c r="F121" s="329"/>
      <c r="G121" s="329">
        <v>6827</v>
      </c>
      <c r="H121" s="329">
        <v>973</v>
      </c>
      <c r="I121" s="329">
        <v>6498</v>
      </c>
      <c r="J121" s="329">
        <v>4187</v>
      </c>
      <c r="K121" s="329">
        <v>18485</v>
      </c>
      <c r="L121" s="329"/>
      <c r="M121" s="329">
        <v>0</v>
      </c>
      <c r="N121" s="329">
        <v>0</v>
      </c>
      <c r="O121" s="329">
        <v>2327</v>
      </c>
      <c r="P121" s="329">
        <v>2327</v>
      </c>
      <c r="Q121" s="329"/>
      <c r="R121" s="329">
        <v>17761</v>
      </c>
      <c r="S121" s="329">
        <v>1138</v>
      </c>
      <c r="T121" s="329">
        <v>18899</v>
      </c>
    </row>
    <row r="122" spans="1:20">
      <c r="A122" s="335">
        <v>91013</v>
      </c>
      <c r="B122" s="328" t="s">
        <v>810</v>
      </c>
      <c r="C122" s="239">
        <v>3.4999999999999997E-5</v>
      </c>
      <c r="D122" s="239">
        <v>1.9899999999999999E-5</v>
      </c>
      <c r="E122" s="329">
        <v>95582</v>
      </c>
      <c r="F122" s="329"/>
      <c r="G122" s="329">
        <v>16366</v>
      </c>
      <c r="H122" s="329">
        <v>2331</v>
      </c>
      <c r="I122" s="329">
        <v>15578</v>
      </c>
      <c r="J122" s="329">
        <v>48607</v>
      </c>
      <c r="K122" s="329">
        <v>82882</v>
      </c>
      <c r="L122" s="329"/>
      <c r="M122" s="329">
        <v>0</v>
      </c>
      <c r="N122" s="329">
        <v>0</v>
      </c>
      <c r="O122" s="329">
        <v>0</v>
      </c>
      <c r="P122" s="329">
        <v>0</v>
      </c>
      <c r="Q122" s="329"/>
      <c r="R122" s="329">
        <v>42578</v>
      </c>
      <c r="S122" s="329">
        <v>19543</v>
      </c>
      <c r="T122" s="329">
        <v>62121</v>
      </c>
    </row>
    <row r="123" spans="1:20">
      <c r="A123" s="335">
        <v>91014</v>
      </c>
      <c r="B123" s="328" t="s">
        <v>811</v>
      </c>
      <c r="C123" s="239">
        <v>1.7640000000000001E-4</v>
      </c>
      <c r="D123" s="239">
        <v>2.02E-4</v>
      </c>
      <c r="E123" s="329">
        <v>481735</v>
      </c>
      <c r="F123" s="329"/>
      <c r="G123" s="329">
        <v>82485</v>
      </c>
      <c r="H123" s="329">
        <v>11750</v>
      </c>
      <c r="I123" s="329">
        <v>78515</v>
      </c>
      <c r="J123" s="329">
        <v>658</v>
      </c>
      <c r="K123" s="329">
        <v>173408</v>
      </c>
      <c r="L123" s="329"/>
      <c r="M123" s="329">
        <v>0</v>
      </c>
      <c r="N123" s="329">
        <v>0</v>
      </c>
      <c r="O123" s="329">
        <v>26573</v>
      </c>
      <c r="P123" s="329">
        <v>26573</v>
      </c>
      <c r="Q123" s="329"/>
      <c r="R123" s="329">
        <v>214593</v>
      </c>
      <c r="S123" s="329">
        <v>-9823</v>
      </c>
      <c r="T123" s="329">
        <v>204770</v>
      </c>
    </row>
    <row r="124" spans="1:20">
      <c r="A124" s="335">
        <v>91015</v>
      </c>
      <c r="B124" s="328" t="s">
        <v>1640</v>
      </c>
      <c r="C124" s="239">
        <v>1.8499999999999999E-5</v>
      </c>
      <c r="D124" s="239">
        <v>1.9400000000000001E-5</v>
      </c>
      <c r="E124" s="329">
        <v>50522</v>
      </c>
      <c r="F124" s="329"/>
      <c r="G124" s="329">
        <v>8651</v>
      </c>
      <c r="H124" s="329">
        <v>1232</v>
      </c>
      <c r="I124" s="329">
        <v>8234</v>
      </c>
      <c r="J124" s="329">
        <v>21884</v>
      </c>
      <c r="K124" s="329">
        <v>40001</v>
      </c>
      <c r="L124" s="329"/>
      <c r="M124" s="329">
        <v>0</v>
      </c>
      <c r="N124" s="329">
        <v>0</v>
      </c>
      <c r="O124" s="329">
        <v>0</v>
      </c>
      <c r="P124" s="329">
        <v>0</v>
      </c>
      <c r="Q124" s="329"/>
      <c r="R124" s="329">
        <v>22505</v>
      </c>
      <c r="S124" s="329">
        <v>6737</v>
      </c>
      <c r="T124" s="329">
        <v>29242</v>
      </c>
    </row>
    <row r="125" spans="1:20">
      <c r="A125" s="335">
        <v>91017</v>
      </c>
      <c r="B125" s="328" t="s">
        <v>812</v>
      </c>
      <c r="C125" s="239">
        <v>2.4700000000000001E-5</v>
      </c>
      <c r="D125" s="239">
        <v>2.3499999999999999E-5</v>
      </c>
      <c r="E125" s="329">
        <v>67454</v>
      </c>
      <c r="F125" s="329"/>
      <c r="G125" s="329">
        <v>11550</v>
      </c>
      <c r="H125" s="329">
        <v>1645</v>
      </c>
      <c r="I125" s="329">
        <v>10994</v>
      </c>
      <c r="J125" s="329">
        <v>5489</v>
      </c>
      <c r="K125" s="329">
        <v>29678</v>
      </c>
      <c r="L125" s="329"/>
      <c r="M125" s="329">
        <v>0</v>
      </c>
      <c r="N125" s="329">
        <v>0</v>
      </c>
      <c r="O125" s="329">
        <v>0</v>
      </c>
      <c r="P125" s="329">
        <v>0</v>
      </c>
      <c r="Q125" s="329"/>
      <c r="R125" s="329">
        <v>30048</v>
      </c>
      <c r="S125" s="329">
        <v>4188</v>
      </c>
      <c r="T125" s="329">
        <v>34236</v>
      </c>
    </row>
    <row r="126" spans="1:20">
      <c r="A126" s="335">
        <v>91020</v>
      </c>
      <c r="B126" s="328" t="s">
        <v>813</v>
      </c>
      <c r="C126" s="239">
        <v>2.2900000000000001E-5</v>
      </c>
      <c r="D126" s="239">
        <v>2.9200000000000002E-5</v>
      </c>
      <c r="E126" s="329">
        <v>62538</v>
      </c>
      <c r="F126" s="329"/>
      <c r="G126" s="329">
        <v>10708</v>
      </c>
      <c r="H126" s="329">
        <v>1526</v>
      </c>
      <c r="I126" s="329">
        <v>10193</v>
      </c>
      <c r="J126" s="329">
        <v>4697</v>
      </c>
      <c r="K126" s="329">
        <v>27124</v>
      </c>
      <c r="L126" s="329"/>
      <c r="M126" s="329">
        <v>0</v>
      </c>
      <c r="N126" s="329">
        <v>0</v>
      </c>
      <c r="O126" s="329">
        <v>5632</v>
      </c>
      <c r="P126" s="329">
        <v>5632</v>
      </c>
      <c r="Q126" s="329"/>
      <c r="R126" s="329">
        <v>27858</v>
      </c>
      <c r="S126" s="329">
        <v>516</v>
      </c>
      <c r="T126" s="329">
        <v>28374</v>
      </c>
    </row>
    <row r="127" spans="1:20">
      <c r="A127" s="335">
        <v>91021</v>
      </c>
      <c r="B127" s="328" t="s">
        <v>814</v>
      </c>
      <c r="C127" s="239">
        <v>9.2460000000000003E-4</v>
      </c>
      <c r="D127" s="239">
        <v>8.8009999999999998E-4</v>
      </c>
      <c r="E127" s="329">
        <v>2525010</v>
      </c>
      <c r="F127" s="329"/>
      <c r="G127" s="329">
        <v>432346</v>
      </c>
      <c r="H127" s="329">
        <v>61588</v>
      </c>
      <c r="I127" s="329">
        <v>411535</v>
      </c>
      <c r="J127" s="329">
        <v>56023</v>
      </c>
      <c r="K127" s="329">
        <v>961492</v>
      </c>
      <c r="L127" s="329"/>
      <c r="M127" s="329">
        <v>0</v>
      </c>
      <c r="N127" s="329">
        <v>0</v>
      </c>
      <c r="O127" s="329">
        <v>13548</v>
      </c>
      <c r="P127" s="329">
        <v>13548</v>
      </c>
      <c r="Q127" s="329"/>
      <c r="R127" s="329">
        <v>1124788</v>
      </c>
      <c r="S127" s="329">
        <v>-5680</v>
      </c>
      <c r="T127" s="329">
        <v>1119108</v>
      </c>
    </row>
    <row r="128" spans="1:20">
      <c r="A128" s="335">
        <v>91024</v>
      </c>
      <c r="B128" s="328" t="s">
        <v>815</v>
      </c>
      <c r="C128" s="239">
        <v>9.3599999999999998E-5</v>
      </c>
      <c r="D128" s="239">
        <v>9.3800000000000003E-5</v>
      </c>
      <c r="E128" s="329">
        <v>255614</v>
      </c>
      <c r="F128" s="329"/>
      <c r="G128" s="329">
        <v>43768</v>
      </c>
      <c r="H128" s="329">
        <v>6234</v>
      </c>
      <c r="I128" s="329">
        <v>41661</v>
      </c>
      <c r="J128" s="329">
        <v>22087</v>
      </c>
      <c r="K128" s="329">
        <v>113750</v>
      </c>
      <c r="L128" s="329"/>
      <c r="M128" s="329">
        <v>0</v>
      </c>
      <c r="N128" s="329">
        <v>0</v>
      </c>
      <c r="O128" s="329">
        <v>0</v>
      </c>
      <c r="P128" s="329">
        <v>0</v>
      </c>
      <c r="Q128" s="329"/>
      <c r="R128" s="329">
        <v>113866</v>
      </c>
      <c r="S128" s="329">
        <v>13315</v>
      </c>
      <c r="T128" s="329">
        <v>127181</v>
      </c>
    </row>
    <row r="129" spans="1:20">
      <c r="A129" s="335">
        <v>91026</v>
      </c>
      <c r="B129" s="328" t="s">
        <v>43</v>
      </c>
      <c r="C129" s="239">
        <v>3.1099999999999997E-5</v>
      </c>
      <c r="D129" s="239">
        <v>4.5599999999999997E-5</v>
      </c>
      <c r="E129" s="329">
        <v>84932</v>
      </c>
      <c r="F129" s="329"/>
      <c r="G129" s="329">
        <v>14542</v>
      </c>
      <c r="H129" s="329">
        <v>2072</v>
      </c>
      <c r="I129" s="329">
        <v>13842</v>
      </c>
      <c r="J129" s="329">
        <v>32022</v>
      </c>
      <c r="K129" s="329">
        <v>62478</v>
      </c>
      <c r="L129" s="329"/>
      <c r="M129" s="329">
        <v>0</v>
      </c>
      <c r="N129" s="329">
        <v>0</v>
      </c>
      <c r="O129" s="329">
        <v>0</v>
      </c>
      <c r="P129" s="329">
        <v>0</v>
      </c>
      <c r="Q129" s="329"/>
      <c r="R129" s="329">
        <v>37834</v>
      </c>
      <c r="S129" s="329">
        <v>20924</v>
      </c>
      <c r="T129" s="329">
        <v>58758</v>
      </c>
    </row>
    <row r="130" spans="1:20">
      <c r="A130" s="335">
        <v>91027</v>
      </c>
      <c r="B130" s="328" t="s">
        <v>2798</v>
      </c>
      <c r="C130" s="239">
        <v>1.7E-5</v>
      </c>
      <c r="D130" s="239">
        <v>1.6699999999999999E-5</v>
      </c>
      <c r="E130" s="329">
        <v>46426</v>
      </c>
      <c r="F130" s="329"/>
      <c r="G130" s="329">
        <v>7949</v>
      </c>
      <c r="H130" s="329">
        <v>1132</v>
      </c>
      <c r="I130" s="329">
        <v>7567</v>
      </c>
      <c r="J130" s="329">
        <v>15193</v>
      </c>
      <c r="K130" s="329">
        <v>31841</v>
      </c>
      <c r="L130" s="329"/>
      <c r="M130" s="329">
        <v>0</v>
      </c>
      <c r="N130" s="329">
        <v>0</v>
      </c>
      <c r="O130" s="329">
        <v>0</v>
      </c>
      <c r="P130" s="329">
        <v>0</v>
      </c>
      <c r="Q130" s="329"/>
      <c r="R130" s="329">
        <v>20681</v>
      </c>
      <c r="S130" s="329">
        <v>8116</v>
      </c>
      <c r="T130" s="329">
        <v>28797</v>
      </c>
    </row>
    <row r="131" spans="1:20">
      <c r="A131" s="335">
        <v>91032</v>
      </c>
      <c r="B131" s="328" t="s">
        <v>817</v>
      </c>
      <c r="C131" s="239">
        <v>1.66E-5</v>
      </c>
      <c r="D131" s="239">
        <v>1.6399999999999999E-5</v>
      </c>
      <c r="E131" s="329">
        <v>45333</v>
      </c>
      <c r="F131" s="329"/>
      <c r="G131" s="329">
        <v>7762</v>
      </c>
      <c r="H131" s="329">
        <v>1105</v>
      </c>
      <c r="I131" s="329">
        <v>7389</v>
      </c>
      <c r="J131" s="329">
        <v>19226</v>
      </c>
      <c r="K131" s="329">
        <v>35482</v>
      </c>
      <c r="L131" s="329"/>
      <c r="M131" s="329">
        <v>0</v>
      </c>
      <c r="N131" s="329">
        <v>0</v>
      </c>
      <c r="O131" s="329">
        <v>0</v>
      </c>
      <c r="P131" s="329">
        <v>0</v>
      </c>
      <c r="Q131" s="329"/>
      <c r="R131" s="329">
        <v>20194</v>
      </c>
      <c r="S131" s="329">
        <v>9093</v>
      </c>
      <c r="T131" s="329">
        <v>29287</v>
      </c>
    </row>
    <row r="132" spans="1:20">
      <c r="A132" s="335">
        <v>91041</v>
      </c>
      <c r="B132" s="328" t="s">
        <v>818</v>
      </c>
      <c r="C132" s="239">
        <v>4.3379999999999997E-4</v>
      </c>
      <c r="D132" s="239">
        <v>4.373E-4</v>
      </c>
      <c r="E132" s="329">
        <v>1184674</v>
      </c>
      <c r="F132" s="329"/>
      <c r="G132" s="329">
        <v>202846</v>
      </c>
      <c r="H132" s="329">
        <v>28895</v>
      </c>
      <c r="I132" s="329">
        <v>193082</v>
      </c>
      <c r="J132" s="329">
        <v>0</v>
      </c>
      <c r="K132" s="329">
        <v>424823</v>
      </c>
      <c r="L132" s="329"/>
      <c r="M132" s="329">
        <v>0</v>
      </c>
      <c r="N132" s="329">
        <v>0</v>
      </c>
      <c r="O132" s="329">
        <v>62219</v>
      </c>
      <c r="P132" s="329">
        <v>62219</v>
      </c>
      <c r="Q132" s="329"/>
      <c r="R132" s="329">
        <v>527723</v>
      </c>
      <c r="S132" s="329">
        <v>-42923</v>
      </c>
      <c r="T132" s="329">
        <v>484800</v>
      </c>
    </row>
    <row r="133" spans="1:20">
      <c r="A133" s="335">
        <v>91042</v>
      </c>
      <c r="B133" s="328" t="s">
        <v>819</v>
      </c>
      <c r="C133" s="239">
        <v>2.6259999999999999E-4</v>
      </c>
      <c r="D133" s="239">
        <v>2.6630000000000002E-4</v>
      </c>
      <c r="E133" s="329">
        <v>717140</v>
      </c>
      <c r="F133" s="329"/>
      <c r="G133" s="329">
        <v>122793</v>
      </c>
      <c r="H133" s="329">
        <v>17493</v>
      </c>
      <c r="I133" s="329">
        <v>116882</v>
      </c>
      <c r="J133" s="329">
        <v>14664</v>
      </c>
      <c r="K133" s="329">
        <v>271832</v>
      </c>
      <c r="L133" s="329"/>
      <c r="M133" s="329">
        <v>0</v>
      </c>
      <c r="N133" s="329">
        <v>0</v>
      </c>
      <c r="O133" s="329">
        <v>14986</v>
      </c>
      <c r="P133" s="329">
        <v>14986</v>
      </c>
      <c r="Q133" s="329"/>
      <c r="R133" s="329">
        <v>319456</v>
      </c>
      <c r="S133" s="329">
        <v>273</v>
      </c>
      <c r="T133" s="329">
        <v>319729</v>
      </c>
    </row>
    <row r="134" spans="1:20">
      <c r="A134" s="335">
        <v>91047</v>
      </c>
      <c r="B134" s="328" t="s">
        <v>820</v>
      </c>
      <c r="C134" s="239">
        <v>1.15E-5</v>
      </c>
      <c r="D134" s="239">
        <v>1.24E-5</v>
      </c>
      <c r="E134" s="329">
        <v>31406</v>
      </c>
      <c r="F134" s="329"/>
      <c r="G134" s="329">
        <v>5377</v>
      </c>
      <c r="H134" s="329">
        <v>766</v>
      </c>
      <c r="I134" s="329">
        <v>5119</v>
      </c>
      <c r="J134" s="329">
        <v>22634</v>
      </c>
      <c r="K134" s="329">
        <v>33896</v>
      </c>
      <c r="L134" s="329"/>
      <c r="M134" s="329">
        <v>0</v>
      </c>
      <c r="N134" s="329">
        <v>0</v>
      </c>
      <c r="O134" s="329">
        <v>0</v>
      </c>
      <c r="P134" s="329">
        <v>0</v>
      </c>
      <c r="Q134" s="329"/>
      <c r="R134" s="329">
        <v>13990</v>
      </c>
      <c r="S134" s="329">
        <v>11270</v>
      </c>
      <c r="T134" s="329">
        <v>25260</v>
      </c>
    </row>
    <row r="135" spans="1:20">
      <c r="A135" s="335">
        <v>91051</v>
      </c>
      <c r="B135" s="328" t="s">
        <v>821</v>
      </c>
      <c r="C135" s="239">
        <v>6.2799999999999995E-5</v>
      </c>
      <c r="D135" s="239">
        <v>6.7999999999999999E-5</v>
      </c>
      <c r="E135" s="329">
        <v>171502</v>
      </c>
      <c r="F135" s="329"/>
      <c r="G135" s="329">
        <v>29365</v>
      </c>
      <c r="H135" s="329">
        <v>4183</v>
      </c>
      <c r="I135" s="329">
        <v>27952</v>
      </c>
      <c r="J135" s="329">
        <v>871</v>
      </c>
      <c r="K135" s="329">
        <v>62371</v>
      </c>
      <c r="L135" s="329"/>
      <c r="M135" s="329">
        <v>0</v>
      </c>
      <c r="N135" s="329">
        <v>0</v>
      </c>
      <c r="O135" s="329">
        <v>4847</v>
      </c>
      <c r="P135" s="329">
        <v>4847</v>
      </c>
      <c r="Q135" s="329"/>
      <c r="R135" s="329">
        <v>76397</v>
      </c>
      <c r="S135" s="329">
        <v>-1473</v>
      </c>
      <c r="T135" s="329">
        <v>74924</v>
      </c>
    </row>
    <row r="136" spans="1:20">
      <c r="A136" s="335">
        <v>91057</v>
      </c>
      <c r="B136" s="328" t="s">
        <v>822</v>
      </c>
      <c r="C136" s="239">
        <v>1.5699999999999999E-5</v>
      </c>
      <c r="D136" s="239">
        <v>1.3699999999999999E-5</v>
      </c>
      <c r="E136" s="329">
        <v>42875</v>
      </c>
      <c r="F136" s="329"/>
      <c r="G136" s="329">
        <v>7341</v>
      </c>
      <c r="H136" s="329">
        <v>1046</v>
      </c>
      <c r="I136" s="329">
        <v>6988</v>
      </c>
      <c r="J136" s="329">
        <v>8738</v>
      </c>
      <c r="K136" s="329">
        <v>24113</v>
      </c>
      <c r="L136" s="329"/>
      <c r="M136" s="329">
        <v>0</v>
      </c>
      <c r="N136" s="329">
        <v>0</v>
      </c>
      <c r="O136" s="329">
        <v>0</v>
      </c>
      <c r="P136" s="329">
        <v>0</v>
      </c>
      <c r="Q136" s="329"/>
      <c r="R136" s="329">
        <v>19099</v>
      </c>
      <c r="S136" s="329">
        <v>3957</v>
      </c>
      <c r="T136" s="329">
        <v>23056</v>
      </c>
    </row>
    <row r="137" spans="1:20">
      <c r="A137" s="335">
        <v>91061</v>
      </c>
      <c r="B137" s="328" t="s">
        <v>823</v>
      </c>
      <c r="C137" s="239">
        <v>3.8039999999999998E-4</v>
      </c>
      <c r="D137" s="239">
        <v>3.657E-4</v>
      </c>
      <c r="E137" s="329">
        <v>1038843</v>
      </c>
      <c r="F137" s="329"/>
      <c r="G137" s="329">
        <v>177876</v>
      </c>
      <c r="H137" s="329">
        <v>25339</v>
      </c>
      <c r="I137" s="329">
        <v>169314</v>
      </c>
      <c r="J137" s="329">
        <v>11692</v>
      </c>
      <c r="K137" s="329">
        <v>384221</v>
      </c>
      <c r="L137" s="329"/>
      <c r="M137" s="329">
        <v>0</v>
      </c>
      <c r="N137" s="329">
        <v>0</v>
      </c>
      <c r="O137" s="329">
        <v>19860</v>
      </c>
      <c r="P137" s="329">
        <v>19860</v>
      </c>
      <c r="Q137" s="329"/>
      <c r="R137" s="329">
        <v>462762</v>
      </c>
      <c r="S137" s="329">
        <v>-8533</v>
      </c>
      <c r="T137" s="329">
        <v>454229</v>
      </c>
    </row>
    <row r="138" spans="1:20">
      <c r="A138" s="335">
        <v>91067</v>
      </c>
      <c r="B138" s="328" t="s">
        <v>824</v>
      </c>
      <c r="C138" s="239">
        <v>1.6200000000000001E-5</v>
      </c>
      <c r="D138" s="239">
        <v>1.6900000000000001E-5</v>
      </c>
      <c r="E138" s="329">
        <v>44241</v>
      </c>
      <c r="F138" s="329"/>
      <c r="G138" s="329">
        <v>7575</v>
      </c>
      <c r="H138" s="329">
        <v>1079</v>
      </c>
      <c r="I138" s="329">
        <v>7211</v>
      </c>
      <c r="J138" s="329">
        <v>1968</v>
      </c>
      <c r="K138" s="329">
        <v>17833</v>
      </c>
      <c r="L138" s="329"/>
      <c r="M138" s="329">
        <v>0</v>
      </c>
      <c r="N138" s="329">
        <v>0</v>
      </c>
      <c r="O138" s="329">
        <v>203</v>
      </c>
      <c r="P138" s="329">
        <v>203</v>
      </c>
      <c r="Q138" s="329"/>
      <c r="R138" s="329">
        <v>19708</v>
      </c>
      <c r="S138" s="329">
        <v>1241</v>
      </c>
      <c r="T138" s="329">
        <v>20949</v>
      </c>
    </row>
    <row r="139" spans="1:20">
      <c r="A139" s="335">
        <v>91071</v>
      </c>
      <c r="B139" s="328" t="s">
        <v>3667</v>
      </c>
      <c r="C139" s="239">
        <v>2.4489999999999999E-4</v>
      </c>
      <c r="D139" s="239">
        <v>2.354E-4</v>
      </c>
      <c r="E139" s="329">
        <v>668803</v>
      </c>
      <c r="F139" s="329"/>
      <c r="G139" s="329">
        <v>114516</v>
      </c>
      <c r="H139" s="329">
        <v>16313</v>
      </c>
      <c r="I139" s="329">
        <v>109004</v>
      </c>
      <c r="J139" s="329">
        <v>0</v>
      </c>
      <c r="K139" s="329">
        <v>239833</v>
      </c>
      <c r="L139" s="329"/>
      <c r="M139" s="329">
        <v>0</v>
      </c>
      <c r="N139" s="329">
        <v>0</v>
      </c>
      <c r="O139" s="329">
        <v>12755</v>
      </c>
      <c r="P139" s="329">
        <v>12755</v>
      </c>
      <c r="Q139" s="329"/>
      <c r="R139" s="329">
        <v>297924</v>
      </c>
      <c r="S139" s="329">
        <v>-6634</v>
      </c>
      <c r="T139" s="329">
        <v>291290</v>
      </c>
    </row>
    <row r="140" spans="1:20">
      <c r="A140" s="335">
        <v>91077</v>
      </c>
      <c r="B140" s="328" t="s">
        <v>826</v>
      </c>
      <c r="C140" s="239">
        <v>5.9000000000000003E-6</v>
      </c>
      <c r="D140" s="239">
        <v>3.1E-6</v>
      </c>
      <c r="E140" s="329">
        <v>16112</v>
      </c>
      <c r="F140" s="329"/>
      <c r="G140" s="329">
        <v>2759</v>
      </c>
      <c r="H140" s="329">
        <v>393</v>
      </c>
      <c r="I140" s="329">
        <v>2626</v>
      </c>
      <c r="J140" s="329">
        <v>3562</v>
      </c>
      <c r="K140" s="329">
        <v>9340</v>
      </c>
      <c r="L140" s="329"/>
      <c r="M140" s="329">
        <v>0</v>
      </c>
      <c r="N140" s="329">
        <v>0</v>
      </c>
      <c r="O140" s="329">
        <v>0</v>
      </c>
      <c r="P140" s="329">
        <v>0</v>
      </c>
      <c r="Q140" s="329"/>
      <c r="R140" s="329">
        <v>7177</v>
      </c>
      <c r="S140" s="329">
        <v>1342</v>
      </c>
      <c r="T140" s="329">
        <v>8519</v>
      </c>
    </row>
    <row r="141" spans="1:20">
      <c r="A141" s="335">
        <v>91081</v>
      </c>
      <c r="B141" s="328" t="s">
        <v>827</v>
      </c>
      <c r="C141" s="239">
        <v>4.2739999999999998E-4</v>
      </c>
      <c r="D141" s="239">
        <v>3.8870000000000002E-4</v>
      </c>
      <c r="E141" s="329">
        <v>1167196</v>
      </c>
      <c r="F141" s="329"/>
      <c r="G141" s="329">
        <v>199854</v>
      </c>
      <c r="H141" s="329">
        <v>28470</v>
      </c>
      <c r="I141" s="329">
        <v>190234</v>
      </c>
      <c r="J141" s="329">
        <v>30285</v>
      </c>
      <c r="K141" s="329">
        <v>448843</v>
      </c>
      <c r="L141" s="329"/>
      <c r="M141" s="329">
        <v>0</v>
      </c>
      <c r="N141" s="329">
        <v>0</v>
      </c>
      <c r="O141" s="329">
        <v>0</v>
      </c>
      <c r="P141" s="329">
        <v>0</v>
      </c>
      <c r="Q141" s="329"/>
      <c r="R141" s="329">
        <v>519938</v>
      </c>
      <c r="S141" s="329">
        <v>9199</v>
      </c>
      <c r="T141" s="329">
        <v>529137</v>
      </c>
    </row>
    <row r="142" spans="1:20">
      <c r="A142" s="335">
        <v>91091</v>
      </c>
      <c r="B142" s="328" t="s">
        <v>828</v>
      </c>
      <c r="C142" s="239">
        <v>5.4540000000000003E-4</v>
      </c>
      <c r="D142" s="239">
        <v>5.0319999999999998E-4</v>
      </c>
      <c r="E142" s="329">
        <v>1489445</v>
      </c>
      <c r="F142" s="329"/>
      <c r="G142" s="329">
        <v>255031</v>
      </c>
      <c r="H142" s="329">
        <v>36330</v>
      </c>
      <c r="I142" s="329">
        <v>242755</v>
      </c>
      <c r="J142" s="329">
        <v>27236</v>
      </c>
      <c r="K142" s="329">
        <v>561352</v>
      </c>
      <c r="L142" s="329"/>
      <c r="M142" s="329">
        <v>0</v>
      </c>
      <c r="N142" s="329">
        <v>0</v>
      </c>
      <c r="O142" s="329">
        <v>39624</v>
      </c>
      <c r="P142" s="329">
        <v>39624</v>
      </c>
      <c r="Q142" s="329"/>
      <c r="R142" s="329">
        <v>663486</v>
      </c>
      <c r="S142" s="329">
        <v>-17164</v>
      </c>
      <c r="T142" s="329">
        <v>646322</v>
      </c>
    </row>
    <row r="143" spans="1:20">
      <c r="A143" s="335">
        <v>91101</v>
      </c>
      <c r="B143" s="328" t="s">
        <v>829</v>
      </c>
      <c r="C143" s="239">
        <v>1.32874E-2</v>
      </c>
      <c r="D143" s="239">
        <v>1.3608800000000001E-2</v>
      </c>
      <c r="E143" s="329">
        <v>36286853</v>
      </c>
      <c r="F143" s="329"/>
      <c r="G143" s="329">
        <v>6213228</v>
      </c>
      <c r="H143" s="329">
        <v>885087</v>
      </c>
      <c r="I143" s="329">
        <v>5914155</v>
      </c>
      <c r="J143" s="329">
        <v>0</v>
      </c>
      <c r="K143" s="329">
        <v>13012470</v>
      </c>
      <c r="L143" s="329"/>
      <c r="M143" s="329">
        <v>0</v>
      </c>
      <c r="N143" s="329">
        <v>0</v>
      </c>
      <c r="O143" s="329">
        <v>935259</v>
      </c>
      <c r="P143" s="329">
        <v>935259</v>
      </c>
      <c r="Q143" s="329"/>
      <c r="R143" s="329">
        <v>16164295</v>
      </c>
      <c r="S143" s="329">
        <v>-203601</v>
      </c>
      <c r="T143" s="329">
        <v>15960694</v>
      </c>
    </row>
    <row r="144" spans="1:20">
      <c r="A144" s="335">
        <v>91102</v>
      </c>
      <c r="B144" s="328" t="s">
        <v>830</v>
      </c>
      <c r="C144" s="239">
        <v>3.279E-4</v>
      </c>
      <c r="D144" s="239">
        <v>3.2509999999999999E-4</v>
      </c>
      <c r="E144" s="329">
        <v>895469</v>
      </c>
      <c r="F144" s="329"/>
      <c r="G144" s="329">
        <v>153327</v>
      </c>
      <c r="H144" s="329">
        <v>21841</v>
      </c>
      <c r="I144" s="329">
        <v>145947</v>
      </c>
      <c r="J144" s="329">
        <v>15005</v>
      </c>
      <c r="K144" s="329">
        <v>336120</v>
      </c>
      <c r="L144" s="329"/>
      <c r="M144" s="329">
        <v>0</v>
      </c>
      <c r="N144" s="329">
        <v>0</v>
      </c>
      <c r="O144" s="329">
        <v>925</v>
      </c>
      <c r="P144" s="329">
        <v>925</v>
      </c>
      <c r="Q144" s="329"/>
      <c r="R144" s="329">
        <v>398895</v>
      </c>
      <c r="S144" s="329">
        <v>-5501</v>
      </c>
      <c r="T144" s="329">
        <v>393394</v>
      </c>
    </row>
    <row r="145" spans="1:20">
      <c r="A145" s="335">
        <v>91104</v>
      </c>
      <c r="B145" s="328" t="s">
        <v>831</v>
      </c>
      <c r="C145" s="239">
        <v>1.66E-5</v>
      </c>
      <c r="D145" s="239">
        <v>6.9999999999999999E-6</v>
      </c>
      <c r="E145" s="329">
        <v>45333</v>
      </c>
      <c r="F145" s="329"/>
      <c r="G145" s="329">
        <v>7762</v>
      </c>
      <c r="H145" s="329">
        <v>1105</v>
      </c>
      <c r="I145" s="329">
        <v>7389</v>
      </c>
      <c r="J145" s="329">
        <v>13759</v>
      </c>
      <c r="K145" s="329">
        <v>30015</v>
      </c>
      <c r="L145" s="329"/>
      <c r="M145" s="329">
        <v>0</v>
      </c>
      <c r="N145" s="329">
        <v>0</v>
      </c>
      <c r="O145" s="329">
        <v>0</v>
      </c>
      <c r="P145" s="329">
        <v>0</v>
      </c>
      <c r="Q145" s="329"/>
      <c r="R145" s="329">
        <v>20194</v>
      </c>
      <c r="S145" s="329">
        <v>4017</v>
      </c>
      <c r="T145" s="329">
        <v>24211</v>
      </c>
    </row>
    <row r="146" spans="1:20">
      <c r="A146" s="335">
        <v>91107</v>
      </c>
      <c r="B146" s="328" t="s">
        <v>3668</v>
      </c>
      <c r="C146" s="239">
        <v>5.4500000000000003E-5</v>
      </c>
      <c r="D146" s="239">
        <v>5.8999999999999998E-5</v>
      </c>
      <c r="E146" s="329">
        <v>148835</v>
      </c>
      <c r="F146" s="329"/>
      <c r="G146" s="329">
        <v>25484</v>
      </c>
      <c r="H146" s="329">
        <v>3631</v>
      </c>
      <c r="I146" s="329">
        <v>24258</v>
      </c>
      <c r="J146" s="329">
        <v>12685</v>
      </c>
      <c r="K146" s="329">
        <v>66058</v>
      </c>
      <c r="L146" s="329"/>
      <c r="M146" s="329">
        <v>0</v>
      </c>
      <c r="N146" s="329">
        <v>0</v>
      </c>
      <c r="O146" s="329">
        <v>2257</v>
      </c>
      <c r="P146" s="329">
        <v>2257</v>
      </c>
      <c r="Q146" s="329"/>
      <c r="R146" s="329">
        <v>66300</v>
      </c>
      <c r="S146" s="329">
        <v>5016</v>
      </c>
      <c r="T146" s="329">
        <v>71316</v>
      </c>
    </row>
    <row r="147" spans="1:20">
      <c r="A147" s="335">
        <v>91108</v>
      </c>
      <c r="B147" s="328" t="s">
        <v>3669</v>
      </c>
      <c r="C147" s="239">
        <v>1.1929E-3</v>
      </c>
      <c r="D147" s="239">
        <v>1.2019000000000001E-3</v>
      </c>
      <c r="E147" s="329">
        <v>3257717</v>
      </c>
      <c r="F147" s="329"/>
      <c r="G147" s="329">
        <v>557804</v>
      </c>
      <c r="H147" s="329">
        <v>79460</v>
      </c>
      <c r="I147" s="329">
        <v>530954</v>
      </c>
      <c r="J147" s="329">
        <v>81445</v>
      </c>
      <c r="K147" s="329">
        <v>1249663</v>
      </c>
      <c r="L147" s="329"/>
      <c r="M147" s="329">
        <v>0</v>
      </c>
      <c r="N147" s="329">
        <v>0</v>
      </c>
      <c r="O147" s="329">
        <v>0</v>
      </c>
      <c r="P147" s="329">
        <v>0</v>
      </c>
      <c r="Q147" s="329"/>
      <c r="R147" s="329">
        <v>1451178</v>
      </c>
      <c r="S147" s="329">
        <v>40685</v>
      </c>
      <c r="T147" s="329">
        <v>1491863</v>
      </c>
    </row>
    <row r="148" spans="1:20">
      <c r="A148" s="335">
        <v>91109</v>
      </c>
      <c r="B148" s="328" t="s">
        <v>2785</v>
      </c>
      <c r="C148" s="239">
        <v>9.8300000000000004E-5</v>
      </c>
      <c r="D148" s="239">
        <v>1E-4</v>
      </c>
      <c r="E148" s="329">
        <v>268450</v>
      </c>
      <c r="F148" s="329"/>
      <c r="G148" s="329">
        <v>45965</v>
      </c>
      <c r="H148" s="329">
        <v>6548</v>
      </c>
      <c r="I148" s="329">
        <v>43753</v>
      </c>
      <c r="J148" s="329">
        <v>5573</v>
      </c>
      <c r="K148" s="329">
        <v>101839</v>
      </c>
      <c r="L148" s="329"/>
      <c r="M148" s="329">
        <v>0</v>
      </c>
      <c r="N148" s="329">
        <v>0</v>
      </c>
      <c r="O148" s="329">
        <v>108</v>
      </c>
      <c r="P148" s="329">
        <v>108</v>
      </c>
      <c r="Q148" s="329"/>
      <c r="R148" s="329">
        <v>119583</v>
      </c>
      <c r="S148" s="329">
        <v>2680</v>
      </c>
      <c r="T148" s="329">
        <v>122263</v>
      </c>
    </row>
    <row r="149" spans="1:20">
      <c r="A149" s="335">
        <v>91111</v>
      </c>
      <c r="B149" s="328" t="s">
        <v>835</v>
      </c>
      <c r="C149" s="239">
        <v>1.973E-4</v>
      </c>
      <c r="D149" s="239">
        <v>2.3499999999999999E-4</v>
      </c>
      <c r="E149" s="329">
        <v>538811</v>
      </c>
      <c r="F149" s="329"/>
      <c r="G149" s="329">
        <v>92258</v>
      </c>
      <c r="H149" s="329">
        <v>13143</v>
      </c>
      <c r="I149" s="329">
        <v>87817</v>
      </c>
      <c r="J149" s="329">
        <v>8882</v>
      </c>
      <c r="K149" s="329">
        <v>202100</v>
      </c>
      <c r="L149" s="329"/>
      <c r="M149" s="329">
        <v>0</v>
      </c>
      <c r="N149" s="329">
        <v>0</v>
      </c>
      <c r="O149" s="329">
        <v>19294</v>
      </c>
      <c r="P149" s="329">
        <v>19294</v>
      </c>
      <c r="Q149" s="329"/>
      <c r="R149" s="329">
        <v>240018</v>
      </c>
      <c r="S149" s="329">
        <v>5623</v>
      </c>
      <c r="T149" s="329">
        <v>245641</v>
      </c>
    </row>
    <row r="150" spans="1:20">
      <c r="A150" s="335">
        <v>91120</v>
      </c>
      <c r="B150" s="328" t="s">
        <v>3670</v>
      </c>
      <c r="C150" s="239">
        <v>1.807E-4</v>
      </c>
      <c r="D150" s="239">
        <v>1.2679999999999999E-4</v>
      </c>
      <c r="E150" s="329">
        <v>493478</v>
      </c>
      <c r="F150" s="329"/>
      <c r="G150" s="329">
        <v>84496</v>
      </c>
      <c r="H150" s="329">
        <v>12036</v>
      </c>
      <c r="I150" s="329">
        <v>80429</v>
      </c>
      <c r="J150" s="329">
        <v>34909</v>
      </c>
      <c r="K150" s="329">
        <v>211870</v>
      </c>
      <c r="L150" s="329"/>
      <c r="M150" s="329">
        <v>0</v>
      </c>
      <c r="N150" s="329">
        <v>0</v>
      </c>
      <c r="O150" s="329">
        <v>10750</v>
      </c>
      <c r="P150" s="329">
        <v>10750</v>
      </c>
      <c r="Q150" s="329"/>
      <c r="R150" s="329">
        <v>219824</v>
      </c>
      <c r="S150" s="329">
        <v>-1266</v>
      </c>
      <c r="T150" s="329">
        <v>218558</v>
      </c>
    </row>
    <row r="151" spans="1:20">
      <c r="A151" s="335">
        <v>91121</v>
      </c>
      <c r="B151" s="328" t="s">
        <v>837</v>
      </c>
      <c r="C151" s="239">
        <v>1.03844E-2</v>
      </c>
      <c r="D151" s="239">
        <v>1.02925E-2</v>
      </c>
      <c r="E151" s="329">
        <v>28358986</v>
      </c>
      <c r="F151" s="329"/>
      <c r="G151" s="329">
        <v>4855777</v>
      </c>
      <c r="H151" s="329">
        <v>691716</v>
      </c>
      <c r="I151" s="329">
        <v>4622045</v>
      </c>
      <c r="J151" s="329">
        <v>0</v>
      </c>
      <c r="K151" s="329">
        <v>10169538</v>
      </c>
      <c r="L151" s="329"/>
      <c r="M151" s="329">
        <v>0</v>
      </c>
      <c r="N151" s="329">
        <v>0</v>
      </c>
      <c r="O151" s="329">
        <v>462767</v>
      </c>
      <c r="P151" s="329">
        <v>462767</v>
      </c>
      <c r="Q151" s="329"/>
      <c r="R151" s="329">
        <v>12632758</v>
      </c>
      <c r="S151" s="329">
        <v>-250458</v>
      </c>
      <c r="T151" s="329">
        <v>12382300</v>
      </c>
    </row>
    <row r="152" spans="1:20">
      <c r="A152" s="335">
        <v>91127</v>
      </c>
      <c r="B152" s="328" t="s">
        <v>838</v>
      </c>
      <c r="C152" s="239">
        <v>2.7989999999999997E-4</v>
      </c>
      <c r="D152" s="239">
        <v>2.8370000000000001E-4</v>
      </c>
      <c r="E152" s="329">
        <v>764385</v>
      </c>
      <c r="F152" s="329"/>
      <c r="G152" s="329">
        <v>130882</v>
      </c>
      <c r="H152" s="329">
        <v>18644</v>
      </c>
      <c r="I152" s="329">
        <v>124582</v>
      </c>
      <c r="J152" s="329">
        <v>45499</v>
      </c>
      <c r="K152" s="329">
        <v>319607</v>
      </c>
      <c r="L152" s="329"/>
      <c r="M152" s="329">
        <v>0</v>
      </c>
      <c r="N152" s="329">
        <v>0</v>
      </c>
      <c r="O152" s="329">
        <v>0</v>
      </c>
      <c r="P152" s="329">
        <v>0</v>
      </c>
      <c r="Q152" s="329"/>
      <c r="R152" s="329">
        <v>340502</v>
      </c>
      <c r="S152" s="329">
        <v>23566</v>
      </c>
      <c r="T152" s="329">
        <v>364068</v>
      </c>
    </row>
    <row r="153" spans="1:20">
      <c r="A153" s="335">
        <v>91128</v>
      </c>
      <c r="B153" s="328" t="s">
        <v>839</v>
      </c>
      <c r="C153" s="239">
        <v>4.6710000000000002E-4</v>
      </c>
      <c r="D153" s="239">
        <v>5.1060000000000005E-4</v>
      </c>
      <c r="E153" s="329">
        <v>1275614</v>
      </c>
      <c r="F153" s="329"/>
      <c r="G153" s="329">
        <v>218417</v>
      </c>
      <c r="H153" s="329">
        <v>31114</v>
      </c>
      <c r="I153" s="329">
        <v>207904</v>
      </c>
      <c r="J153" s="329">
        <v>4437</v>
      </c>
      <c r="K153" s="329">
        <v>461872</v>
      </c>
      <c r="L153" s="329"/>
      <c r="M153" s="329">
        <v>0</v>
      </c>
      <c r="N153" s="329">
        <v>0</v>
      </c>
      <c r="O153" s="329">
        <v>31667</v>
      </c>
      <c r="P153" s="329">
        <v>31667</v>
      </c>
      <c r="Q153" s="329"/>
      <c r="R153" s="329">
        <v>568233</v>
      </c>
      <c r="S153" s="329">
        <v>-3537</v>
      </c>
      <c r="T153" s="329">
        <v>564696</v>
      </c>
    </row>
    <row r="154" spans="1:20">
      <c r="A154" s="335">
        <v>91138</v>
      </c>
      <c r="B154" s="328" t="s">
        <v>3671</v>
      </c>
      <c r="C154" s="239">
        <v>4.8010000000000001E-4</v>
      </c>
      <c r="D154" s="239">
        <v>4.8819999999999999E-4</v>
      </c>
      <c r="E154" s="329">
        <v>1311116</v>
      </c>
      <c r="F154" s="329"/>
      <c r="G154" s="329">
        <v>224496</v>
      </c>
      <c r="H154" s="329">
        <v>31980</v>
      </c>
      <c r="I154" s="329">
        <v>213690</v>
      </c>
      <c r="J154" s="329">
        <v>0</v>
      </c>
      <c r="K154" s="329">
        <v>470166</v>
      </c>
      <c r="L154" s="329"/>
      <c r="M154" s="329">
        <v>0</v>
      </c>
      <c r="N154" s="329">
        <v>0</v>
      </c>
      <c r="O154" s="329">
        <v>174521</v>
      </c>
      <c r="P154" s="329">
        <v>174521</v>
      </c>
      <c r="Q154" s="329"/>
      <c r="R154" s="329">
        <v>584048</v>
      </c>
      <c r="S154" s="329">
        <v>-78769</v>
      </c>
      <c r="T154" s="329">
        <v>505279</v>
      </c>
    </row>
    <row r="155" spans="1:20">
      <c r="A155" s="335">
        <v>91141</v>
      </c>
      <c r="B155" s="328" t="s">
        <v>841</v>
      </c>
      <c r="C155" s="239">
        <v>6.3610000000000001E-4</v>
      </c>
      <c r="D155" s="239">
        <v>5.5960000000000005E-4</v>
      </c>
      <c r="E155" s="329">
        <v>1737139</v>
      </c>
      <c r="F155" s="329"/>
      <c r="G155" s="329">
        <v>297442</v>
      </c>
      <c r="H155" s="329">
        <v>42371</v>
      </c>
      <c r="I155" s="329">
        <v>283125</v>
      </c>
      <c r="J155" s="329">
        <v>30937</v>
      </c>
      <c r="K155" s="329">
        <v>653875</v>
      </c>
      <c r="L155" s="329"/>
      <c r="M155" s="329">
        <v>0</v>
      </c>
      <c r="N155" s="329">
        <v>0</v>
      </c>
      <c r="O155" s="329">
        <v>33284</v>
      </c>
      <c r="P155" s="329">
        <v>33284</v>
      </c>
      <c r="Q155" s="329"/>
      <c r="R155" s="329">
        <v>773824</v>
      </c>
      <c r="S155" s="329">
        <v>-24712</v>
      </c>
      <c r="T155" s="329">
        <v>749112</v>
      </c>
    </row>
    <row r="156" spans="1:20">
      <c r="A156" s="335">
        <v>91147</v>
      </c>
      <c r="B156" s="328" t="s">
        <v>842</v>
      </c>
      <c r="C156" s="239">
        <v>2.5400000000000001E-5</v>
      </c>
      <c r="D156" s="239">
        <v>2.87E-5</v>
      </c>
      <c r="E156" s="329">
        <v>69365</v>
      </c>
      <c r="F156" s="329"/>
      <c r="G156" s="329">
        <v>11877</v>
      </c>
      <c r="H156" s="329">
        <v>1692</v>
      </c>
      <c r="I156" s="329">
        <v>11305</v>
      </c>
      <c r="J156" s="329">
        <v>2503</v>
      </c>
      <c r="K156" s="329">
        <v>27377</v>
      </c>
      <c r="L156" s="329"/>
      <c r="M156" s="329">
        <v>0</v>
      </c>
      <c r="N156" s="329">
        <v>0</v>
      </c>
      <c r="O156" s="329">
        <v>541</v>
      </c>
      <c r="P156" s="329">
        <v>541</v>
      </c>
      <c r="Q156" s="329"/>
      <c r="R156" s="329">
        <v>30899</v>
      </c>
      <c r="S156" s="329">
        <v>3267</v>
      </c>
      <c r="T156" s="329">
        <v>34166</v>
      </c>
    </row>
    <row r="157" spans="1:20">
      <c r="A157" s="335">
        <v>91151</v>
      </c>
      <c r="B157" s="328" t="s">
        <v>843</v>
      </c>
      <c r="C157" s="239">
        <v>5.8460000000000001E-4</v>
      </c>
      <c r="D157" s="239">
        <v>6.2589999999999998E-4</v>
      </c>
      <c r="E157" s="329">
        <v>1596497</v>
      </c>
      <c r="F157" s="329"/>
      <c r="G157" s="329">
        <v>273361</v>
      </c>
      <c r="H157" s="329">
        <v>38941</v>
      </c>
      <c r="I157" s="329">
        <v>260203</v>
      </c>
      <c r="J157" s="329">
        <v>0</v>
      </c>
      <c r="K157" s="329">
        <v>572505</v>
      </c>
      <c r="L157" s="329"/>
      <c r="M157" s="329">
        <v>0</v>
      </c>
      <c r="N157" s="329">
        <v>0</v>
      </c>
      <c r="O157" s="329">
        <v>101019</v>
      </c>
      <c r="P157" s="329">
        <v>101019</v>
      </c>
      <c r="Q157" s="329"/>
      <c r="R157" s="329">
        <v>711173</v>
      </c>
      <c r="S157" s="329">
        <v>-34619</v>
      </c>
      <c r="T157" s="329">
        <v>676554</v>
      </c>
    </row>
    <row r="158" spans="1:20">
      <c r="A158" s="335">
        <v>91154</v>
      </c>
      <c r="B158" s="328" t="s">
        <v>3672</v>
      </c>
      <c r="C158" s="239">
        <v>2.0999999999999999E-5</v>
      </c>
      <c r="D158" s="239">
        <v>2.41E-5</v>
      </c>
      <c r="E158" s="329">
        <v>57349</v>
      </c>
      <c r="F158" s="329"/>
      <c r="G158" s="329">
        <v>9820</v>
      </c>
      <c r="H158" s="329">
        <v>1399</v>
      </c>
      <c r="I158" s="329">
        <v>9347</v>
      </c>
      <c r="J158" s="329">
        <v>2221</v>
      </c>
      <c r="K158" s="329">
        <v>22787</v>
      </c>
      <c r="L158" s="329"/>
      <c r="M158" s="329">
        <v>0</v>
      </c>
      <c r="N158" s="329">
        <v>0</v>
      </c>
      <c r="O158" s="329">
        <v>5358</v>
      </c>
      <c r="P158" s="329">
        <v>5358</v>
      </c>
      <c r="Q158" s="329"/>
      <c r="R158" s="329">
        <v>25547</v>
      </c>
      <c r="S158" s="329">
        <v>672</v>
      </c>
      <c r="T158" s="329">
        <v>26219</v>
      </c>
    </row>
    <row r="159" spans="1:20">
      <c r="A159" s="335">
        <v>91161</v>
      </c>
      <c r="B159" s="328" t="s">
        <v>845</v>
      </c>
      <c r="C159" s="239">
        <v>1.0509999999999999E-4</v>
      </c>
      <c r="D159" s="239">
        <v>7.9699999999999999E-5</v>
      </c>
      <c r="E159" s="329">
        <v>287020</v>
      </c>
      <c r="F159" s="329"/>
      <c r="G159" s="329">
        <v>49145</v>
      </c>
      <c r="H159" s="329">
        <v>7001</v>
      </c>
      <c r="I159" s="329">
        <v>46779</v>
      </c>
      <c r="J159" s="329">
        <v>11514</v>
      </c>
      <c r="K159" s="329">
        <v>114439</v>
      </c>
      <c r="L159" s="329"/>
      <c r="M159" s="329">
        <v>0</v>
      </c>
      <c r="N159" s="329">
        <v>0</v>
      </c>
      <c r="O159" s="329">
        <v>7092</v>
      </c>
      <c r="P159" s="329">
        <v>7092</v>
      </c>
      <c r="Q159" s="329"/>
      <c r="R159" s="329">
        <v>127856</v>
      </c>
      <c r="S159" s="329">
        <v>2399</v>
      </c>
      <c r="T159" s="329">
        <v>130255</v>
      </c>
    </row>
    <row r="160" spans="1:20">
      <c r="A160" s="335">
        <v>91171</v>
      </c>
      <c r="B160" s="328" t="s">
        <v>846</v>
      </c>
      <c r="C160" s="239">
        <v>2.6820000000000001E-4</v>
      </c>
      <c r="D160" s="239">
        <v>2.3790000000000001E-4</v>
      </c>
      <c r="E160" s="329">
        <v>732433</v>
      </c>
      <c r="F160" s="329"/>
      <c r="G160" s="329">
        <v>125411</v>
      </c>
      <c r="H160" s="329">
        <v>17865</v>
      </c>
      <c r="I160" s="329">
        <v>119374</v>
      </c>
      <c r="J160" s="329">
        <v>27025</v>
      </c>
      <c r="K160" s="329">
        <v>289675</v>
      </c>
      <c r="L160" s="329"/>
      <c r="M160" s="329">
        <v>0</v>
      </c>
      <c r="N160" s="329">
        <v>0</v>
      </c>
      <c r="O160" s="329">
        <v>21019</v>
      </c>
      <c r="P160" s="329">
        <v>21019</v>
      </c>
      <c r="Q160" s="329"/>
      <c r="R160" s="329">
        <v>326269</v>
      </c>
      <c r="S160" s="329">
        <v>-7372</v>
      </c>
      <c r="T160" s="329">
        <v>318897</v>
      </c>
    </row>
    <row r="161" spans="1:20">
      <c r="A161" s="335">
        <v>91201</v>
      </c>
      <c r="B161" s="328" t="s">
        <v>847</v>
      </c>
      <c r="C161" s="239">
        <v>2.2897999999999998E-3</v>
      </c>
      <c r="D161" s="239">
        <v>2.2587000000000002E-3</v>
      </c>
      <c r="E161" s="329">
        <v>6253265</v>
      </c>
      <c r="F161" s="329"/>
      <c r="G161" s="329">
        <v>1070717</v>
      </c>
      <c r="H161" s="329">
        <v>152526</v>
      </c>
      <c r="I161" s="329">
        <v>1019179</v>
      </c>
      <c r="J161" s="329">
        <v>0</v>
      </c>
      <c r="K161" s="329">
        <v>2242422</v>
      </c>
      <c r="L161" s="329"/>
      <c r="M161" s="329">
        <v>0</v>
      </c>
      <c r="N161" s="329">
        <v>0</v>
      </c>
      <c r="O161" s="329">
        <v>119721</v>
      </c>
      <c r="P161" s="329">
        <v>119721</v>
      </c>
      <c r="Q161" s="329"/>
      <c r="R161" s="329">
        <v>2785571</v>
      </c>
      <c r="S161" s="329">
        <v>-32799</v>
      </c>
      <c r="T161" s="329">
        <v>2752772</v>
      </c>
    </row>
    <row r="162" spans="1:20">
      <c r="A162" s="335">
        <v>91202</v>
      </c>
      <c r="B162" s="328" t="s">
        <v>3673</v>
      </c>
      <c r="C162" s="239">
        <v>1.752E-4</v>
      </c>
      <c r="D162" s="239">
        <v>1.9579999999999999E-4</v>
      </c>
      <c r="E162" s="329">
        <v>478458</v>
      </c>
      <c r="F162" s="329"/>
      <c r="G162" s="329">
        <v>81924</v>
      </c>
      <c r="H162" s="329">
        <v>11670</v>
      </c>
      <c r="I162" s="329">
        <v>77981</v>
      </c>
      <c r="J162" s="329">
        <v>10225</v>
      </c>
      <c r="K162" s="329">
        <v>181800</v>
      </c>
      <c r="L162" s="329"/>
      <c r="M162" s="329">
        <v>0</v>
      </c>
      <c r="N162" s="329">
        <v>0</v>
      </c>
      <c r="O162" s="329">
        <v>16754</v>
      </c>
      <c r="P162" s="329">
        <v>16754</v>
      </c>
      <c r="Q162" s="329"/>
      <c r="R162" s="329">
        <v>213133</v>
      </c>
      <c r="S162" s="329">
        <v>5067</v>
      </c>
      <c r="T162" s="329">
        <v>218200</v>
      </c>
    </row>
    <row r="163" spans="1:20">
      <c r="A163" s="335">
        <v>91203</v>
      </c>
      <c r="B163" s="328" t="s">
        <v>3674</v>
      </c>
      <c r="C163" s="239">
        <v>2.2670000000000001E-4</v>
      </c>
      <c r="D163" s="239">
        <v>2.3000000000000001E-4</v>
      </c>
      <c r="E163" s="329">
        <v>619100</v>
      </c>
      <c r="F163" s="329"/>
      <c r="G163" s="329">
        <v>106006</v>
      </c>
      <c r="H163" s="329">
        <v>15101</v>
      </c>
      <c r="I163" s="329">
        <v>100903</v>
      </c>
      <c r="J163" s="329">
        <v>40050</v>
      </c>
      <c r="K163" s="329">
        <v>262060</v>
      </c>
      <c r="L163" s="329"/>
      <c r="M163" s="329">
        <v>0</v>
      </c>
      <c r="N163" s="329">
        <v>0</v>
      </c>
      <c r="O163" s="329">
        <v>0</v>
      </c>
      <c r="P163" s="329">
        <v>0</v>
      </c>
      <c r="Q163" s="329"/>
      <c r="R163" s="329">
        <v>275783</v>
      </c>
      <c r="S163" s="329">
        <v>17405</v>
      </c>
      <c r="T163" s="329">
        <v>293188</v>
      </c>
    </row>
    <row r="164" spans="1:20">
      <c r="A164" s="335">
        <v>91206</v>
      </c>
      <c r="B164" s="328" t="s">
        <v>3675</v>
      </c>
      <c r="C164" s="239">
        <v>9.525E-4</v>
      </c>
      <c r="D164" s="239">
        <v>9.0660000000000003E-4</v>
      </c>
      <c r="E164" s="329">
        <v>2601203</v>
      </c>
      <c r="F164" s="329"/>
      <c r="G164" s="329">
        <v>445392</v>
      </c>
      <c r="H164" s="329">
        <v>63447</v>
      </c>
      <c r="I164" s="329">
        <v>423953</v>
      </c>
      <c r="J164" s="329">
        <v>57771</v>
      </c>
      <c r="K164" s="329">
        <v>990563</v>
      </c>
      <c r="L164" s="329"/>
      <c r="M164" s="329">
        <v>0</v>
      </c>
      <c r="N164" s="329">
        <v>0</v>
      </c>
      <c r="O164" s="329">
        <v>341</v>
      </c>
      <c r="P164" s="329">
        <v>341</v>
      </c>
      <c r="Q164" s="329"/>
      <c r="R164" s="329">
        <v>1158729</v>
      </c>
      <c r="S164" s="329">
        <v>19006</v>
      </c>
      <c r="T164" s="329">
        <v>1177735</v>
      </c>
    </row>
    <row r="165" spans="1:20">
      <c r="A165" s="335">
        <v>91208</v>
      </c>
      <c r="B165" s="328" t="s">
        <v>3676</v>
      </c>
      <c r="C165" s="239">
        <v>1.9000000000000001E-5</v>
      </c>
      <c r="D165" s="239">
        <v>1.3200000000000001E-5</v>
      </c>
      <c r="E165" s="329">
        <v>51888</v>
      </c>
      <c r="F165" s="329"/>
      <c r="G165" s="329">
        <v>8884</v>
      </c>
      <c r="H165" s="329">
        <v>1265</v>
      </c>
      <c r="I165" s="329">
        <v>8457</v>
      </c>
      <c r="J165" s="329">
        <v>5152</v>
      </c>
      <c r="K165" s="329">
        <v>23758</v>
      </c>
      <c r="L165" s="329"/>
      <c r="M165" s="329">
        <v>0</v>
      </c>
      <c r="N165" s="329">
        <v>0</v>
      </c>
      <c r="O165" s="329">
        <v>391</v>
      </c>
      <c r="P165" s="329">
        <v>391</v>
      </c>
      <c r="Q165" s="329"/>
      <c r="R165" s="329">
        <v>23114</v>
      </c>
      <c r="S165" s="329">
        <v>1443</v>
      </c>
      <c r="T165" s="329">
        <v>24557</v>
      </c>
    </row>
    <row r="166" spans="1:20">
      <c r="A166" s="335">
        <v>91211</v>
      </c>
      <c r="B166" s="328" t="s">
        <v>852</v>
      </c>
      <c r="C166" s="239">
        <v>4.4870000000000001E-4</v>
      </c>
      <c r="D166" s="239">
        <v>4.526E-4</v>
      </c>
      <c r="E166" s="329">
        <v>1225365</v>
      </c>
      <c r="F166" s="329"/>
      <c r="G166" s="329">
        <v>209813</v>
      </c>
      <c r="H166" s="329">
        <v>29888</v>
      </c>
      <c r="I166" s="329">
        <v>199714</v>
      </c>
      <c r="J166" s="329">
        <v>2140</v>
      </c>
      <c r="K166" s="329">
        <v>441555</v>
      </c>
      <c r="L166" s="329"/>
      <c r="M166" s="329">
        <v>0</v>
      </c>
      <c r="N166" s="329">
        <v>0</v>
      </c>
      <c r="O166" s="329">
        <v>30724</v>
      </c>
      <c r="P166" s="329">
        <v>30724</v>
      </c>
      <c r="Q166" s="329"/>
      <c r="R166" s="329">
        <v>545849</v>
      </c>
      <c r="S166" s="329">
        <v>-8662</v>
      </c>
      <c r="T166" s="329">
        <v>537187</v>
      </c>
    </row>
    <row r="167" spans="1:20" s="341" customFormat="1">
      <c r="A167" s="335">
        <v>91213</v>
      </c>
      <c r="B167" s="328" t="s">
        <v>853</v>
      </c>
      <c r="C167" s="239">
        <v>2.9200000000000002E-5</v>
      </c>
      <c r="D167" s="239">
        <v>2.4700000000000001E-5</v>
      </c>
      <c r="E167" s="329">
        <v>79743</v>
      </c>
      <c r="F167" s="329"/>
      <c r="G167" s="329">
        <v>13654</v>
      </c>
      <c r="H167" s="329">
        <v>1945</v>
      </c>
      <c r="I167" s="329">
        <v>12997</v>
      </c>
      <c r="J167" s="329">
        <v>2582</v>
      </c>
      <c r="K167" s="329">
        <v>31178</v>
      </c>
      <c r="L167" s="329"/>
      <c r="M167" s="329">
        <v>0</v>
      </c>
      <c r="N167" s="329">
        <v>0</v>
      </c>
      <c r="O167" s="329">
        <v>7181</v>
      </c>
      <c r="P167" s="329">
        <v>7181</v>
      </c>
      <c r="Q167" s="329"/>
      <c r="R167" s="329">
        <v>35522</v>
      </c>
      <c r="S167" s="329">
        <v>-3069</v>
      </c>
      <c r="T167" s="329">
        <v>32453</v>
      </c>
    </row>
    <row r="168" spans="1:20">
      <c r="A168" s="335">
        <v>91214</v>
      </c>
      <c r="B168" s="328" t="s">
        <v>854</v>
      </c>
      <c r="C168" s="239">
        <v>3.5800000000000003E-5</v>
      </c>
      <c r="D168" s="239">
        <v>3.0499999999999999E-5</v>
      </c>
      <c r="E168" s="329">
        <v>97767</v>
      </c>
      <c r="F168" s="329"/>
      <c r="G168" s="329">
        <v>16740</v>
      </c>
      <c r="H168" s="329">
        <v>2385</v>
      </c>
      <c r="I168" s="329">
        <v>15934</v>
      </c>
      <c r="J168" s="329">
        <v>616</v>
      </c>
      <c r="K168" s="329">
        <v>35675</v>
      </c>
      <c r="L168" s="329"/>
      <c r="M168" s="329">
        <v>0</v>
      </c>
      <c r="N168" s="329">
        <v>0</v>
      </c>
      <c r="O168" s="329">
        <v>2786</v>
      </c>
      <c r="P168" s="329">
        <v>2786</v>
      </c>
      <c r="Q168" s="329"/>
      <c r="R168" s="329">
        <v>43551</v>
      </c>
      <c r="S168" s="329">
        <v>-780</v>
      </c>
      <c r="T168" s="329">
        <v>42771</v>
      </c>
    </row>
    <row r="169" spans="1:20">
      <c r="A169" s="335">
        <v>91217</v>
      </c>
      <c r="B169" s="328" t="s">
        <v>855</v>
      </c>
      <c r="C169" s="239">
        <v>2.0400000000000001E-5</v>
      </c>
      <c r="D169" s="239">
        <v>1.77E-5</v>
      </c>
      <c r="E169" s="329">
        <v>55711</v>
      </c>
      <c r="F169" s="329"/>
      <c r="G169" s="329">
        <v>9539</v>
      </c>
      <c r="H169" s="329">
        <v>1359</v>
      </c>
      <c r="I169" s="329">
        <v>9080</v>
      </c>
      <c r="J169" s="329">
        <v>10923</v>
      </c>
      <c r="K169" s="329">
        <v>30901</v>
      </c>
      <c r="L169" s="329"/>
      <c r="M169" s="329">
        <v>0</v>
      </c>
      <c r="N169" s="329">
        <v>0</v>
      </c>
      <c r="O169" s="329">
        <v>2432</v>
      </c>
      <c r="P169" s="329">
        <v>2432</v>
      </c>
      <c r="Q169" s="329"/>
      <c r="R169" s="329">
        <v>24817</v>
      </c>
      <c r="S169" s="329">
        <v>4556</v>
      </c>
      <c r="T169" s="329">
        <v>29373</v>
      </c>
    </row>
    <row r="170" spans="1:20">
      <c r="A170" s="335">
        <v>91221</v>
      </c>
      <c r="B170" s="328" t="s">
        <v>856</v>
      </c>
      <c r="C170" s="239">
        <v>1.099E-4</v>
      </c>
      <c r="D170" s="239">
        <v>1.2329999999999999E-4</v>
      </c>
      <c r="E170" s="329">
        <v>300128</v>
      </c>
      <c r="F170" s="329"/>
      <c r="G170" s="329">
        <v>51390</v>
      </c>
      <c r="H170" s="329">
        <v>7321</v>
      </c>
      <c r="I170" s="329">
        <v>48916</v>
      </c>
      <c r="J170" s="329">
        <v>654</v>
      </c>
      <c r="K170" s="329">
        <v>108281</v>
      </c>
      <c r="L170" s="329"/>
      <c r="M170" s="329">
        <v>0</v>
      </c>
      <c r="N170" s="329">
        <v>0</v>
      </c>
      <c r="O170" s="329">
        <v>20665</v>
      </c>
      <c r="P170" s="329">
        <v>20665</v>
      </c>
      <c r="Q170" s="329"/>
      <c r="R170" s="329">
        <v>133695</v>
      </c>
      <c r="S170" s="329">
        <v>-7573</v>
      </c>
      <c r="T170" s="329">
        <v>126122</v>
      </c>
    </row>
    <row r="171" spans="1:20">
      <c r="A171" s="335">
        <v>91231</v>
      </c>
      <c r="B171" s="328" t="s">
        <v>857</v>
      </c>
      <c r="C171" s="239">
        <v>1.8722999999999999E-3</v>
      </c>
      <c r="D171" s="239">
        <v>1.8527000000000001E-3</v>
      </c>
      <c r="E171" s="329">
        <v>5113105</v>
      </c>
      <c r="F171" s="329"/>
      <c r="G171" s="329">
        <v>875493</v>
      </c>
      <c r="H171" s="329">
        <v>124716</v>
      </c>
      <c r="I171" s="329">
        <v>833351</v>
      </c>
      <c r="J171" s="329">
        <v>18006</v>
      </c>
      <c r="K171" s="329">
        <v>1851566</v>
      </c>
      <c r="L171" s="329"/>
      <c r="M171" s="329">
        <v>0</v>
      </c>
      <c r="N171" s="329">
        <v>0</v>
      </c>
      <c r="O171" s="329">
        <v>66031</v>
      </c>
      <c r="P171" s="329">
        <v>66031</v>
      </c>
      <c r="Q171" s="329"/>
      <c r="R171" s="329">
        <v>2277677</v>
      </c>
      <c r="S171" s="329">
        <v>-42184</v>
      </c>
      <c r="T171" s="329">
        <v>2235493</v>
      </c>
    </row>
    <row r="172" spans="1:20">
      <c r="A172" s="335">
        <v>91233</v>
      </c>
      <c r="B172" s="328" t="s">
        <v>858</v>
      </c>
      <c r="C172" s="239">
        <v>6.1699999999999995E-5</v>
      </c>
      <c r="D172" s="239">
        <v>5.3499999999999999E-5</v>
      </c>
      <c r="E172" s="329">
        <v>168498</v>
      </c>
      <c r="F172" s="329"/>
      <c r="G172" s="329">
        <v>28851</v>
      </c>
      <c r="H172" s="329">
        <v>4110</v>
      </c>
      <c r="I172" s="329">
        <v>27462</v>
      </c>
      <c r="J172" s="329">
        <v>7267</v>
      </c>
      <c r="K172" s="329">
        <v>67690</v>
      </c>
      <c r="L172" s="329"/>
      <c r="M172" s="329">
        <v>0</v>
      </c>
      <c r="N172" s="329">
        <v>0</v>
      </c>
      <c r="O172" s="329">
        <v>4782</v>
      </c>
      <c r="P172" s="329">
        <v>4782</v>
      </c>
      <c r="Q172" s="329"/>
      <c r="R172" s="329">
        <v>75059</v>
      </c>
      <c r="S172" s="329">
        <v>2602</v>
      </c>
      <c r="T172" s="329">
        <v>77661</v>
      </c>
    </row>
    <row r="173" spans="1:20">
      <c r="A173" s="335">
        <v>91241</v>
      </c>
      <c r="B173" s="328" t="s">
        <v>859</v>
      </c>
      <c r="C173" s="239">
        <v>5.3499999999999999E-5</v>
      </c>
      <c r="D173" s="239">
        <v>4.3099999999999997E-5</v>
      </c>
      <c r="E173" s="329">
        <v>146104</v>
      </c>
      <c r="F173" s="329"/>
      <c r="G173" s="329">
        <v>25017</v>
      </c>
      <c r="H173" s="329">
        <v>3563</v>
      </c>
      <c r="I173" s="329">
        <v>23813</v>
      </c>
      <c r="J173" s="329">
        <v>10739</v>
      </c>
      <c r="K173" s="329">
        <v>63132</v>
      </c>
      <c r="L173" s="329"/>
      <c r="M173" s="329">
        <v>0</v>
      </c>
      <c r="N173" s="329">
        <v>0</v>
      </c>
      <c r="O173" s="329">
        <v>757</v>
      </c>
      <c r="P173" s="329">
        <v>757</v>
      </c>
      <c r="Q173" s="329"/>
      <c r="R173" s="329">
        <v>65083</v>
      </c>
      <c r="S173" s="329">
        <v>2335</v>
      </c>
      <c r="T173" s="329">
        <v>67418</v>
      </c>
    </row>
    <row r="174" spans="1:20">
      <c r="A174" s="335">
        <v>91251</v>
      </c>
      <c r="B174" s="328" t="s">
        <v>860</v>
      </c>
      <c r="C174" s="239">
        <v>2.0000000000000002E-5</v>
      </c>
      <c r="D174" s="239">
        <v>2.9499999999999999E-5</v>
      </c>
      <c r="E174" s="329">
        <v>54618</v>
      </c>
      <c r="F174" s="329"/>
      <c r="G174" s="329">
        <v>9352</v>
      </c>
      <c r="H174" s="329">
        <v>1333</v>
      </c>
      <c r="I174" s="329">
        <v>8902</v>
      </c>
      <c r="J174" s="329">
        <v>6811</v>
      </c>
      <c r="K174" s="329">
        <v>26398</v>
      </c>
      <c r="L174" s="329"/>
      <c r="M174" s="329">
        <v>0</v>
      </c>
      <c r="N174" s="329">
        <v>0</v>
      </c>
      <c r="O174" s="329">
        <v>8749</v>
      </c>
      <c r="P174" s="329">
        <v>8749</v>
      </c>
      <c r="Q174" s="329"/>
      <c r="R174" s="329">
        <v>24330</v>
      </c>
      <c r="S174" s="329">
        <v>-538</v>
      </c>
      <c r="T174" s="329">
        <v>23792</v>
      </c>
    </row>
    <row r="175" spans="1:20">
      <c r="A175" s="335">
        <v>91261</v>
      </c>
      <c r="B175" s="328" t="s">
        <v>861</v>
      </c>
      <c r="C175" s="239">
        <v>9.7000000000000003E-6</v>
      </c>
      <c r="D175" s="239">
        <v>1.06E-5</v>
      </c>
      <c r="E175" s="329">
        <v>26490</v>
      </c>
      <c r="F175" s="329"/>
      <c r="G175" s="329">
        <v>4536</v>
      </c>
      <c r="H175" s="329">
        <v>646</v>
      </c>
      <c r="I175" s="329">
        <v>4317</v>
      </c>
      <c r="J175" s="329">
        <v>369</v>
      </c>
      <c r="K175" s="329">
        <v>9868</v>
      </c>
      <c r="L175" s="329"/>
      <c r="M175" s="329">
        <v>0</v>
      </c>
      <c r="N175" s="329">
        <v>0</v>
      </c>
      <c r="O175" s="329">
        <v>1669</v>
      </c>
      <c r="P175" s="329">
        <v>1669</v>
      </c>
      <c r="Q175" s="329"/>
      <c r="R175" s="329">
        <v>11800</v>
      </c>
      <c r="S175" s="329">
        <v>153</v>
      </c>
      <c r="T175" s="329">
        <v>11953</v>
      </c>
    </row>
    <row r="176" spans="1:20">
      <c r="A176" s="335">
        <v>91301</v>
      </c>
      <c r="B176" s="328" t="s">
        <v>862</v>
      </c>
      <c r="C176" s="239">
        <v>7.9497999999999999E-3</v>
      </c>
      <c r="D176" s="239">
        <v>7.7812000000000003E-3</v>
      </c>
      <c r="E176" s="329">
        <v>21710284</v>
      </c>
      <c r="F176" s="329"/>
      <c r="G176" s="329">
        <v>3717350</v>
      </c>
      <c r="H176" s="329">
        <v>529544</v>
      </c>
      <c r="I176" s="329">
        <v>3538416</v>
      </c>
      <c r="J176" s="329">
        <v>36295</v>
      </c>
      <c r="K176" s="329">
        <v>7821605</v>
      </c>
      <c r="L176" s="329"/>
      <c r="M176" s="329">
        <v>0</v>
      </c>
      <c r="N176" s="329">
        <v>0</v>
      </c>
      <c r="O176" s="329">
        <v>128256</v>
      </c>
      <c r="P176" s="329">
        <v>128256</v>
      </c>
      <c r="Q176" s="329"/>
      <c r="R176" s="329">
        <v>9671035</v>
      </c>
      <c r="S176" s="329">
        <v>-81376</v>
      </c>
      <c r="T176" s="329">
        <v>9589659</v>
      </c>
    </row>
    <row r="177" spans="1:20">
      <c r="A177" s="335">
        <v>91302</v>
      </c>
      <c r="B177" s="328" t="s">
        <v>3677</v>
      </c>
      <c r="C177" s="239">
        <v>5.354E-4</v>
      </c>
      <c r="D177" s="239">
        <v>5.4440000000000001E-4</v>
      </c>
      <c r="E177" s="329">
        <v>1462136</v>
      </c>
      <c r="F177" s="329"/>
      <c r="G177" s="329">
        <v>250355</v>
      </c>
      <c r="H177" s="329">
        <v>35664</v>
      </c>
      <c r="I177" s="329">
        <v>238304</v>
      </c>
      <c r="J177" s="329">
        <v>990</v>
      </c>
      <c r="K177" s="329">
        <v>525313</v>
      </c>
      <c r="L177" s="329"/>
      <c r="M177" s="329">
        <v>0</v>
      </c>
      <c r="N177" s="329">
        <v>0</v>
      </c>
      <c r="O177" s="329">
        <v>50684</v>
      </c>
      <c r="P177" s="329">
        <v>50684</v>
      </c>
      <c r="Q177" s="329"/>
      <c r="R177" s="329">
        <v>651321</v>
      </c>
      <c r="S177" s="329">
        <v>-4776</v>
      </c>
      <c r="T177" s="329">
        <v>646545</v>
      </c>
    </row>
    <row r="178" spans="1:20">
      <c r="A178" s="335">
        <v>91306</v>
      </c>
      <c r="B178" s="328" t="s">
        <v>2781</v>
      </c>
      <c r="C178" s="239">
        <v>1.8244999999999999E-3</v>
      </c>
      <c r="D178" s="239">
        <v>1.8347000000000001E-3</v>
      </c>
      <c r="E178" s="329">
        <v>4982567</v>
      </c>
      <c r="F178" s="329"/>
      <c r="G178" s="329">
        <v>853142</v>
      </c>
      <c r="H178" s="329">
        <v>121531</v>
      </c>
      <c r="I178" s="329">
        <v>812076</v>
      </c>
      <c r="J178" s="329">
        <v>128481</v>
      </c>
      <c r="K178" s="329">
        <v>1915230</v>
      </c>
      <c r="L178" s="329"/>
      <c r="M178" s="329">
        <v>0</v>
      </c>
      <c r="N178" s="329">
        <v>0</v>
      </c>
      <c r="O178" s="329">
        <v>8842</v>
      </c>
      <c r="P178" s="329">
        <v>8842</v>
      </c>
      <c r="Q178" s="329"/>
      <c r="R178" s="329">
        <v>2219528</v>
      </c>
      <c r="S178" s="329">
        <v>72569</v>
      </c>
      <c r="T178" s="329">
        <v>2292097</v>
      </c>
    </row>
    <row r="179" spans="1:20">
      <c r="A179" s="335">
        <v>91308</v>
      </c>
      <c r="B179" s="328" t="s">
        <v>865</v>
      </c>
      <c r="C179" s="239">
        <v>1.7009999999999999E-4</v>
      </c>
      <c r="D179" s="239">
        <v>1.7149999999999999E-4</v>
      </c>
      <c r="E179" s="329">
        <v>464530</v>
      </c>
      <c r="F179" s="329"/>
      <c r="G179" s="329">
        <v>79539</v>
      </c>
      <c r="H179" s="329">
        <v>11330</v>
      </c>
      <c r="I179" s="329">
        <v>75711</v>
      </c>
      <c r="J179" s="329">
        <v>54</v>
      </c>
      <c r="K179" s="329">
        <v>166634</v>
      </c>
      <c r="L179" s="329"/>
      <c r="M179" s="329">
        <v>0</v>
      </c>
      <c r="N179" s="329">
        <v>0</v>
      </c>
      <c r="O179" s="329">
        <v>16458</v>
      </c>
      <c r="P179" s="329">
        <v>16458</v>
      </c>
      <c r="Q179" s="329"/>
      <c r="R179" s="329">
        <v>206929</v>
      </c>
      <c r="S179" s="329">
        <v>-7994</v>
      </c>
      <c r="T179" s="329">
        <v>198935</v>
      </c>
    </row>
    <row r="180" spans="1:20">
      <c r="A180" s="335">
        <v>91311</v>
      </c>
      <c r="B180" s="328" t="s">
        <v>866</v>
      </c>
      <c r="C180" s="239">
        <v>7.9030000000000003E-3</v>
      </c>
      <c r="D180" s="239">
        <v>7.7199E-3</v>
      </c>
      <c r="E180" s="329">
        <v>21582477</v>
      </c>
      <c r="F180" s="329"/>
      <c r="G180" s="329">
        <v>3695467</v>
      </c>
      <c r="H180" s="329">
        <v>526426</v>
      </c>
      <c r="I180" s="329">
        <v>3517586</v>
      </c>
      <c r="J180" s="329">
        <v>82171</v>
      </c>
      <c r="K180" s="329">
        <v>7821650</v>
      </c>
      <c r="L180" s="329"/>
      <c r="M180" s="329">
        <v>0</v>
      </c>
      <c r="N180" s="329">
        <v>0</v>
      </c>
      <c r="O180" s="329">
        <v>216662</v>
      </c>
      <c r="P180" s="329">
        <v>216662</v>
      </c>
      <c r="Q180" s="329"/>
      <c r="R180" s="329">
        <v>9614102</v>
      </c>
      <c r="S180" s="329">
        <v>-91910</v>
      </c>
      <c r="T180" s="329">
        <v>9522192</v>
      </c>
    </row>
    <row r="181" spans="1:20">
      <c r="A181" s="335">
        <v>91317</v>
      </c>
      <c r="B181" s="328" t="s">
        <v>867</v>
      </c>
      <c r="C181" s="239">
        <v>1.015E-4</v>
      </c>
      <c r="D181" s="239">
        <v>1.004E-4</v>
      </c>
      <c r="E181" s="329">
        <v>277189</v>
      </c>
      <c r="F181" s="329"/>
      <c r="G181" s="329">
        <v>47462</v>
      </c>
      <c r="H181" s="329">
        <v>6761</v>
      </c>
      <c r="I181" s="329">
        <v>45177</v>
      </c>
      <c r="J181" s="329">
        <v>18241</v>
      </c>
      <c r="K181" s="329">
        <v>117641</v>
      </c>
      <c r="L181" s="329"/>
      <c r="M181" s="329">
        <v>0</v>
      </c>
      <c r="N181" s="329">
        <v>0</v>
      </c>
      <c r="O181" s="329">
        <v>279</v>
      </c>
      <c r="P181" s="329">
        <v>279</v>
      </c>
      <c r="Q181" s="329"/>
      <c r="R181" s="329">
        <v>123476</v>
      </c>
      <c r="S181" s="329">
        <v>6895</v>
      </c>
      <c r="T181" s="329">
        <v>130371</v>
      </c>
    </row>
    <row r="182" spans="1:20">
      <c r="A182" s="335">
        <v>91321</v>
      </c>
      <c r="B182" s="328" t="s">
        <v>868</v>
      </c>
      <c r="C182" s="239">
        <v>5.3600000000000002E-5</v>
      </c>
      <c r="D182" s="239">
        <v>4.5899999999999998E-5</v>
      </c>
      <c r="E182" s="329">
        <v>146377</v>
      </c>
      <c r="F182" s="329"/>
      <c r="G182" s="329">
        <v>25064</v>
      </c>
      <c r="H182" s="329">
        <v>3570</v>
      </c>
      <c r="I182" s="329">
        <v>23857</v>
      </c>
      <c r="J182" s="329">
        <v>48416</v>
      </c>
      <c r="K182" s="329">
        <v>100907</v>
      </c>
      <c r="L182" s="329"/>
      <c r="M182" s="329">
        <v>0</v>
      </c>
      <c r="N182" s="329">
        <v>0</v>
      </c>
      <c r="O182" s="329">
        <v>0</v>
      </c>
      <c r="P182" s="329">
        <v>0</v>
      </c>
      <c r="Q182" s="329"/>
      <c r="R182" s="329">
        <v>65205</v>
      </c>
      <c r="S182" s="329">
        <v>14649</v>
      </c>
      <c r="T182" s="329">
        <v>79854</v>
      </c>
    </row>
    <row r="183" spans="1:20">
      <c r="A183" s="335">
        <v>91327</v>
      </c>
      <c r="B183" s="328" t="s">
        <v>3508</v>
      </c>
      <c r="C183" s="239">
        <v>1.0900000000000001E-5</v>
      </c>
      <c r="D183" s="239">
        <v>7.7000000000000008E-6</v>
      </c>
      <c r="E183" s="329">
        <v>29767</v>
      </c>
      <c r="F183" s="329"/>
      <c r="G183" s="329">
        <v>5097</v>
      </c>
      <c r="H183" s="329">
        <v>726</v>
      </c>
      <c r="I183" s="329">
        <v>4852</v>
      </c>
      <c r="J183" s="329">
        <v>3160</v>
      </c>
      <c r="K183" s="329">
        <v>13835</v>
      </c>
      <c r="L183" s="329"/>
      <c r="M183" s="329">
        <v>0</v>
      </c>
      <c r="N183" s="329">
        <v>0</v>
      </c>
      <c r="O183" s="329">
        <v>553</v>
      </c>
      <c r="P183" s="329">
        <v>553</v>
      </c>
      <c r="Q183" s="329"/>
      <c r="R183" s="329">
        <v>13260</v>
      </c>
      <c r="S183" s="329">
        <v>331</v>
      </c>
      <c r="T183" s="329">
        <v>13591</v>
      </c>
    </row>
    <row r="184" spans="1:20">
      <c r="A184" s="335">
        <v>91331</v>
      </c>
      <c r="B184" s="328" t="s">
        <v>870</v>
      </c>
      <c r="C184" s="239">
        <v>2.9286E-3</v>
      </c>
      <c r="D184" s="239">
        <v>3.0000000000000001E-3</v>
      </c>
      <c r="E184" s="329">
        <v>7997778</v>
      </c>
      <c r="F184" s="329"/>
      <c r="G184" s="329">
        <v>1369422</v>
      </c>
      <c r="H184" s="329">
        <v>195077</v>
      </c>
      <c r="I184" s="329">
        <v>1303505</v>
      </c>
      <c r="J184" s="329">
        <v>0</v>
      </c>
      <c r="K184" s="329">
        <v>2868004</v>
      </c>
      <c r="L184" s="329"/>
      <c r="M184" s="329">
        <v>0</v>
      </c>
      <c r="N184" s="329">
        <v>0</v>
      </c>
      <c r="O184" s="329">
        <v>337473</v>
      </c>
      <c r="P184" s="329">
        <v>337473</v>
      </c>
      <c r="Q184" s="329"/>
      <c r="R184" s="329">
        <v>3562680</v>
      </c>
      <c r="S184" s="329">
        <v>-173864</v>
      </c>
      <c r="T184" s="329">
        <v>3388816</v>
      </c>
    </row>
    <row r="185" spans="1:20">
      <c r="A185" s="335">
        <v>91341</v>
      </c>
      <c r="B185" s="328" t="s">
        <v>871</v>
      </c>
      <c r="C185" s="239">
        <v>3.79E-5</v>
      </c>
      <c r="D185" s="239">
        <v>2.44E-5</v>
      </c>
      <c r="E185" s="329">
        <v>103502</v>
      </c>
      <c r="F185" s="329"/>
      <c r="G185" s="329">
        <v>17722</v>
      </c>
      <c r="H185" s="329">
        <v>2524</v>
      </c>
      <c r="I185" s="329">
        <v>16869</v>
      </c>
      <c r="J185" s="329">
        <v>12871</v>
      </c>
      <c r="K185" s="329">
        <v>49986</v>
      </c>
      <c r="L185" s="329"/>
      <c r="M185" s="329">
        <v>0</v>
      </c>
      <c r="N185" s="329">
        <v>0</v>
      </c>
      <c r="O185" s="329">
        <v>529</v>
      </c>
      <c r="P185" s="329">
        <v>529</v>
      </c>
      <c r="Q185" s="329"/>
      <c r="R185" s="329">
        <v>46106</v>
      </c>
      <c r="S185" s="329">
        <v>3405</v>
      </c>
      <c r="T185" s="329">
        <v>49511</v>
      </c>
    </row>
    <row r="186" spans="1:20">
      <c r="A186" s="335">
        <v>91401</v>
      </c>
      <c r="B186" s="328" t="s">
        <v>872</v>
      </c>
      <c r="C186" s="239">
        <v>3.3915999999999998E-3</v>
      </c>
      <c r="D186" s="239">
        <v>3.5492000000000002E-3</v>
      </c>
      <c r="E186" s="329">
        <v>9262195</v>
      </c>
      <c r="F186" s="329"/>
      <c r="G186" s="329">
        <v>1585922</v>
      </c>
      <c r="H186" s="329">
        <v>225917</v>
      </c>
      <c r="I186" s="329">
        <v>1509584</v>
      </c>
      <c r="J186" s="329">
        <v>0</v>
      </c>
      <c r="K186" s="329">
        <v>3321423</v>
      </c>
      <c r="L186" s="329"/>
      <c r="M186" s="329">
        <v>0</v>
      </c>
      <c r="N186" s="329">
        <v>0</v>
      </c>
      <c r="O186" s="329">
        <v>224703</v>
      </c>
      <c r="P186" s="329">
        <v>224703</v>
      </c>
      <c r="Q186" s="329"/>
      <c r="R186" s="329">
        <v>4125925</v>
      </c>
      <c r="S186" s="329">
        <v>-76492</v>
      </c>
      <c r="T186" s="329">
        <v>4049433</v>
      </c>
    </row>
    <row r="187" spans="1:20">
      <c r="A187" s="335">
        <v>91411</v>
      </c>
      <c r="B187" s="328" t="s">
        <v>873</v>
      </c>
      <c r="C187" s="239">
        <v>3.9639999999999999E-4</v>
      </c>
      <c r="D187" s="239">
        <v>3.8479999999999997E-4</v>
      </c>
      <c r="E187" s="329">
        <v>1082537</v>
      </c>
      <c r="F187" s="329"/>
      <c r="G187" s="329">
        <v>185358</v>
      </c>
      <c r="H187" s="329">
        <v>26404</v>
      </c>
      <c r="I187" s="329">
        <v>176436</v>
      </c>
      <c r="J187" s="329">
        <v>12845</v>
      </c>
      <c r="K187" s="329">
        <v>401043</v>
      </c>
      <c r="L187" s="329"/>
      <c r="M187" s="329">
        <v>0</v>
      </c>
      <c r="N187" s="329">
        <v>0</v>
      </c>
      <c r="O187" s="329">
        <v>0</v>
      </c>
      <c r="P187" s="329">
        <v>0</v>
      </c>
      <c r="Q187" s="329"/>
      <c r="R187" s="329">
        <v>482226</v>
      </c>
      <c r="S187" s="329">
        <v>9667</v>
      </c>
      <c r="T187" s="329">
        <v>491893</v>
      </c>
    </row>
    <row r="188" spans="1:20">
      <c r="A188" s="335">
        <v>91417</v>
      </c>
      <c r="B188" s="328" t="s">
        <v>874</v>
      </c>
      <c r="C188" s="239">
        <v>7.3000000000000004E-6</v>
      </c>
      <c r="D188" s="239">
        <v>8.3999999999999992E-6</v>
      </c>
      <c r="E188" s="329">
        <v>19936</v>
      </c>
      <c r="F188" s="329"/>
      <c r="G188" s="329">
        <v>3414</v>
      </c>
      <c r="H188" s="329">
        <v>486</v>
      </c>
      <c r="I188" s="329">
        <v>3249</v>
      </c>
      <c r="J188" s="329">
        <v>1474</v>
      </c>
      <c r="K188" s="329">
        <v>8623</v>
      </c>
      <c r="L188" s="329"/>
      <c r="M188" s="329">
        <v>0</v>
      </c>
      <c r="N188" s="329">
        <v>0</v>
      </c>
      <c r="O188" s="329">
        <v>0</v>
      </c>
      <c r="P188" s="329">
        <v>0</v>
      </c>
      <c r="Q188" s="329"/>
      <c r="R188" s="329">
        <v>8881</v>
      </c>
      <c r="S188" s="329">
        <v>644</v>
      </c>
      <c r="T188" s="329">
        <v>9525</v>
      </c>
    </row>
    <row r="189" spans="1:20">
      <c r="A189" s="335">
        <v>91421</v>
      </c>
      <c r="B189" s="328" t="s">
        <v>875</v>
      </c>
      <c r="C189" s="239">
        <v>6.69E-5</v>
      </c>
      <c r="D189" s="239">
        <v>7.2299999999999996E-5</v>
      </c>
      <c r="E189" s="329">
        <v>182699</v>
      </c>
      <c r="F189" s="329"/>
      <c r="G189" s="329">
        <v>31283</v>
      </c>
      <c r="H189" s="329">
        <v>4456</v>
      </c>
      <c r="I189" s="329">
        <v>29777</v>
      </c>
      <c r="J189" s="329">
        <v>5107</v>
      </c>
      <c r="K189" s="329">
        <v>70623</v>
      </c>
      <c r="L189" s="329"/>
      <c r="M189" s="329">
        <v>0</v>
      </c>
      <c r="N189" s="329">
        <v>0</v>
      </c>
      <c r="O189" s="329">
        <v>644</v>
      </c>
      <c r="P189" s="329">
        <v>644</v>
      </c>
      <c r="Q189" s="329"/>
      <c r="R189" s="329">
        <v>81385</v>
      </c>
      <c r="S189" s="329">
        <v>414</v>
      </c>
      <c r="T189" s="329">
        <v>81799</v>
      </c>
    </row>
    <row r="190" spans="1:20">
      <c r="A190" s="335">
        <v>91423</v>
      </c>
      <c r="B190" s="328" t="s">
        <v>876</v>
      </c>
      <c r="C190" s="239">
        <v>5.2899999999999998E-5</v>
      </c>
      <c r="D190" s="239">
        <v>4.88E-5</v>
      </c>
      <c r="E190" s="329">
        <v>144466</v>
      </c>
      <c r="F190" s="329"/>
      <c r="G190" s="329">
        <v>24736</v>
      </c>
      <c r="H190" s="329">
        <v>3524</v>
      </c>
      <c r="I190" s="329">
        <v>23546</v>
      </c>
      <c r="J190" s="329">
        <v>4469</v>
      </c>
      <c r="K190" s="329">
        <v>56275</v>
      </c>
      <c r="L190" s="329"/>
      <c r="M190" s="329">
        <v>0</v>
      </c>
      <c r="N190" s="329">
        <v>0</v>
      </c>
      <c r="O190" s="329">
        <v>5138</v>
      </c>
      <c r="P190" s="329">
        <v>5138</v>
      </c>
      <c r="Q190" s="329"/>
      <c r="R190" s="329">
        <v>64354</v>
      </c>
      <c r="S190" s="329">
        <v>3157</v>
      </c>
      <c r="T190" s="329">
        <v>67511</v>
      </c>
    </row>
    <row r="191" spans="1:20">
      <c r="A191" s="335">
        <v>91431</v>
      </c>
      <c r="B191" s="328" t="s">
        <v>877</v>
      </c>
      <c r="C191" s="239">
        <v>1.819E-4</v>
      </c>
      <c r="D191" s="239">
        <v>1.6229999999999999E-4</v>
      </c>
      <c r="E191" s="329">
        <v>496755</v>
      </c>
      <c r="F191" s="329"/>
      <c r="G191" s="329">
        <v>85057</v>
      </c>
      <c r="H191" s="329">
        <v>12117</v>
      </c>
      <c r="I191" s="329">
        <v>80963</v>
      </c>
      <c r="J191" s="329">
        <v>35128</v>
      </c>
      <c r="K191" s="329">
        <v>213265</v>
      </c>
      <c r="L191" s="329"/>
      <c r="M191" s="329">
        <v>0</v>
      </c>
      <c r="N191" s="329">
        <v>0</v>
      </c>
      <c r="O191" s="329">
        <v>478</v>
      </c>
      <c r="P191" s="329">
        <v>478</v>
      </c>
      <c r="Q191" s="329"/>
      <c r="R191" s="329">
        <v>221284</v>
      </c>
      <c r="S191" s="329">
        <v>11541</v>
      </c>
      <c r="T191" s="329">
        <v>232825</v>
      </c>
    </row>
    <row r="192" spans="1:20">
      <c r="A192" s="335">
        <v>91441</v>
      </c>
      <c r="B192" s="328" t="s">
        <v>878</v>
      </c>
      <c r="C192" s="239">
        <v>9.8020000000000008E-4</v>
      </c>
      <c r="D192" s="239">
        <v>9.4680000000000003E-4</v>
      </c>
      <c r="E192" s="329">
        <v>2676850</v>
      </c>
      <c r="F192" s="329"/>
      <c r="G192" s="329">
        <v>458344</v>
      </c>
      <c r="H192" s="329">
        <v>65292</v>
      </c>
      <c r="I192" s="329">
        <v>436282</v>
      </c>
      <c r="J192" s="329">
        <v>23476</v>
      </c>
      <c r="K192" s="329">
        <v>983394</v>
      </c>
      <c r="L192" s="329"/>
      <c r="M192" s="329">
        <v>0</v>
      </c>
      <c r="N192" s="329">
        <v>0</v>
      </c>
      <c r="O192" s="329">
        <v>162075</v>
      </c>
      <c r="P192" s="329">
        <v>162075</v>
      </c>
      <c r="Q192" s="329"/>
      <c r="R192" s="329">
        <v>1192426</v>
      </c>
      <c r="S192" s="329">
        <v>-63420</v>
      </c>
      <c r="T192" s="329">
        <v>1129006</v>
      </c>
    </row>
    <row r="193" spans="1:20">
      <c r="A193" s="335">
        <v>91451</v>
      </c>
      <c r="B193" s="328" t="s">
        <v>879</v>
      </c>
      <c r="C193" s="239">
        <v>1.5533999999999999E-3</v>
      </c>
      <c r="D193" s="239">
        <v>1.4832000000000001E-3</v>
      </c>
      <c r="E193" s="329">
        <v>4242214</v>
      </c>
      <c r="F193" s="329"/>
      <c r="G193" s="329">
        <v>726375</v>
      </c>
      <c r="H193" s="329">
        <v>103474</v>
      </c>
      <c r="I193" s="329">
        <v>691411</v>
      </c>
      <c r="J193" s="329">
        <v>33074</v>
      </c>
      <c r="K193" s="329">
        <v>1554334</v>
      </c>
      <c r="L193" s="329"/>
      <c r="M193" s="329">
        <v>0</v>
      </c>
      <c r="N193" s="329">
        <v>0</v>
      </c>
      <c r="O193" s="329">
        <v>57246</v>
      </c>
      <c r="P193" s="329">
        <v>57246</v>
      </c>
      <c r="Q193" s="329"/>
      <c r="R193" s="329">
        <v>1889731</v>
      </c>
      <c r="S193" s="329">
        <v>-49758</v>
      </c>
      <c r="T193" s="329">
        <v>1839973</v>
      </c>
    </row>
    <row r="194" spans="1:20">
      <c r="A194" s="335">
        <v>91457</v>
      </c>
      <c r="B194" s="328" t="s">
        <v>3678</v>
      </c>
      <c r="C194" s="239">
        <v>1.5500000000000001E-5</v>
      </c>
      <c r="D194" s="239">
        <v>2.2099999999999998E-5</v>
      </c>
      <c r="E194" s="329">
        <v>42329</v>
      </c>
      <c r="F194" s="329"/>
      <c r="G194" s="329">
        <v>7248</v>
      </c>
      <c r="H194" s="329">
        <v>1033</v>
      </c>
      <c r="I194" s="329">
        <v>6899</v>
      </c>
      <c r="J194" s="329">
        <v>33737</v>
      </c>
      <c r="K194" s="329">
        <v>48917</v>
      </c>
      <c r="L194" s="329"/>
      <c r="M194" s="329">
        <v>0</v>
      </c>
      <c r="N194" s="329">
        <v>0</v>
      </c>
      <c r="O194" s="329">
        <v>0</v>
      </c>
      <c r="P194" s="329">
        <v>0</v>
      </c>
      <c r="Q194" s="329"/>
      <c r="R194" s="329">
        <v>18856</v>
      </c>
      <c r="S194" s="329">
        <v>16875</v>
      </c>
      <c r="T194" s="329">
        <v>35731</v>
      </c>
    </row>
    <row r="195" spans="1:20">
      <c r="A195" s="335">
        <v>91461</v>
      </c>
      <c r="B195" s="328" t="s">
        <v>881</v>
      </c>
      <c r="C195" s="239">
        <v>9.5000000000000005E-6</v>
      </c>
      <c r="D195" s="239">
        <v>9.5999999999999996E-6</v>
      </c>
      <c r="E195" s="329">
        <v>25944</v>
      </c>
      <c r="F195" s="329"/>
      <c r="G195" s="329">
        <v>4442</v>
      </c>
      <c r="H195" s="329">
        <v>633</v>
      </c>
      <c r="I195" s="329">
        <v>4228</v>
      </c>
      <c r="J195" s="329">
        <v>123</v>
      </c>
      <c r="K195" s="329">
        <v>9426</v>
      </c>
      <c r="L195" s="329"/>
      <c r="M195" s="329">
        <v>0</v>
      </c>
      <c r="N195" s="329">
        <v>0</v>
      </c>
      <c r="O195" s="329">
        <v>2588</v>
      </c>
      <c r="P195" s="329">
        <v>2588</v>
      </c>
      <c r="Q195" s="329"/>
      <c r="R195" s="329">
        <v>11557</v>
      </c>
      <c r="S195" s="329">
        <v>32</v>
      </c>
      <c r="T195" s="329">
        <v>11589</v>
      </c>
    </row>
    <row r="196" spans="1:20">
      <c r="A196" s="335">
        <v>91501</v>
      </c>
      <c r="B196" s="328" t="s">
        <v>882</v>
      </c>
      <c r="C196" s="239">
        <v>5.1179999999999997E-4</v>
      </c>
      <c r="D196" s="239">
        <v>4.6460000000000002E-4</v>
      </c>
      <c r="E196" s="329">
        <v>1397686</v>
      </c>
      <c r="F196" s="329"/>
      <c r="G196" s="329">
        <v>239319</v>
      </c>
      <c r="H196" s="329">
        <v>34092</v>
      </c>
      <c r="I196" s="329">
        <v>227800</v>
      </c>
      <c r="J196" s="329">
        <v>32151</v>
      </c>
      <c r="K196" s="329">
        <v>533362</v>
      </c>
      <c r="L196" s="329"/>
      <c r="M196" s="329">
        <v>0</v>
      </c>
      <c r="N196" s="329">
        <v>0</v>
      </c>
      <c r="O196" s="329">
        <v>15090</v>
      </c>
      <c r="P196" s="329">
        <v>15090</v>
      </c>
      <c r="Q196" s="329"/>
      <c r="R196" s="329">
        <v>622611</v>
      </c>
      <c r="S196" s="329">
        <v>6590</v>
      </c>
      <c r="T196" s="329">
        <v>629201</v>
      </c>
    </row>
    <row r="197" spans="1:20">
      <c r="A197" s="335">
        <v>91504</v>
      </c>
      <c r="B197" s="328" t="s">
        <v>883</v>
      </c>
      <c r="C197" s="239">
        <v>8.3999999999999992E-6</v>
      </c>
      <c r="D197" s="239">
        <v>9.7999999999999993E-6</v>
      </c>
      <c r="E197" s="329">
        <v>22940</v>
      </c>
      <c r="F197" s="329"/>
      <c r="G197" s="329">
        <v>3928</v>
      </c>
      <c r="H197" s="329">
        <v>559</v>
      </c>
      <c r="I197" s="329">
        <v>3739</v>
      </c>
      <c r="J197" s="329">
        <v>3458</v>
      </c>
      <c r="K197" s="329">
        <v>11684</v>
      </c>
      <c r="L197" s="329"/>
      <c r="M197" s="329">
        <v>0</v>
      </c>
      <c r="N197" s="329">
        <v>0</v>
      </c>
      <c r="O197" s="329">
        <v>0</v>
      </c>
      <c r="P197" s="329">
        <v>0</v>
      </c>
      <c r="Q197" s="329"/>
      <c r="R197" s="329">
        <v>10219</v>
      </c>
      <c r="S197" s="329">
        <v>2720</v>
      </c>
      <c r="T197" s="329">
        <v>12939</v>
      </c>
    </row>
    <row r="198" spans="1:20">
      <c r="A198" s="335">
        <v>91601</v>
      </c>
      <c r="B198" s="328" t="s">
        <v>884</v>
      </c>
      <c r="C198" s="239">
        <v>3.0071E-3</v>
      </c>
      <c r="D198" s="239">
        <v>2.7648E-3</v>
      </c>
      <c r="E198" s="329">
        <v>8212156</v>
      </c>
      <c r="F198" s="329"/>
      <c r="G198" s="329">
        <v>1406129</v>
      </c>
      <c r="H198" s="329">
        <v>200306</v>
      </c>
      <c r="I198" s="329">
        <v>1338445</v>
      </c>
      <c r="J198" s="329">
        <v>259180</v>
      </c>
      <c r="K198" s="329">
        <v>3204060</v>
      </c>
      <c r="L198" s="329"/>
      <c r="M198" s="329">
        <v>0</v>
      </c>
      <c r="N198" s="329">
        <v>0</v>
      </c>
      <c r="O198" s="329">
        <v>20183</v>
      </c>
      <c r="P198" s="329">
        <v>20183</v>
      </c>
      <c r="Q198" s="329"/>
      <c r="R198" s="329">
        <v>3658176</v>
      </c>
      <c r="S198" s="329">
        <v>98841</v>
      </c>
      <c r="T198" s="329">
        <v>3757017</v>
      </c>
    </row>
    <row r="199" spans="1:20">
      <c r="A199" s="335">
        <v>91604</v>
      </c>
      <c r="B199" s="328" t="s">
        <v>885</v>
      </c>
      <c r="C199" s="239">
        <v>8.5599999999999994E-5</v>
      </c>
      <c r="D199" s="239">
        <v>8.5000000000000006E-5</v>
      </c>
      <c r="E199" s="329">
        <v>233767</v>
      </c>
      <c r="F199" s="329"/>
      <c r="G199" s="329">
        <v>40027</v>
      </c>
      <c r="H199" s="329">
        <v>5701</v>
      </c>
      <c r="I199" s="329">
        <v>38100</v>
      </c>
      <c r="J199" s="329">
        <v>26874</v>
      </c>
      <c r="K199" s="329">
        <v>110702</v>
      </c>
      <c r="L199" s="329"/>
      <c r="M199" s="329">
        <v>0</v>
      </c>
      <c r="N199" s="329">
        <v>0</v>
      </c>
      <c r="O199" s="329">
        <v>0</v>
      </c>
      <c r="P199" s="329">
        <v>0</v>
      </c>
      <c r="Q199" s="329"/>
      <c r="R199" s="329">
        <v>104134</v>
      </c>
      <c r="S199" s="329">
        <v>12119</v>
      </c>
      <c r="T199" s="329">
        <v>116253</v>
      </c>
    </row>
    <row r="200" spans="1:20" ht="30">
      <c r="A200" s="335">
        <v>91608</v>
      </c>
      <c r="B200" s="328" t="s">
        <v>886</v>
      </c>
      <c r="C200" s="239">
        <v>1.5420000000000001E-4</v>
      </c>
      <c r="D200" s="239">
        <v>1.5909999999999999E-4</v>
      </c>
      <c r="E200" s="329">
        <v>421108</v>
      </c>
      <c r="F200" s="329"/>
      <c r="G200" s="329">
        <v>72104</v>
      </c>
      <c r="H200" s="329">
        <v>10271</v>
      </c>
      <c r="I200" s="329">
        <v>68634</v>
      </c>
      <c r="J200" s="329">
        <v>779</v>
      </c>
      <c r="K200" s="329">
        <v>151788</v>
      </c>
      <c r="L200" s="329"/>
      <c r="M200" s="329">
        <v>0</v>
      </c>
      <c r="N200" s="329">
        <v>0</v>
      </c>
      <c r="O200" s="329">
        <v>37447</v>
      </c>
      <c r="P200" s="329">
        <v>37447</v>
      </c>
      <c r="Q200" s="329"/>
      <c r="R200" s="329">
        <v>187586</v>
      </c>
      <c r="S200" s="329">
        <v>-21503</v>
      </c>
      <c r="T200" s="329">
        <v>166083</v>
      </c>
    </row>
    <row r="201" spans="1:20">
      <c r="A201" s="335">
        <v>91611</v>
      </c>
      <c r="B201" s="328" t="s">
        <v>887</v>
      </c>
      <c r="C201" s="239">
        <v>1.4658E-3</v>
      </c>
      <c r="D201" s="239">
        <v>1.4744000000000001E-3</v>
      </c>
      <c r="E201" s="329">
        <v>4002985</v>
      </c>
      <c r="F201" s="329"/>
      <c r="G201" s="329">
        <v>685412</v>
      </c>
      <c r="H201" s="329">
        <v>97639</v>
      </c>
      <c r="I201" s="329">
        <v>652420</v>
      </c>
      <c r="J201" s="329">
        <v>0</v>
      </c>
      <c r="K201" s="329">
        <v>1435471</v>
      </c>
      <c r="L201" s="329"/>
      <c r="M201" s="329">
        <v>0</v>
      </c>
      <c r="N201" s="329">
        <v>0</v>
      </c>
      <c r="O201" s="329">
        <v>168711</v>
      </c>
      <c r="P201" s="329">
        <v>168711</v>
      </c>
      <c r="Q201" s="329"/>
      <c r="R201" s="329">
        <v>1783165</v>
      </c>
      <c r="S201" s="329">
        <v>-54413</v>
      </c>
      <c r="T201" s="329">
        <v>1728752</v>
      </c>
    </row>
    <row r="202" spans="1:20">
      <c r="A202" s="335">
        <v>91621</v>
      </c>
      <c r="B202" s="328" t="s">
        <v>888</v>
      </c>
      <c r="C202" s="239">
        <v>2.418E-4</v>
      </c>
      <c r="D202" s="239">
        <v>2.6800000000000001E-4</v>
      </c>
      <c r="E202" s="329">
        <v>660337</v>
      </c>
      <c r="F202" s="329"/>
      <c r="G202" s="329">
        <v>113066</v>
      </c>
      <c r="H202" s="329">
        <v>16107</v>
      </c>
      <c r="I202" s="329">
        <v>107624</v>
      </c>
      <c r="J202" s="329">
        <v>0</v>
      </c>
      <c r="K202" s="329">
        <v>236797</v>
      </c>
      <c r="L202" s="329"/>
      <c r="M202" s="329">
        <v>0</v>
      </c>
      <c r="N202" s="329">
        <v>0</v>
      </c>
      <c r="O202" s="329">
        <v>24050</v>
      </c>
      <c r="P202" s="329">
        <v>24050</v>
      </c>
      <c r="Q202" s="329"/>
      <c r="R202" s="329">
        <v>294153</v>
      </c>
      <c r="S202" s="329">
        <v>-1790</v>
      </c>
      <c r="T202" s="329">
        <v>292363</v>
      </c>
    </row>
    <row r="203" spans="1:20">
      <c r="A203" s="335">
        <v>91631</v>
      </c>
      <c r="B203" s="328" t="s">
        <v>889</v>
      </c>
      <c r="C203" s="239">
        <v>5.9349999999999995E-4</v>
      </c>
      <c r="D203" s="239">
        <v>5.509E-4</v>
      </c>
      <c r="E203" s="329">
        <v>1620802</v>
      </c>
      <c r="F203" s="329"/>
      <c r="G203" s="329">
        <v>277522</v>
      </c>
      <c r="H203" s="329">
        <v>39534</v>
      </c>
      <c r="I203" s="329">
        <v>264164</v>
      </c>
      <c r="J203" s="329">
        <v>12055</v>
      </c>
      <c r="K203" s="329">
        <v>593275</v>
      </c>
      <c r="L203" s="329"/>
      <c r="M203" s="329">
        <v>0</v>
      </c>
      <c r="N203" s="329">
        <v>0</v>
      </c>
      <c r="O203" s="329">
        <v>23175</v>
      </c>
      <c r="P203" s="329">
        <v>23175</v>
      </c>
      <c r="Q203" s="329"/>
      <c r="R203" s="329">
        <v>722000</v>
      </c>
      <c r="S203" s="329">
        <v>-13170</v>
      </c>
      <c r="T203" s="329">
        <v>708830</v>
      </c>
    </row>
    <row r="204" spans="1:20">
      <c r="A204" s="335">
        <v>91633</v>
      </c>
      <c r="B204" s="328" t="s">
        <v>2756</v>
      </c>
      <c r="C204" s="239">
        <v>3.15E-5</v>
      </c>
      <c r="D204" s="239">
        <v>1.8600000000000001E-5</v>
      </c>
      <c r="E204" s="329">
        <v>86024</v>
      </c>
      <c r="F204" s="329"/>
      <c r="G204" s="329">
        <v>14729</v>
      </c>
      <c r="H204" s="329">
        <v>2098</v>
      </c>
      <c r="I204" s="329">
        <v>14020</v>
      </c>
      <c r="J204" s="329">
        <v>9155</v>
      </c>
      <c r="K204" s="329">
        <v>40002</v>
      </c>
      <c r="L204" s="329"/>
      <c r="M204" s="329">
        <v>0</v>
      </c>
      <c r="N204" s="329">
        <v>0</v>
      </c>
      <c r="O204" s="329">
        <v>2815</v>
      </c>
      <c r="P204" s="329">
        <v>2815</v>
      </c>
      <c r="Q204" s="329"/>
      <c r="R204" s="329">
        <v>38320</v>
      </c>
      <c r="S204" s="329">
        <v>328</v>
      </c>
      <c r="T204" s="329">
        <v>38648</v>
      </c>
    </row>
    <row r="205" spans="1:20">
      <c r="A205" s="335">
        <v>91641</v>
      </c>
      <c r="B205" s="328" t="s">
        <v>891</v>
      </c>
      <c r="C205" s="239">
        <v>2.8519999999999999E-4</v>
      </c>
      <c r="D205" s="239">
        <v>2.652E-4</v>
      </c>
      <c r="E205" s="329">
        <v>778859</v>
      </c>
      <c r="F205" s="329"/>
      <c r="G205" s="329">
        <v>133360</v>
      </c>
      <c r="H205" s="329">
        <v>18997</v>
      </c>
      <c r="I205" s="329">
        <v>126941</v>
      </c>
      <c r="J205" s="329">
        <v>1596</v>
      </c>
      <c r="K205" s="329">
        <v>280894</v>
      </c>
      <c r="L205" s="329"/>
      <c r="M205" s="329">
        <v>0</v>
      </c>
      <c r="N205" s="329">
        <v>0</v>
      </c>
      <c r="O205" s="329">
        <v>44958</v>
      </c>
      <c r="P205" s="329">
        <v>44958</v>
      </c>
      <c r="Q205" s="329"/>
      <c r="R205" s="329">
        <v>346950</v>
      </c>
      <c r="S205" s="329">
        <v>-28778</v>
      </c>
      <c r="T205" s="329">
        <v>318172</v>
      </c>
    </row>
    <row r="206" spans="1:20">
      <c r="A206" s="335">
        <v>91651</v>
      </c>
      <c r="B206" s="328" t="s">
        <v>892</v>
      </c>
      <c r="C206" s="239">
        <v>5.4049999999999996E-4</v>
      </c>
      <c r="D206" s="239">
        <v>4.73E-4</v>
      </c>
      <c r="E206" s="329">
        <v>1476063</v>
      </c>
      <c r="F206" s="329"/>
      <c r="G206" s="329">
        <v>252739</v>
      </c>
      <c r="H206" s="329">
        <v>36003</v>
      </c>
      <c r="I206" s="329">
        <v>240574</v>
      </c>
      <c r="J206" s="329">
        <v>72033</v>
      </c>
      <c r="K206" s="329">
        <v>601349</v>
      </c>
      <c r="L206" s="329"/>
      <c r="M206" s="329">
        <v>0</v>
      </c>
      <c r="N206" s="329">
        <v>0</v>
      </c>
      <c r="O206" s="329">
        <v>8700</v>
      </c>
      <c r="P206" s="329">
        <v>8700</v>
      </c>
      <c r="Q206" s="329"/>
      <c r="R206" s="329">
        <v>657525</v>
      </c>
      <c r="S206" s="329">
        <v>10016</v>
      </c>
      <c r="T206" s="329">
        <v>667541</v>
      </c>
    </row>
    <row r="207" spans="1:20">
      <c r="A207" s="335">
        <v>91661</v>
      </c>
      <c r="B207" s="328" t="s">
        <v>893</v>
      </c>
      <c r="C207" s="239">
        <v>1.8760000000000001E-4</v>
      </c>
      <c r="D207" s="239">
        <v>1.8259999999999999E-4</v>
      </c>
      <c r="E207" s="329">
        <v>512321</v>
      </c>
      <c r="F207" s="329"/>
      <c r="G207" s="329">
        <v>87722</v>
      </c>
      <c r="H207" s="329">
        <v>12496</v>
      </c>
      <c r="I207" s="329">
        <v>83500</v>
      </c>
      <c r="J207" s="329">
        <v>0</v>
      </c>
      <c r="K207" s="329">
        <v>183718</v>
      </c>
      <c r="L207" s="329"/>
      <c r="M207" s="329">
        <v>0</v>
      </c>
      <c r="N207" s="329">
        <v>0</v>
      </c>
      <c r="O207" s="329">
        <v>33864</v>
      </c>
      <c r="P207" s="329">
        <v>33864</v>
      </c>
      <c r="Q207" s="329"/>
      <c r="R207" s="329">
        <v>228218</v>
      </c>
      <c r="S207" s="329">
        <v>-20283</v>
      </c>
      <c r="T207" s="329">
        <v>207935</v>
      </c>
    </row>
    <row r="208" spans="1:20">
      <c r="A208" s="335">
        <v>91671</v>
      </c>
      <c r="B208" s="328" t="s">
        <v>894</v>
      </c>
      <c r="C208" s="239">
        <v>1.076E-4</v>
      </c>
      <c r="D208" s="239">
        <v>1.132E-4</v>
      </c>
      <c r="E208" s="329">
        <v>293847</v>
      </c>
      <c r="F208" s="329"/>
      <c r="G208" s="329">
        <v>50314</v>
      </c>
      <c r="H208" s="329">
        <v>7168</v>
      </c>
      <c r="I208" s="329">
        <v>47892</v>
      </c>
      <c r="J208" s="329">
        <v>4956</v>
      </c>
      <c r="K208" s="329">
        <v>110330</v>
      </c>
      <c r="L208" s="329"/>
      <c r="M208" s="329">
        <v>0</v>
      </c>
      <c r="N208" s="329">
        <v>0</v>
      </c>
      <c r="O208" s="329">
        <v>13929</v>
      </c>
      <c r="P208" s="329">
        <v>13929</v>
      </c>
      <c r="Q208" s="329"/>
      <c r="R208" s="329">
        <v>130897</v>
      </c>
      <c r="S208" s="329">
        <v>2169</v>
      </c>
      <c r="T208" s="329">
        <v>133066</v>
      </c>
    </row>
    <row r="209" spans="1:20">
      <c r="A209" s="335">
        <v>91681</v>
      </c>
      <c r="B209" s="328" t="s">
        <v>895</v>
      </c>
      <c r="C209" s="239">
        <v>4.5909999999999999E-4</v>
      </c>
      <c r="D209" s="239">
        <v>4.6460000000000002E-4</v>
      </c>
      <c r="E209" s="329">
        <v>1253766</v>
      </c>
      <c r="F209" s="329"/>
      <c r="G209" s="329">
        <v>214677</v>
      </c>
      <c r="H209" s="329">
        <v>30581</v>
      </c>
      <c r="I209" s="329">
        <v>204343</v>
      </c>
      <c r="J209" s="329">
        <v>328837</v>
      </c>
      <c r="K209" s="329">
        <v>778438</v>
      </c>
      <c r="L209" s="329"/>
      <c r="M209" s="329">
        <v>0</v>
      </c>
      <c r="N209" s="329">
        <v>0</v>
      </c>
      <c r="O209" s="329">
        <v>0</v>
      </c>
      <c r="P209" s="329">
        <v>0</v>
      </c>
      <c r="Q209" s="329"/>
      <c r="R209" s="329">
        <v>558501</v>
      </c>
      <c r="S209" s="329">
        <v>155780</v>
      </c>
      <c r="T209" s="329">
        <v>714281</v>
      </c>
    </row>
    <row r="210" spans="1:20">
      <c r="A210" s="335">
        <v>91691</v>
      </c>
      <c r="B210" s="328" t="s">
        <v>896</v>
      </c>
      <c r="C210" s="239">
        <v>2.2900000000000001E-5</v>
      </c>
      <c r="D210" s="239">
        <v>2.26E-5</v>
      </c>
      <c r="E210" s="329">
        <v>62538</v>
      </c>
      <c r="F210" s="329"/>
      <c r="G210" s="329">
        <v>10708</v>
      </c>
      <c r="H210" s="329">
        <v>1526</v>
      </c>
      <c r="I210" s="329">
        <v>10193</v>
      </c>
      <c r="J210" s="329">
        <v>2558</v>
      </c>
      <c r="K210" s="329">
        <v>24985</v>
      </c>
      <c r="L210" s="329"/>
      <c r="M210" s="329">
        <v>0</v>
      </c>
      <c r="N210" s="329">
        <v>0</v>
      </c>
      <c r="O210" s="329">
        <v>802</v>
      </c>
      <c r="P210" s="329">
        <v>802</v>
      </c>
      <c r="Q210" s="329"/>
      <c r="R210" s="329">
        <v>27858</v>
      </c>
      <c r="S210" s="329">
        <v>524</v>
      </c>
      <c r="T210" s="329">
        <v>28382</v>
      </c>
    </row>
    <row r="211" spans="1:20">
      <c r="A211" s="335">
        <v>91701</v>
      </c>
      <c r="B211" s="328" t="s">
        <v>897</v>
      </c>
      <c r="C211" s="239">
        <v>1.1343E-3</v>
      </c>
      <c r="D211" s="239">
        <v>1.2348999999999999E-3</v>
      </c>
      <c r="E211" s="329">
        <v>3097685</v>
      </c>
      <c r="F211" s="329"/>
      <c r="G211" s="329">
        <v>530402</v>
      </c>
      <c r="H211" s="329">
        <v>75557</v>
      </c>
      <c r="I211" s="329">
        <v>504871</v>
      </c>
      <c r="J211" s="329">
        <v>44619</v>
      </c>
      <c r="K211" s="329">
        <v>1155449</v>
      </c>
      <c r="L211" s="329"/>
      <c r="M211" s="329">
        <v>0</v>
      </c>
      <c r="N211" s="329">
        <v>0</v>
      </c>
      <c r="O211" s="329">
        <v>128468</v>
      </c>
      <c r="P211" s="329">
        <v>128468</v>
      </c>
      <c r="Q211" s="329"/>
      <c r="R211" s="329">
        <v>1379891</v>
      </c>
      <c r="S211" s="329">
        <v>-8971</v>
      </c>
      <c r="T211" s="329">
        <v>1370920</v>
      </c>
    </row>
    <row r="212" spans="1:20">
      <c r="A212" s="335">
        <v>91704</v>
      </c>
      <c r="B212" s="328" t="s">
        <v>898</v>
      </c>
      <c r="C212" s="239">
        <v>1.7600000000000001E-5</v>
      </c>
      <c r="D212" s="239">
        <v>1.73E-5</v>
      </c>
      <c r="E212" s="329">
        <v>48064</v>
      </c>
      <c r="F212" s="329"/>
      <c r="G212" s="329">
        <v>8230</v>
      </c>
      <c r="H212" s="329">
        <v>1173</v>
      </c>
      <c r="I212" s="329">
        <v>7834</v>
      </c>
      <c r="J212" s="329">
        <v>715</v>
      </c>
      <c r="K212" s="329">
        <v>17952</v>
      </c>
      <c r="L212" s="329"/>
      <c r="M212" s="329">
        <v>0</v>
      </c>
      <c r="N212" s="329">
        <v>0</v>
      </c>
      <c r="O212" s="329">
        <v>0</v>
      </c>
      <c r="P212" s="329">
        <v>0</v>
      </c>
      <c r="Q212" s="329"/>
      <c r="R212" s="329">
        <v>21411</v>
      </c>
      <c r="S212" s="329">
        <v>568</v>
      </c>
      <c r="T212" s="329">
        <v>21979</v>
      </c>
    </row>
    <row r="213" spans="1:20" ht="30">
      <c r="A213" s="335">
        <v>91706</v>
      </c>
      <c r="B213" s="328" t="s">
        <v>3679</v>
      </c>
      <c r="C213" s="239">
        <v>2.543E-4</v>
      </c>
      <c r="D213" s="239">
        <v>2.2139999999999999E-4</v>
      </c>
      <c r="E213" s="329">
        <v>694473</v>
      </c>
      <c r="F213" s="329"/>
      <c r="G213" s="329">
        <v>118911</v>
      </c>
      <c r="H213" s="329">
        <v>16939</v>
      </c>
      <c r="I213" s="329">
        <v>113188</v>
      </c>
      <c r="J213" s="329">
        <v>57709</v>
      </c>
      <c r="K213" s="329">
        <v>306747</v>
      </c>
      <c r="L213" s="329"/>
      <c r="M213" s="329">
        <v>0</v>
      </c>
      <c r="N213" s="329">
        <v>0</v>
      </c>
      <c r="O213" s="329">
        <v>820</v>
      </c>
      <c r="P213" s="329">
        <v>820</v>
      </c>
      <c r="Q213" s="329"/>
      <c r="R213" s="329">
        <v>309359</v>
      </c>
      <c r="S213" s="329">
        <v>16678</v>
      </c>
      <c r="T213" s="329">
        <v>326037</v>
      </c>
    </row>
    <row r="214" spans="1:20">
      <c r="A214" s="335">
        <v>91719</v>
      </c>
      <c r="B214" s="328" t="s">
        <v>900</v>
      </c>
      <c r="C214" s="239">
        <v>5.6700000000000003E-5</v>
      </c>
      <c r="D214" s="239">
        <v>5.6799999999999998E-5</v>
      </c>
      <c r="E214" s="329">
        <v>154843</v>
      </c>
      <c r="F214" s="329"/>
      <c r="G214" s="329">
        <v>26513</v>
      </c>
      <c r="H214" s="329">
        <v>3776</v>
      </c>
      <c r="I214" s="329">
        <v>25237</v>
      </c>
      <c r="J214" s="329">
        <v>400</v>
      </c>
      <c r="K214" s="329">
        <v>55926</v>
      </c>
      <c r="L214" s="329"/>
      <c r="M214" s="329">
        <v>0</v>
      </c>
      <c r="N214" s="329">
        <v>0</v>
      </c>
      <c r="O214" s="329">
        <v>6742</v>
      </c>
      <c r="P214" s="329">
        <v>6742</v>
      </c>
      <c r="Q214" s="329"/>
      <c r="R214" s="329">
        <v>68976</v>
      </c>
      <c r="S214" s="329">
        <v>-8</v>
      </c>
      <c r="T214" s="329">
        <v>68968</v>
      </c>
    </row>
    <row r="215" spans="1:20">
      <c r="A215" s="335">
        <v>91801</v>
      </c>
      <c r="B215" s="328" t="s">
        <v>901</v>
      </c>
      <c r="C215" s="239">
        <v>7.5972000000000001E-3</v>
      </c>
      <c r="D215" s="239">
        <v>7.9632999999999995E-3</v>
      </c>
      <c r="E215" s="329">
        <v>20747361</v>
      </c>
      <c r="F215" s="329"/>
      <c r="G215" s="329">
        <v>3552474</v>
      </c>
      <c r="H215" s="329">
        <v>506057</v>
      </c>
      <c r="I215" s="329">
        <v>3381476</v>
      </c>
      <c r="J215" s="329">
        <v>0</v>
      </c>
      <c r="K215" s="329">
        <v>7440007</v>
      </c>
      <c r="L215" s="329"/>
      <c r="M215" s="329">
        <v>0</v>
      </c>
      <c r="N215" s="329">
        <v>0</v>
      </c>
      <c r="O215" s="329">
        <v>468580</v>
      </c>
      <c r="P215" s="329">
        <v>468580</v>
      </c>
      <c r="Q215" s="329"/>
      <c r="R215" s="329">
        <v>9242093</v>
      </c>
      <c r="S215" s="329">
        <v>-160612</v>
      </c>
      <c r="T215" s="329">
        <v>9081481</v>
      </c>
    </row>
    <row r="216" spans="1:20">
      <c r="A216" s="335">
        <v>91804</v>
      </c>
      <c r="B216" s="328" t="s">
        <v>902</v>
      </c>
      <c r="C216" s="239">
        <v>1.2459999999999999E-4</v>
      </c>
      <c r="D216" s="239">
        <v>1.4770000000000001E-4</v>
      </c>
      <c r="E216" s="329">
        <v>340273</v>
      </c>
      <c r="F216" s="329"/>
      <c r="G216" s="329">
        <v>58263</v>
      </c>
      <c r="H216" s="329">
        <v>8300</v>
      </c>
      <c r="I216" s="329">
        <v>55459</v>
      </c>
      <c r="J216" s="329">
        <v>54729</v>
      </c>
      <c r="K216" s="329">
        <v>176751</v>
      </c>
      <c r="L216" s="329"/>
      <c r="M216" s="329">
        <v>0</v>
      </c>
      <c r="N216" s="329">
        <v>0</v>
      </c>
      <c r="O216" s="329">
        <v>0</v>
      </c>
      <c r="P216" s="329">
        <v>0</v>
      </c>
      <c r="Q216" s="329"/>
      <c r="R216" s="329">
        <v>151578</v>
      </c>
      <c r="S216" s="329">
        <v>28815</v>
      </c>
      <c r="T216" s="329">
        <v>180393</v>
      </c>
    </row>
    <row r="217" spans="1:20">
      <c r="A217" s="335">
        <v>91811</v>
      </c>
      <c r="B217" s="328" t="s">
        <v>903</v>
      </c>
      <c r="C217" s="239">
        <v>4.2429E-3</v>
      </c>
      <c r="D217" s="239">
        <v>4.4413999999999999E-3</v>
      </c>
      <c r="E217" s="329">
        <v>11587029</v>
      </c>
      <c r="F217" s="329"/>
      <c r="G217" s="329">
        <v>1983993</v>
      </c>
      <c r="H217" s="329">
        <v>282624</v>
      </c>
      <c r="I217" s="329">
        <v>1888494</v>
      </c>
      <c r="J217" s="329">
        <v>0</v>
      </c>
      <c r="K217" s="329">
        <v>4155111</v>
      </c>
      <c r="L217" s="329"/>
      <c r="M217" s="329">
        <v>0</v>
      </c>
      <c r="N217" s="329">
        <v>0</v>
      </c>
      <c r="O217" s="329">
        <v>476711</v>
      </c>
      <c r="P217" s="329">
        <v>476711</v>
      </c>
      <c r="Q217" s="329"/>
      <c r="R217" s="329">
        <v>5161543</v>
      </c>
      <c r="S217" s="329">
        <v>-260791</v>
      </c>
      <c r="T217" s="329">
        <v>4900752</v>
      </c>
    </row>
    <row r="218" spans="1:20" ht="30">
      <c r="A218" s="335">
        <v>91812</v>
      </c>
      <c r="B218" s="328" t="s">
        <v>3680</v>
      </c>
      <c r="C218" s="239">
        <v>4.5599999999999997E-5</v>
      </c>
      <c r="D218" s="239">
        <v>5.3600000000000002E-5</v>
      </c>
      <c r="E218" s="329">
        <v>124530</v>
      </c>
      <c r="F218" s="329"/>
      <c r="G218" s="329">
        <v>21323</v>
      </c>
      <c r="H218" s="329">
        <v>3037</v>
      </c>
      <c r="I218" s="329">
        <v>20296</v>
      </c>
      <c r="J218" s="329">
        <v>4936</v>
      </c>
      <c r="K218" s="329">
        <v>49592</v>
      </c>
      <c r="L218" s="329"/>
      <c r="M218" s="329">
        <v>0</v>
      </c>
      <c r="N218" s="329">
        <v>0</v>
      </c>
      <c r="O218" s="329">
        <v>3846</v>
      </c>
      <c r="P218" s="329">
        <v>3846</v>
      </c>
      <c r="Q218" s="329"/>
      <c r="R218" s="329">
        <v>55473</v>
      </c>
      <c r="S218" s="329">
        <v>3554</v>
      </c>
      <c r="T218" s="329">
        <v>59027</v>
      </c>
    </row>
    <row r="219" spans="1:20">
      <c r="A219" s="335">
        <v>91813</v>
      </c>
      <c r="B219" s="328" t="s">
        <v>905</v>
      </c>
      <c r="C219" s="239">
        <v>7.1500000000000003E-5</v>
      </c>
      <c r="D219" s="239">
        <v>8.1299999999999997E-5</v>
      </c>
      <c r="E219" s="329">
        <v>195261</v>
      </c>
      <c r="F219" s="329"/>
      <c r="G219" s="329">
        <v>33434</v>
      </c>
      <c r="H219" s="329">
        <v>4763</v>
      </c>
      <c r="I219" s="329">
        <v>31824</v>
      </c>
      <c r="J219" s="329">
        <v>1216</v>
      </c>
      <c r="K219" s="329">
        <v>71237</v>
      </c>
      <c r="L219" s="329"/>
      <c r="M219" s="329">
        <v>0</v>
      </c>
      <c r="N219" s="329">
        <v>0</v>
      </c>
      <c r="O219" s="329">
        <v>13295</v>
      </c>
      <c r="P219" s="329">
        <v>13295</v>
      </c>
      <c r="Q219" s="329"/>
      <c r="R219" s="329">
        <v>86981</v>
      </c>
      <c r="S219" s="329">
        <v>-270</v>
      </c>
      <c r="T219" s="329">
        <v>86711</v>
      </c>
    </row>
    <row r="220" spans="1:20">
      <c r="A220" s="335">
        <v>91818</v>
      </c>
      <c r="B220" s="328" t="s">
        <v>2786</v>
      </c>
      <c r="C220" s="239">
        <v>4.0620000000000001E-4</v>
      </c>
      <c r="D220" s="239">
        <v>3.9429999999999999E-4</v>
      </c>
      <c r="E220" s="329">
        <v>1109301</v>
      </c>
      <c r="F220" s="329"/>
      <c r="G220" s="329">
        <v>189940</v>
      </c>
      <c r="H220" s="329">
        <v>27057</v>
      </c>
      <c r="I220" s="329">
        <v>180798</v>
      </c>
      <c r="J220" s="329">
        <v>342085</v>
      </c>
      <c r="K220" s="329">
        <v>739880</v>
      </c>
      <c r="L220" s="329"/>
      <c r="M220" s="329">
        <v>0</v>
      </c>
      <c r="N220" s="329">
        <v>0</v>
      </c>
      <c r="O220" s="329">
        <v>0</v>
      </c>
      <c r="P220" s="329">
        <v>0</v>
      </c>
      <c r="Q220" s="329"/>
      <c r="R220" s="329">
        <v>494148</v>
      </c>
      <c r="S220" s="329">
        <v>210448</v>
      </c>
      <c r="T220" s="329">
        <v>704596</v>
      </c>
    </row>
    <row r="221" spans="1:20">
      <c r="A221" s="335">
        <v>91819</v>
      </c>
      <c r="B221" s="328" t="s">
        <v>907</v>
      </c>
      <c r="C221" s="239">
        <v>3.1260000000000001E-4</v>
      </c>
      <c r="D221" s="239">
        <v>3.0469999999999998E-4</v>
      </c>
      <c r="E221" s="329">
        <v>853686</v>
      </c>
      <c r="F221" s="329"/>
      <c r="G221" s="329">
        <v>146173</v>
      </c>
      <c r="H221" s="329">
        <v>20822</v>
      </c>
      <c r="I221" s="329">
        <v>139137</v>
      </c>
      <c r="J221" s="329">
        <v>39076</v>
      </c>
      <c r="K221" s="329">
        <v>345208</v>
      </c>
      <c r="L221" s="329"/>
      <c r="M221" s="329">
        <v>0</v>
      </c>
      <c r="N221" s="329">
        <v>0</v>
      </c>
      <c r="O221" s="329">
        <v>1296</v>
      </c>
      <c r="P221" s="329">
        <v>1296</v>
      </c>
      <c r="Q221" s="329"/>
      <c r="R221" s="329">
        <v>380282</v>
      </c>
      <c r="S221" s="329">
        <v>8784</v>
      </c>
      <c r="T221" s="329">
        <v>389066</v>
      </c>
    </row>
    <row r="222" spans="1:20">
      <c r="A222" s="335">
        <v>91821</v>
      </c>
      <c r="B222" s="328" t="s">
        <v>908</v>
      </c>
      <c r="C222" s="239">
        <v>1.6750000000000001E-4</v>
      </c>
      <c r="D222" s="239">
        <v>1.671E-4</v>
      </c>
      <c r="E222" s="329">
        <v>457429</v>
      </c>
      <c r="F222" s="329"/>
      <c r="G222" s="329">
        <v>78324</v>
      </c>
      <c r="H222" s="329">
        <v>11157</v>
      </c>
      <c r="I222" s="329">
        <v>74553</v>
      </c>
      <c r="J222" s="329">
        <v>79</v>
      </c>
      <c r="K222" s="329">
        <v>164113</v>
      </c>
      <c r="L222" s="329"/>
      <c r="M222" s="329">
        <v>0</v>
      </c>
      <c r="N222" s="329">
        <v>0</v>
      </c>
      <c r="O222" s="329">
        <v>8924</v>
      </c>
      <c r="P222" s="329">
        <v>8924</v>
      </c>
      <c r="Q222" s="329"/>
      <c r="R222" s="329">
        <v>203766</v>
      </c>
      <c r="S222" s="329">
        <v>-2704</v>
      </c>
      <c r="T222" s="329">
        <v>201062</v>
      </c>
    </row>
    <row r="223" spans="1:20">
      <c r="A223" s="335">
        <v>91831</v>
      </c>
      <c r="B223" s="328" t="s">
        <v>909</v>
      </c>
      <c r="C223" s="239">
        <v>3.7990000000000002E-4</v>
      </c>
      <c r="D223" s="239">
        <v>3.7740000000000001E-4</v>
      </c>
      <c r="E223" s="329">
        <v>1037477</v>
      </c>
      <c r="F223" s="329"/>
      <c r="G223" s="329">
        <v>177642</v>
      </c>
      <c r="H223" s="329">
        <v>25306</v>
      </c>
      <c r="I223" s="329">
        <v>169092</v>
      </c>
      <c r="J223" s="329">
        <v>10362</v>
      </c>
      <c r="K223" s="329">
        <v>382402</v>
      </c>
      <c r="L223" s="329"/>
      <c r="M223" s="329">
        <v>0</v>
      </c>
      <c r="N223" s="329">
        <v>0</v>
      </c>
      <c r="O223" s="329">
        <v>7372</v>
      </c>
      <c r="P223" s="329">
        <v>7372</v>
      </c>
      <c r="Q223" s="329"/>
      <c r="R223" s="329">
        <v>462153</v>
      </c>
      <c r="S223" s="329">
        <v>2204</v>
      </c>
      <c r="T223" s="329">
        <v>464357</v>
      </c>
    </row>
    <row r="224" spans="1:20">
      <c r="A224" s="335">
        <v>91841</v>
      </c>
      <c r="B224" s="328" t="s">
        <v>910</v>
      </c>
      <c r="C224" s="239">
        <v>2.5090000000000003E-4</v>
      </c>
      <c r="D224" s="239">
        <v>2.6479999999999999E-4</v>
      </c>
      <c r="E224" s="329">
        <v>685188</v>
      </c>
      <c r="F224" s="329"/>
      <c r="G224" s="329">
        <v>117322</v>
      </c>
      <c r="H224" s="329">
        <v>16713</v>
      </c>
      <c r="I224" s="329">
        <v>111674</v>
      </c>
      <c r="J224" s="329">
        <v>4358</v>
      </c>
      <c r="K224" s="329">
        <v>250067</v>
      </c>
      <c r="L224" s="329"/>
      <c r="M224" s="329">
        <v>0</v>
      </c>
      <c r="N224" s="329">
        <v>0</v>
      </c>
      <c r="O224" s="329">
        <v>7918</v>
      </c>
      <c r="P224" s="329">
        <v>7918</v>
      </c>
      <c r="Q224" s="329"/>
      <c r="R224" s="329">
        <v>305223</v>
      </c>
      <c r="S224" s="329">
        <v>-4400</v>
      </c>
      <c r="T224" s="329">
        <v>300823</v>
      </c>
    </row>
    <row r="225" spans="1:20">
      <c r="A225" s="335">
        <v>91851</v>
      </c>
      <c r="B225" s="328" t="s">
        <v>911</v>
      </c>
      <c r="C225" s="239">
        <v>7.004E-4</v>
      </c>
      <c r="D225" s="239">
        <v>7.3039999999999997E-4</v>
      </c>
      <c r="E225" s="329">
        <v>1912738</v>
      </c>
      <c r="F225" s="329"/>
      <c r="G225" s="329">
        <v>327509</v>
      </c>
      <c r="H225" s="329">
        <v>46654</v>
      </c>
      <c r="I225" s="329">
        <v>311745</v>
      </c>
      <c r="J225" s="329">
        <v>2729</v>
      </c>
      <c r="K225" s="329">
        <v>688637</v>
      </c>
      <c r="L225" s="329"/>
      <c r="M225" s="329">
        <v>0</v>
      </c>
      <c r="N225" s="329">
        <v>0</v>
      </c>
      <c r="O225" s="329">
        <v>34237</v>
      </c>
      <c r="P225" s="329">
        <v>34237</v>
      </c>
      <c r="Q225" s="329"/>
      <c r="R225" s="329">
        <v>852046</v>
      </c>
      <c r="S225" s="329">
        <v>-22514</v>
      </c>
      <c r="T225" s="329">
        <v>829532</v>
      </c>
    </row>
    <row r="226" spans="1:20">
      <c r="A226" s="335">
        <v>91861</v>
      </c>
      <c r="B226" s="328" t="s">
        <v>912</v>
      </c>
      <c r="C226" s="239">
        <v>7.7000000000000008E-6</v>
      </c>
      <c r="D226" s="239">
        <v>1.1800000000000001E-5</v>
      </c>
      <c r="E226" s="329">
        <v>21028</v>
      </c>
      <c r="F226" s="329"/>
      <c r="G226" s="329">
        <v>3601</v>
      </c>
      <c r="H226" s="329">
        <v>513</v>
      </c>
      <c r="I226" s="329">
        <v>3427</v>
      </c>
      <c r="J226" s="329">
        <v>129</v>
      </c>
      <c r="K226" s="329">
        <v>7670</v>
      </c>
      <c r="L226" s="329"/>
      <c r="M226" s="329">
        <v>0</v>
      </c>
      <c r="N226" s="329">
        <v>0</v>
      </c>
      <c r="O226" s="329">
        <v>7542</v>
      </c>
      <c r="P226" s="329">
        <v>7542</v>
      </c>
      <c r="Q226" s="329"/>
      <c r="R226" s="329">
        <v>9367</v>
      </c>
      <c r="S226" s="329">
        <v>-1401</v>
      </c>
      <c r="T226" s="329">
        <v>7966</v>
      </c>
    </row>
    <row r="227" spans="1:20">
      <c r="A227" s="335">
        <v>91871</v>
      </c>
      <c r="B227" s="328" t="s">
        <v>913</v>
      </c>
      <c r="C227" s="239">
        <v>1.3121000000000001E-3</v>
      </c>
      <c r="D227" s="239">
        <v>1.3219E-3</v>
      </c>
      <c r="E227" s="329">
        <v>3583243</v>
      </c>
      <c r="F227" s="329"/>
      <c r="G227" s="329">
        <v>613542</v>
      </c>
      <c r="H227" s="329">
        <v>87400</v>
      </c>
      <c r="I227" s="329">
        <v>584009</v>
      </c>
      <c r="J227" s="329">
        <v>11268</v>
      </c>
      <c r="K227" s="329">
        <v>1296219</v>
      </c>
      <c r="L227" s="329"/>
      <c r="M227" s="329">
        <v>0</v>
      </c>
      <c r="N227" s="329">
        <v>0</v>
      </c>
      <c r="O227" s="329">
        <v>53022</v>
      </c>
      <c r="P227" s="329">
        <v>53022</v>
      </c>
      <c r="Q227" s="329"/>
      <c r="R227" s="329">
        <v>1596187</v>
      </c>
      <c r="S227" s="329">
        <v>-33723</v>
      </c>
      <c r="T227" s="329">
        <v>1562464</v>
      </c>
    </row>
    <row r="228" spans="1:20">
      <c r="A228" s="335">
        <v>91881</v>
      </c>
      <c r="B228" s="328" t="s">
        <v>914</v>
      </c>
      <c r="C228" s="239">
        <v>2.1399999999999998E-5</v>
      </c>
      <c r="D228" s="239">
        <v>8.1000000000000004E-6</v>
      </c>
      <c r="E228" s="329">
        <v>58442</v>
      </c>
      <c r="F228" s="329"/>
      <c r="G228" s="329">
        <v>10007</v>
      </c>
      <c r="H228" s="329">
        <v>1425</v>
      </c>
      <c r="I228" s="329">
        <v>9525</v>
      </c>
      <c r="J228" s="329">
        <v>9726</v>
      </c>
      <c r="K228" s="329">
        <v>30683</v>
      </c>
      <c r="L228" s="329"/>
      <c r="M228" s="329">
        <v>0</v>
      </c>
      <c r="N228" s="329">
        <v>0</v>
      </c>
      <c r="O228" s="329">
        <v>1059</v>
      </c>
      <c r="P228" s="329">
        <v>1059</v>
      </c>
      <c r="Q228" s="329"/>
      <c r="R228" s="329">
        <v>26033</v>
      </c>
      <c r="S228" s="329">
        <v>693</v>
      </c>
      <c r="T228" s="329">
        <v>26726</v>
      </c>
    </row>
    <row r="229" spans="1:20">
      <c r="A229" s="335">
        <v>91901</v>
      </c>
      <c r="B229" s="328" t="s">
        <v>915</v>
      </c>
      <c r="C229" s="239">
        <v>3.6947999999999998E-3</v>
      </c>
      <c r="D229" s="239">
        <v>3.6922000000000001E-3</v>
      </c>
      <c r="E229" s="329">
        <v>10090211</v>
      </c>
      <c r="F229" s="329"/>
      <c r="G229" s="329">
        <v>1727700</v>
      </c>
      <c r="H229" s="329">
        <v>246114</v>
      </c>
      <c r="I229" s="329">
        <v>1644537</v>
      </c>
      <c r="J229" s="329">
        <v>8156</v>
      </c>
      <c r="K229" s="329">
        <v>3626507</v>
      </c>
      <c r="L229" s="329"/>
      <c r="M229" s="329">
        <v>0</v>
      </c>
      <c r="N229" s="329">
        <v>0</v>
      </c>
      <c r="O229" s="329">
        <v>80060</v>
      </c>
      <c r="P229" s="329">
        <v>80060</v>
      </c>
      <c r="Q229" s="329"/>
      <c r="R229" s="329">
        <v>4494772</v>
      </c>
      <c r="S229" s="329">
        <v>-252</v>
      </c>
      <c r="T229" s="329">
        <v>4494520</v>
      </c>
    </row>
    <row r="230" spans="1:20">
      <c r="A230" s="335">
        <v>91903</v>
      </c>
      <c r="B230" s="328" t="s">
        <v>2783</v>
      </c>
      <c r="C230" s="239">
        <v>7.1999999999999997E-6</v>
      </c>
      <c r="D230" s="239">
        <v>8.8000000000000004E-6</v>
      </c>
      <c r="E230" s="329">
        <v>19663</v>
      </c>
      <c r="F230" s="329"/>
      <c r="G230" s="329">
        <v>3367</v>
      </c>
      <c r="H230" s="329">
        <v>480</v>
      </c>
      <c r="I230" s="329">
        <v>3205</v>
      </c>
      <c r="J230" s="329">
        <v>3228</v>
      </c>
      <c r="K230" s="329">
        <v>10280</v>
      </c>
      <c r="L230" s="329"/>
      <c r="M230" s="329">
        <v>0</v>
      </c>
      <c r="N230" s="329">
        <v>0</v>
      </c>
      <c r="O230" s="329">
        <v>0</v>
      </c>
      <c r="P230" s="329">
        <v>0</v>
      </c>
      <c r="Q230" s="329"/>
      <c r="R230" s="329">
        <v>8759</v>
      </c>
      <c r="S230" s="329">
        <v>1299</v>
      </c>
      <c r="T230" s="329">
        <v>10058</v>
      </c>
    </row>
    <row r="231" spans="1:20">
      <c r="A231" s="335">
        <v>91904</v>
      </c>
      <c r="B231" s="328" t="s">
        <v>917</v>
      </c>
      <c r="C231" s="239">
        <v>3.26E-5</v>
      </c>
      <c r="D231" s="239">
        <v>3.1399999999999998E-5</v>
      </c>
      <c r="E231" s="329">
        <v>89028</v>
      </c>
      <c r="F231" s="329"/>
      <c r="G231" s="329">
        <v>15244</v>
      </c>
      <c r="H231" s="329">
        <v>2171</v>
      </c>
      <c r="I231" s="329">
        <v>14510</v>
      </c>
      <c r="J231" s="329">
        <v>7163</v>
      </c>
      <c r="K231" s="329">
        <v>39088</v>
      </c>
      <c r="L231" s="329"/>
      <c r="M231" s="329">
        <v>0</v>
      </c>
      <c r="N231" s="329">
        <v>0</v>
      </c>
      <c r="O231" s="329">
        <v>326</v>
      </c>
      <c r="P231" s="329">
        <v>326</v>
      </c>
      <c r="Q231" s="329"/>
      <c r="R231" s="329">
        <v>39658</v>
      </c>
      <c r="S231" s="329">
        <v>3692</v>
      </c>
      <c r="T231" s="329">
        <v>43350</v>
      </c>
    </row>
    <row r="232" spans="1:20">
      <c r="A232" s="335">
        <v>91908</v>
      </c>
      <c r="B232" s="328" t="s">
        <v>918</v>
      </c>
      <c r="C232" s="239">
        <v>1.59E-5</v>
      </c>
      <c r="D232" s="239">
        <v>1.5299999999999999E-5</v>
      </c>
      <c r="E232" s="329">
        <v>43422</v>
      </c>
      <c r="F232" s="329"/>
      <c r="G232" s="329">
        <v>7435</v>
      </c>
      <c r="H232" s="329">
        <v>1059</v>
      </c>
      <c r="I232" s="329">
        <v>7077</v>
      </c>
      <c r="J232" s="329">
        <v>53</v>
      </c>
      <c r="K232" s="329">
        <v>15624</v>
      </c>
      <c r="L232" s="329"/>
      <c r="M232" s="329">
        <v>0</v>
      </c>
      <c r="N232" s="329">
        <v>0</v>
      </c>
      <c r="O232" s="329">
        <v>4807</v>
      </c>
      <c r="P232" s="329">
        <v>4807</v>
      </c>
      <c r="Q232" s="329"/>
      <c r="R232" s="329">
        <v>19343</v>
      </c>
      <c r="S232" s="329">
        <v>-2037</v>
      </c>
      <c r="T232" s="329">
        <v>17306</v>
      </c>
    </row>
    <row r="233" spans="1:20">
      <c r="A233" s="335">
        <v>91911</v>
      </c>
      <c r="B233" s="328" t="s">
        <v>919</v>
      </c>
      <c r="C233" s="239">
        <v>4.46E-4</v>
      </c>
      <c r="D233" s="239">
        <v>4.8529999999999998E-4</v>
      </c>
      <c r="E233" s="329">
        <v>1217991</v>
      </c>
      <c r="F233" s="329"/>
      <c r="G233" s="329">
        <v>208551</v>
      </c>
      <c r="H233" s="329">
        <v>29708</v>
      </c>
      <c r="I233" s="329">
        <v>198512</v>
      </c>
      <c r="J233" s="329">
        <v>17660</v>
      </c>
      <c r="K233" s="329">
        <v>454431</v>
      </c>
      <c r="L233" s="329"/>
      <c r="M233" s="329">
        <v>0</v>
      </c>
      <c r="N233" s="329">
        <v>0</v>
      </c>
      <c r="O233" s="329">
        <v>30971</v>
      </c>
      <c r="P233" s="329">
        <v>30971</v>
      </c>
      <c r="Q233" s="329"/>
      <c r="R233" s="329">
        <v>542565</v>
      </c>
      <c r="S233" s="329">
        <v>-1135</v>
      </c>
      <c r="T233" s="329">
        <v>541430</v>
      </c>
    </row>
    <row r="234" spans="1:20">
      <c r="A234" s="335">
        <v>91917</v>
      </c>
      <c r="B234" s="328" t="s">
        <v>920</v>
      </c>
      <c r="C234" s="239">
        <v>1.31E-5</v>
      </c>
      <c r="D234" s="239">
        <v>1.04E-5</v>
      </c>
      <c r="E234" s="329">
        <v>35775</v>
      </c>
      <c r="F234" s="329"/>
      <c r="G234" s="329">
        <v>6126</v>
      </c>
      <c r="H234" s="329">
        <v>873</v>
      </c>
      <c r="I234" s="329">
        <v>5831</v>
      </c>
      <c r="J234" s="329">
        <v>3327</v>
      </c>
      <c r="K234" s="329">
        <v>16157</v>
      </c>
      <c r="L234" s="329"/>
      <c r="M234" s="329">
        <v>0</v>
      </c>
      <c r="N234" s="329">
        <v>0</v>
      </c>
      <c r="O234" s="329">
        <v>156</v>
      </c>
      <c r="P234" s="329">
        <v>156</v>
      </c>
      <c r="Q234" s="329"/>
      <c r="R234" s="329">
        <v>15936</v>
      </c>
      <c r="S234" s="329">
        <v>925</v>
      </c>
      <c r="T234" s="329">
        <v>16861</v>
      </c>
    </row>
    <row r="235" spans="1:20">
      <c r="A235" s="335">
        <v>91921</v>
      </c>
      <c r="B235" s="328" t="s">
        <v>921</v>
      </c>
      <c r="C235" s="239">
        <v>3.8479999999999997E-4</v>
      </c>
      <c r="D235" s="239">
        <v>3.5619999999999998E-4</v>
      </c>
      <c r="E235" s="329">
        <v>1050859</v>
      </c>
      <c r="F235" s="329"/>
      <c r="G235" s="329">
        <v>179934</v>
      </c>
      <c r="H235" s="329">
        <v>25632</v>
      </c>
      <c r="I235" s="329">
        <v>171273</v>
      </c>
      <c r="J235" s="329">
        <v>14091</v>
      </c>
      <c r="K235" s="329">
        <v>390930</v>
      </c>
      <c r="L235" s="329"/>
      <c r="M235" s="329">
        <v>0</v>
      </c>
      <c r="N235" s="329">
        <v>0</v>
      </c>
      <c r="O235" s="329">
        <v>17696</v>
      </c>
      <c r="P235" s="329">
        <v>17696</v>
      </c>
      <c r="Q235" s="329"/>
      <c r="R235" s="329">
        <v>468114</v>
      </c>
      <c r="S235" s="329">
        <v>-5556</v>
      </c>
      <c r="T235" s="329">
        <v>462558</v>
      </c>
    </row>
    <row r="236" spans="1:20">
      <c r="A236" s="335">
        <v>92001</v>
      </c>
      <c r="B236" s="328" t="s">
        <v>922</v>
      </c>
      <c r="C236" s="239">
        <v>1.7757000000000001E-3</v>
      </c>
      <c r="D236" s="239">
        <v>1.8332999999999999E-3</v>
      </c>
      <c r="E236" s="329">
        <v>4849298</v>
      </c>
      <c r="F236" s="329"/>
      <c r="G236" s="329">
        <v>830323</v>
      </c>
      <c r="H236" s="329">
        <v>118281</v>
      </c>
      <c r="I236" s="329">
        <v>790355</v>
      </c>
      <c r="J236" s="329">
        <v>13845</v>
      </c>
      <c r="K236" s="329">
        <v>1752804</v>
      </c>
      <c r="L236" s="329"/>
      <c r="M236" s="329">
        <v>0</v>
      </c>
      <c r="N236" s="329">
        <v>0</v>
      </c>
      <c r="O236" s="329">
        <v>130820</v>
      </c>
      <c r="P236" s="329">
        <v>130820</v>
      </c>
      <c r="Q236" s="329"/>
      <c r="R236" s="329">
        <v>2160162</v>
      </c>
      <c r="S236" s="329">
        <v>-32957</v>
      </c>
      <c r="T236" s="329">
        <v>2127205</v>
      </c>
    </row>
    <row r="237" spans="1:20">
      <c r="A237" s="335">
        <v>92005</v>
      </c>
      <c r="B237" s="328" t="s">
        <v>923</v>
      </c>
      <c r="C237" s="239">
        <v>3.5299999999999997E-5</v>
      </c>
      <c r="D237" s="239">
        <v>4.2700000000000001E-5</v>
      </c>
      <c r="E237" s="329">
        <v>96402</v>
      </c>
      <c r="F237" s="329"/>
      <c r="G237" s="329">
        <v>16506</v>
      </c>
      <c r="H237" s="329">
        <v>2351</v>
      </c>
      <c r="I237" s="329">
        <v>15712</v>
      </c>
      <c r="J237" s="329">
        <v>2841</v>
      </c>
      <c r="K237" s="329">
        <v>37410</v>
      </c>
      <c r="L237" s="329"/>
      <c r="M237" s="329">
        <v>0</v>
      </c>
      <c r="N237" s="329">
        <v>0</v>
      </c>
      <c r="O237" s="329">
        <v>3594</v>
      </c>
      <c r="P237" s="329">
        <v>3594</v>
      </c>
      <c r="Q237" s="329"/>
      <c r="R237" s="329">
        <v>42943</v>
      </c>
      <c r="S237" s="329">
        <v>-28</v>
      </c>
      <c r="T237" s="329">
        <v>42915</v>
      </c>
    </row>
    <row r="238" spans="1:20">
      <c r="A238" s="335">
        <v>92011</v>
      </c>
      <c r="B238" s="328" t="s">
        <v>924</v>
      </c>
      <c r="C238" s="239">
        <v>1.9100000000000001E-4</v>
      </c>
      <c r="D238" s="239">
        <v>1.916E-4</v>
      </c>
      <c r="E238" s="329">
        <v>521606</v>
      </c>
      <c r="F238" s="329"/>
      <c r="G238" s="329">
        <v>89312</v>
      </c>
      <c r="H238" s="329">
        <v>12722</v>
      </c>
      <c r="I238" s="329">
        <v>85013</v>
      </c>
      <c r="J238" s="329">
        <v>4687</v>
      </c>
      <c r="K238" s="329">
        <v>191734</v>
      </c>
      <c r="L238" s="329"/>
      <c r="M238" s="329">
        <v>0</v>
      </c>
      <c r="N238" s="329">
        <v>0</v>
      </c>
      <c r="O238" s="329">
        <v>9533</v>
      </c>
      <c r="P238" s="329">
        <v>9533</v>
      </c>
      <c r="Q238" s="329"/>
      <c r="R238" s="329">
        <v>232354</v>
      </c>
      <c r="S238" s="329">
        <v>469</v>
      </c>
      <c r="T238" s="329">
        <v>232823</v>
      </c>
    </row>
    <row r="239" spans="1:20" ht="14.25" customHeight="1">
      <c r="A239" s="335">
        <v>92017</v>
      </c>
      <c r="B239" s="328" t="s">
        <v>925</v>
      </c>
      <c r="C239" s="239">
        <v>3.1900000000000003E-5</v>
      </c>
      <c r="D239" s="239">
        <v>3.3200000000000001E-5</v>
      </c>
      <c r="E239" s="329">
        <v>87116</v>
      </c>
      <c r="F239" s="329"/>
      <c r="G239" s="329">
        <v>14917</v>
      </c>
      <c r="H239" s="329">
        <v>2125</v>
      </c>
      <c r="I239" s="329">
        <v>14199</v>
      </c>
      <c r="J239" s="329">
        <v>2208</v>
      </c>
      <c r="K239" s="329">
        <v>33449</v>
      </c>
      <c r="L239" s="329"/>
      <c r="M239" s="329">
        <v>0</v>
      </c>
      <c r="N239" s="329">
        <v>0</v>
      </c>
      <c r="O239" s="329">
        <v>167</v>
      </c>
      <c r="P239" s="329">
        <v>167</v>
      </c>
      <c r="Q239" s="329"/>
      <c r="R239" s="329">
        <v>38807</v>
      </c>
      <c r="S239" s="329">
        <v>581</v>
      </c>
      <c r="T239" s="329">
        <v>39388</v>
      </c>
    </row>
    <row r="240" spans="1:20">
      <c r="A240" s="335">
        <v>92021</v>
      </c>
      <c r="B240" s="328" t="s">
        <v>926</v>
      </c>
      <c r="C240" s="239">
        <v>1.054E-4</v>
      </c>
      <c r="D240" s="239">
        <v>1.451E-4</v>
      </c>
      <c r="E240" s="329">
        <v>287839</v>
      </c>
      <c r="F240" s="329"/>
      <c r="G240" s="329">
        <v>49285</v>
      </c>
      <c r="H240" s="329">
        <v>7021</v>
      </c>
      <c r="I240" s="329">
        <v>46913</v>
      </c>
      <c r="J240" s="329">
        <v>11247</v>
      </c>
      <c r="K240" s="329">
        <v>114466</v>
      </c>
      <c r="L240" s="329"/>
      <c r="M240" s="329">
        <v>0</v>
      </c>
      <c r="N240" s="329">
        <v>0</v>
      </c>
      <c r="O240" s="329">
        <v>51028</v>
      </c>
      <c r="P240" s="329">
        <v>51028</v>
      </c>
      <c r="Q240" s="329"/>
      <c r="R240" s="329">
        <v>128220</v>
      </c>
      <c r="S240" s="329">
        <v>-7729</v>
      </c>
      <c r="T240" s="329">
        <v>120491</v>
      </c>
    </row>
    <row r="241" spans="1:20">
      <c r="A241" s="335">
        <v>92101</v>
      </c>
      <c r="B241" s="328" t="s">
        <v>927</v>
      </c>
      <c r="C241" s="239">
        <v>7.8700000000000005E-4</v>
      </c>
      <c r="D241" s="239">
        <v>8.183E-4</v>
      </c>
      <c r="E241" s="329">
        <v>2149236</v>
      </c>
      <c r="F241" s="329"/>
      <c r="G241" s="329">
        <v>368004</v>
      </c>
      <c r="H241" s="329">
        <v>52423</v>
      </c>
      <c r="I241" s="329">
        <v>350290</v>
      </c>
      <c r="J241" s="329">
        <v>0</v>
      </c>
      <c r="K241" s="329">
        <v>770717</v>
      </c>
      <c r="L241" s="329"/>
      <c r="M241" s="329">
        <v>0</v>
      </c>
      <c r="N241" s="329">
        <v>0</v>
      </c>
      <c r="O241" s="329">
        <v>87757</v>
      </c>
      <c r="P241" s="329">
        <v>87757</v>
      </c>
      <c r="Q241" s="329"/>
      <c r="R241" s="329">
        <v>957396</v>
      </c>
      <c r="S241" s="329">
        <v>-36597</v>
      </c>
      <c r="T241" s="329">
        <v>920799</v>
      </c>
    </row>
    <row r="242" spans="1:20">
      <c r="A242" s="335">
        <v>92104</v>
      </c>
      <c r="B242" s="328" t="s">
        <v>928</v>
      </c>
      <c r="C242" s="239">
        <v>7.0999999999999998E-6</v>
      </c>
      <c r="D242" s="239">
        <v>8.3999999999999992E-6</v>
      </c>
      <c r="E242" s="329">
        <v>19390</v>
      </c>
      <c r="F242" s="329"/>
      <c r="G242" s="329">
        <v>3320</v>
      </c>
      <c r="H242" s="329">
        <v>473</v>
      </c>
      <c r="I242" s="329">
        <v>3160</v>
      </c>
      <c r="J242" s="329">
        <v>1780</v>
      </c>
      <c r="K242" s="329">
        <v>8733</v>
      </c>
      <c r="L242" s="329"/>
      <c r="M242" s="329">
        <v>0</v>
      </c>
      <c r="N242" s="329">
        <v>0</v>
      </c>
      <c r="O242" s="329">
        <v>0</v>
      </c>
      <c r="P242" s="329">
        <v>0</v>
      </c>
      <c r="Q242" s="329"/>
      <c r="R242" s="329">
        <v>8637</v>
      </c>
      <c r="S242" s="329">
        <v>1182</v>
      </c>
      <c r="T242" s="329">
        <v>9819</v>
      </c>
    </row>
    <row r="243" spans="1:20" ht="30">
      <c r="A243" s="335">
        <v>92109</v>
      </c>
      <c r="B243" s="328" t="s">
        <v>3681</v>
      </c>
      <c r="C243" s="239">
        <v>1.6799999999999999E-4</v>
      </c>
      <c r="D243" s="239">
        <v>1.7239999999999999E-4</v>
      </c>
      <c r="E243" s="329">
        <v>458795</v>
      </c>
      <c r="F243" s="329"/>
      <c r="G243" s="329">
        <v>78557</v>
      </c>
      <c r="H243" s="329">
        <v>11191</v>
      </c>
      <c r="I243" s="329">
        <v>74776</v>
      </c>
      <c r="J243" s="329">
        <v>305</v>
      </c>
      <c r="K243" s="329">
        <v>164829</v>
      </c>
      <c r="L243" s="329"/>
      <c r="M243" s="329">
        <v>0</v>
      </c>
      <c r="N243" s="329">
        <v>0</v>
      </c>
      <c r="O243" s="329">
        <v>14980</v>
      </c>
      <c r="P243" s="329">
        <v>14980</v>
      </c>
      <c r="Q243" s="329"/>
      <c r="R243" s="329">
        <v>204374</v>
      </c>
      <c r="S243" s="329">
        <v>-10022</v>
      </c>
      <c r="T243" s="329">
        <v>194352</v>
      </c>
    </row>
    <row r="244" spans="1:20">
      <c r="A244" s="335">
        <v>92111</v>
      </c>
      <c r="B244" s="328" t="s">
        <v>930</v>
      </c>
      <c r="C244" s="239">
        <v>4.9209999999999998E-4</v>
      </c>
      <c r="D244" s="239">
        <v>5.2209999999999995E-4</v>
      </c>
      <c r="E244" s="329">
        <v>1343887</v>
      </c>
      <c r="F244" s="329"/>
      <c r="G244" s="329">
        <v>230107</v>
      </c>
      <c r="H244" s="329">
        <v>32780</v>
      </c>
      <c r="I244" s="329">
        <v>219031</v>
      </c>
      <c r="J244" s="329">
        <v>2267</v>
      </c>
      <c r="K244" s="329">
        <v>484185</v>
      </c>
      <c r="L244" s="329"/>
      <c r="M244" s="329">
        <v>0</v>
      </c>
      <c r="N244" s="329">
        <v>0</v>
      </c>
      <c r="O244" s="329">
        <v>32417</v>
      </c>
      <c r="P244" s="329">
        <v>32417</v>
      </c>
      <c r="Q244" s="329"/>
      <c r="R244" s="329">
        <v>598646</v>
      </c>
      <c r="S244" s="329">
        <v>-9122</v>
      </c>
      <c r="T244" s="329">
        <v>589524</v>
      </c>
    </row>
    <row r="245" spans="1:20">
      <c r="A245" s="335">
        <v>92113</v>
      </c>
      <c r="B245" s="328" t="s">
        <v>2759</v>
      </c>
      <c r="C245" s="239">
        <v>1.7099999999999999E-5</v>
      </c>
      <c r="D245" s="239">
        <v>1.56E-5</v>
      </c>
      <c r="E245" s="329">
        <v>46699</v>
      </c>
      <c r="F245" s="329"/>
      <c r="G245" s="329">
        <v>7996</v>
      </c>
      <c r="H245" s="329">
        <v>1139</v>
      </c>
      <c r="I245" s="329">
        <v>7611</v>
      </c>
      <c r="J245" s="329">
        <v>11968</v>
      </c>
      <c r="K245" s="329">
        <v>28714</v>
      </c>
      <c r="L245" s="329"/>
      <c r="M245" s="329">
        <v>0</v>
      </c>
      <c r="N245" s="329">
        <v>0</v>
      </c>
      <c r="O245" s="329">
        <v>1088</v>
      </c>
      <c r="P245" s="329">
        <v>1088</v>
      </c>
      <c r="Q245" s="329"/>
      <c r="R245" s="329">
        <v>20802</v>
      </c>
      <c r="S245" s="329">
        <v>8614</v>
      </c>
      <c r="T245" s="329">
        <v>29416</v>
      </c>
    </row>
    <row r="246" spans="1:20">
      <c r="A246" s="335">
        <v>92201</v>
      </c>
      <c r="B246" s="328" t="s">
        <v>932</v>
      </c>
      <c r="C246" s="239">
        <v>8.3589999999999999E-4</v>
      </c>
      <c r="D246" s="239">
        <v>9.1100000000000003E-4</v>
      </c>
      <c r="E246" s="329">
        <v>2282778</v>
      </c>
      <c r="F246" s="329"/>
      <c r="G246" s="329">
        <v>390869</v>
      </c>
      <c r="H246" s="329">
        <v>55680</v>
      </c>
      <c r="I246" s="329">
        <v>372055</v>
      </c>
      <c r="J246" s="329">
        <v>2788</v>
      </c>
      <c r="K246" s="329">
        <v>821392</v>
      </c>
      <c r="L246" s="329"/>
      <c r="M246" s="329">
        <v>0</v>
      </c>
      <c r="N246" s="329">
        <v>0</v>
      </c>
      <c r="O246" s="329">
        <v>61033</v>
      </c>
      <c r="P246" s="329">
        <v>61033</v>
      </c>
      <c r="Q246" s="329"/>
      <c r="R246" s="329">
        <v>1016883</v>
      </c>
      <c r="S246" s="329">
        <v>-10220</v>
      </c>
      <c r="T246" s="329">
        <v>1006663</v>
      </c>
    </row>
    <row r="247" spans="1:20">
      <c r="A247" s="335">
        <v>92214</v>
      </c>
      <c r="B247" s="328" t="s">
        <v>1931</v>
      </c>
      <c r="C247" s="239">
        <v>2.02E-5</v>
      </c>
      <c r="D247" s="239">
        <v>1.9000000000000001E-5</v>
      </c>
      <c r="E247" s="329">
        <v>55165</v>
      </c>
      <c r="F247" s="329"/>
      <c r="G247" s="329">
        <v>9446</v>
      </c>
      <c r="H247" s="329">
        <v>1346</v>
      </c>
      <c r="I247" s="329">
        <v>8991</v>
      </c>
      <c r="J247" s="329">
        <v>11219</v>
      </c>
      <c r="K247" s="329">
        <v>31002</v>
      </c>
      <c r="L247" s="329"/>
      <c r="M247" s="329">
        <v>0</v>
      </c>
      <c r="N247" s="329">
        <v>0</v>
      </c>
      <c r="O247" s="329">
        <v>0</v>
      </c>
      <c r="P247" s="329">
        <v>0</v>
      </c>
      <c r="Q247" s="329"/>
      <c r="R247" s="329">
        <v>24574</v>
      </c>
      <c r="S247" s="329">
        <v>3681</v>
      </c>
      <c r="T247" s="329">
        <v>28255</v>
      </c>
    </row>
    <row r="248" spans="1:20">
      <c r="A248" s="335">
        <v>92301</v>
      </c>
      <c r="B248" s="328" t="s">
        <v>933</v>
      </c>
      <c r="C248" s="239">
        <v>5.6146E-3</v>
      </c>
      <c r="D248" s="239">
        <v>5.1875999999999997E-3</v>
      </c>
      <c r="E248" s="329">
        <v>15333035</v>
      </c>
      <c r="F248" s="329"/>
      <c r="G248" s="329">
        <v>2625404</v>
      </c>
      <c r="H248" s="329">
        <v>373994</v>
      </c>
      <c r="I248" s="329">
        <v>2499030</v>
      </c>
      <c r="J248" s="329">
        <v>147901</v>
      </c>
      <c r="K248" s="329">
        <v>5646329</v>
      </c>
      <c r="L248" s="329"/>
      <c r="M248" s="329">
        <v>0</v>
      </c>
      <c r="N248" s="329">
        <v>0</v>
      </c>
      <c r="O248" s="329">
        <v>16034</v>
      </c>
      <c r="P248" s="329">
        <v>16034</v>
      </c>
      <c r="Q248" s="329"/>
      <c r="R248" s="329">
        <v>6830234</v>
      </c>
      <c r="S248" s="329">
        <v>50309</v>
      </c>
      <c r="T248" s="329">
        <v>6880543</v>
      </c>
    </row>
    <row r="249" spans="1:20">
      <c r="A249" s="335">
        <v>92302</v>
      </c>
      <c r="B249" s="328" t="s">
        <v>934</v>
      </c>
      <c r="C249" s="239">
        <v>3.0249999999999998E-4</v>
      </c>
      <c r="D249" s="239">
        <v>3.2410000000000002E-4</v>
      </c>
      <c r="E249" s="329">
        <v>826104</v>
      </c>
      <c r="F249" s="329"/>
      <c r="G249" s="329">
        <v>141450</v>
      </c>
      <c r="H249" s="329">
        <v>20150</v>
      </c>
      <c r="I249" s="329">
        <v>134641</v>
      </c>
      <c r="J249" s="329">
        <v>4846</v>
      </c>
      <c r="K249" s="329">
        <v>301087</v>
      </c>
      <c r="L249" s="329"/>
      <c r="M249" s="329">
        <v>0</v>
      </c>
      <c r="N249" s="329">
        <v>0</v>
      </c>
      <c r="O249" s="329">
        <v>36506</v>
      </c>
      <c r="P249" s="329">
        <v>36506</v>
      </c>
      <c r="Q249" s="329"/>
      <c r="R249" s="329">
        <v>367995</v>
      </c>
      <c r="S249" s="329">
        <v>-11729</v>
      </c>
      <c r="T249" s="329">
        <v>356266</v>
      </c>
    </row>
    <row r="250" spans="1:20">
      <c r="A250" s="335">
        <v>92311</v>
      </c>
      <c r="B250" s="328" t="s">
        <v>935</v>
      </c>
      <c r="C250" s="239">
        <v>2.2645999999999999E-3</v>
      </c>
      <c r="D250" s="239">
        <v>2.2258999999999998E-3</v>
      </c>
      <c r="E250" s="329">
        <v>6184446</v>
      </c>
      <c r="F250" s="329"/>
      <c r="G250" s="329">
        <v>1058934</v>
      </c>
      <c r="H250" s="329">
        <v>150847</v>
      </c>
      <c r="I250" s="329">
        <v>1007962</v>
      </c>
      <c r="J250" s="329">
        <v>12324</v>
      </c>
      <c r="K250" s="329">
        <v>2230067</v>
      </c>
      <c r="L250" s="329"/>
      <c r="M250" s="329">
        <v>0</v>
      </c>
      <c r="N250" s="329">
        <v>0</v>
      </c>
      <c r="O250" s="329">
        <v>50003</v>
      </c>
      <c r="P250" s="329">
        <v>50003</v>
      </c>
      <c r="Q250" s="329"/>
      <c r="R250" s="329">
        <v>2754915</v>
      </c>
      <c r="S250" s="329">
        <v>-23476</v>
      </c>
      <c r="T250" s="329">
        <v>2731439</v>
      </c>
    </row>
    <row r="251" spans="1:20">
      <c r="A251" s="335">
        <v>92317</v>
      </c>
      <c r="B251" s="328" t="s">
        <v>936</v>
      </c>
      <c r="C251" s="239">
        <v>2.97E-5</v>
      </c>
      <c r="D251" s="239">
        <v>2.1800000000000001E-5</v>
      </c>
      <c r="E251" s="329">
        <v>81108</v>
      </c>
      <c r="F251" s="329"/>
      <c r="G251" s="329">
        <v>13888</v>
      </c>
      <c r="H251" s="329">
        <v>1978</v>
      </c>
      <c r="I251" s="329">
        <v>13219</v>
      </c>
      <c r="J251" s="329">
        <v>21658</v>
      </c>
      <c r="K251" s="329">
        <v>50743</v>
      </c>
      <c r="L251" s="329"/>
      <c r="M251" s="329">
        <v>0</v>
      </c>
      <c r="N251" s="329">
        <v>0</v>
      </c>
      <c r="O251" s="329">
        <v>0</v>
      </c>
      <c r="P251" s="329">
        <v>0</v>
      </c>
      <c r="Q251" s="329"/>
      <c r="R251" s="329">
        <v>36130</v>
      </c>
      <c r="S251" s="329">
        <v>9275</v>
      </c>
      <c r="T251" s="329">
        <v>45405</v>
      </c>
    </row>
    <row r="252" spans="1:20">
      <c r="A252" s="335">
        <v>92321</v>
      </c>
      <c r="B252" s="328" t="s">
        <v>937</v>
      </c>
      <c r="C252" s="239">
        <v>1.2122999999999999E-3</v>
      </c>
      <c r="D252" s="239">
        <v>1.2386000000000001E-3</v>
      </c>
      <c r="E252" s="329">
        <v>3310697</v>
      </c>
      <c r="F252" s="329"/>
      <c r="G252" s="329">
        <v>566875</v>
      </c>
      <c r="H252" s="329">
        <v>80752</v>
      </c>
      <c r="I252" s="329">
        <v>539589</v>
      </c>
      <c r="J252" s="329">
        <v>30833</v>
      </c>
      <c r="K252" s="329">
        <v>1218049</v>
      </c>
      <c r="L252" s="329"/>
      <c r="M252" s="329">
        <v>0</v>
      </c>
      <c r="N252" s="329">
        <v>0</v>
      </c>
      <c r="O252" s="329">
        <v>19782</v>
      </c>
      <c r="P252" s="329">
        <v>19782</v>
      </c>
      <c r="Q252" s="329"/>
      <c r="R252" s="329">
        <v>1474779</v>
      </c>
      <c r="S252" s="329">
        <v>12437</v>
      </c>
      <c r="T252" s="329">
        <v>1487216</v>
      </c>
    </row>
    <row r="253" spans="1:20">
      <c r="A253" s="335">
        <v>92327</v>
      </c>
      <c r="B253" s="328" t="s">
        <v>938</v>
      </c>
      <c r="C253" s="239">
        <v>6.4999999999999996E-6</v>
      </c>
      <c r="D253" s="239">
        <v>6.8000000000000001E-6</v>
      </c>
      <c r="E253" s="329">
        <v>17751</v>
      </c>
      <c r="F253" s="329"/>
      <c r="G253" s="329">
        <v>3039</v>
      </c>
      <c r="H253" s="329">
        <v>433</v>
      </c>
      <c r="I253" s="329">
        <v>2893</v>
      </c>
      <c r="J253" s="329">
        <v>6635</v>
      </c>
      <c r="K253" s="329">
        <v>13000</v>
      </c>
      <c r="L253" s="329"/>
      <c r="M253" s="329">
        <v>0</v>
      </c>
      <c r="N253" s="329">
        <v>0</v>
      </c>
      <c r="O253" s="329">
        <v>0</v>
      </c>
      <c r="P253" s="329">
        <v>0</v>
      </c>
      <c r="Q253" s="329"/>
      <c r="R253" s="329">
        <v>7907</v>
      </c>
      <c r="S253" s="329">
        <v>2578</v>
      </c>
      <c r="T253" s="329">
        <v>10485</v>
      </c>
    </row>
    <row r="254" spans="1:20">
      <c r="A254" s="335">
        <v>92331</v>
      </c>
      <c r="B254" s="328" t="s">
        <v>939</v>
      </c>
      <c r="C254" s="239">
        <v>1.351E-4</v>
      </c>
      <c r="D254" s="239">
        <v>1.315E-4</v>
      </c>
      <c r="E254" s="329">
        <v>368948</v>
      </c>
      <c r="F254" s="329"/>
      <c r="G254" s="329">
        <v>63173</v>
      </c>
      <c r="H254" s="329">
        <v>8999</v>
      </c>
      <c r="I254" s="329">
        <v>60132</v>
      </c>
      <c r="J254" s="329">
        <v>6806</v>
      </c>
      <c r="K254" s="329">
        <v>139110</v>
      </c>
      <c r="L254" s="329"/>
      <c r="M254" s="329">
        <v>0</v>
      </c>
      <c r="N254" s="329">
        <v>0</v>
      </c>
      <c r="O254" s="329">
        <v>6009</v>
      </c>
      <c r="P254" s="329">
        <v>6009</v>
      </c>
      <c r="Q254" s="329"/>
      <c r="R254" s="329">
        <v>164351</v>
      </c>
      <c r="S254" s="329">
        <v>-1371</v>
      </c>
      <c r="T254" s="329">
        <v>162980</v>
      </c>
    </row>
    <row r="255" spans="1:20">
      <c r="A255" s="335">
        <v>92341</v>
      </c>
      <c r="B255" s="328" t="s">
        <v>940</v>
      </c>
      <c r="C255" s="239">
        <v>8.4999999999999999E-6</v>
      </c>
      <c r="D255" s="239">
        <v>9.2E-6</v>
      </c>
      <c r="E255" s="329">
        <v>23213</v>
      </c>
      <c r="F255" s="329"/>
      <c r="G255" s="329">
        <v>3975</v>
      </c>
      <c r="H255" s="329">
        <v>566</v>
      </c>
      <c r="I255" s="329">
        <v>3783</v>
      </c>
      <c r="J255" s="329">
        <v>172</v>
      </c>
      <c r="K255" s="329">
        <v>8496</v>
      </c>
      <c r="L255" s="329"/>
      <c r="M255" s="329">
        <v>0</v>
      </c>
      <c r="N255" s="329">
        <v>0</v>
      </c>
      <c r="O255" s="329">
        <v>2534</v>
      </c>
      <c r="P255" s="329">
        <v>2534</v>
      </c>
      <c r="Q255" s="329"/>
      <c r="R255" s="329">
        <v>10340</v>
      </c>
      <c r="S255" s="329">
        <v>-1489</v>
      </c>
      <c r="T255" s="329">
        <v>8851</v>
      </c>
    </row>
    <row r="256" spans="1:20">
      <c r="A256" s="335">
        <v>92351</v>
      </c>
      <c r="B256" s="328" t="s">
        <v>941</v>
      </c>
      <c r="C256" s="239">
        <v>1.7499999999999998E-5</v>
      </c>
      <c r="D256" s="239">
        <v>1.9400000000000001E-5</v>
      </c>
      <c r="E256" s="329">
        <v>47791</v>
      </c>
      <c r="F256" s="329"/>
      <c r="G256" s="329">
        <v>8183</v>
      </c>
      <c r="H256" s="329">
        <v>1166</v>
      </c>
      <c r="I256" s="329">
        <v>7789</v>
      </c>
      <c r="J256" s="329">
        <v>2491</v>
      </c>
      <c r="K256" s="329">
        <v>19629</v>
      </c>
      <c r="L256" s="329"/>
      <c r="M256" s="329">
        <v>0</v>
      </c>
      <c r="N256" s="329">
        <v>0</v>
      </c>
      <c r="O256" s="329">
        <v>1712</v>
      </c>
      <c r="P256" s="329">
        <v>1712</v>
      </c>
      <c r="Q256" s="329"/>
      <c r="R256" s="329">
        <v>21289</v>
      </c>
      <c r="S256" s="329">
        <v>-880</v>
      </c>
      <c r="T256" s="329">
        <v>20409</v>
      </c>
    </row>
    <row r="257" spans="1:20">
      <c r="A257" s="335">
        <v>92401</v>
      </c>
      <c r="B257" s="328" t="s">
        <v>942</v>
      </c>
      <c r="C257" s="239">
        <v>2.6340000000000001E-3</v>
      </c>
      <c r="D257" s="239">
        <v>2.4808E-3</v>
      </c>
      <c r="E257" s="329">
        <v>7193249</v>
      </c>
      <c r="F257" s="329"/>
      <c r="G257" s="329">
        <v>1231666</v>
      </c>
      <c r="H257" s="329">
        <v>175453</v>
      </c>
      <c r="I257" s="329">
        <v>1172380</v>
      </c>
      <c r="J257" s="329">
        <v>226873</v>
      </c>
      <c r="K257" s="329">
        <v>2806372</v>
      </c>
      <c r="L257" s="329"/>
      <c r="M257" s="329">
        <v>0</v>
      </c>
      <c r="N257" s="329">
        <v>0</v>
      </c>
      <c r="O257" s="329">
        <v>40702</v>
      </c>
      <c r="P257" s="329">
        <v>40702</v>
      </c>
      <c r="Q257" s="329"/>
      <c r="R257" s="329">
        <v>3204295</v>
      </c>
      <c r="S257" s="329">
        <v>44125</v>
      </c>
      <c r="T257" s="329">
        <v>3248420</v>
      </c>
    </row>
    <row r="258" spans="1:20">
      <c r="A258" s="335">
        <v>92403</v>
      </c>
      <c r="B258" s="328" t="s">
        <v>943</v>
      </c>
      <c r="C258" s="239">
        <v>9.0999999999999993E-6</v>
      </c>
      <c r="D258" s="239">
        <v>1.0200000000000001E-5</v>
      </c>
      <c r="E258" s="329">
        <v>24851</v>
      </c>
      <c r="F258" s="329"/>
      <c r="G258" s="329">
        <v>4255</v>
      </c>
      <c r="H258" s="329">
        <v>606</v>
      </c>
      <c r="I258" s="329">
        <v>4050</v>
      </c>
      <c r="J258" s="329">
        <v>1653</v>
      </c>
      <c r="K258" s="329">
        <v>10564</v>
      </c>
      <c r="L258" s="329"/>
      <c r="M258" s="329">
        <v>0</v>
      </c>
      <c r="N258" s="329">
        <v>0</v>
      </c>
      <c r="O258" s="329">
        <v>394</v>
      </c>
      <c r="P258" s="329">
        <v>394</v>
      </c>
      <c r="Q258" s="329"/>
      <c r="R258" s="329">
        <v>11070</v>
      </c>
      <c r="S258" s="329">
        <v>304</v>
      </c>
      <c r="T258" s="329">
        <v>11374</v>
      </c>
    </row>
    <row r="259" spans="1:20">
      <c r="A259" s="335">
        <v>92411</v>
      </c>
      <c r="B259" s="328" t="s">
        <v>944</v>
      </c>
      <c r="C259" s="239">
        <v>4.5199999999999998E-4</v>
      </c>
      <c r="D259" s="239">
        <v>4.4569999999999999E-4</v>
      </c>
      <c r="E259" s="329">
        <v>1234377</v>
      </c>
      <c r="F259" s="329"/>
      <c r="G259" s="329">
        <v>211357</v>
      </c>
      <c r="H259" s="329">
        <v>30108</v>
      </c>
      <c r="I259" s="329">
        <v>201183</v>
      </c>
      <c r="J259" s="329">
        <v>5996</v>
      </c>
      <c r="K259" s="329">
        <v>448644</v>
      </c>
      <c r="L259" s="329"/>
      <c r="M259" s="329">
        <v>0</v>
      </c>
      <c r="N259" s="329">
        <v>0</v>
      </c>
      <c r="O259" s="329">
        <v>47846</v>
      </c>
      <c r="P259" s="329">
        <v>47846</v>
      </c>
      <c r="Q259" s="329"/>
      <c r="R259" s="329">
        <v>549864</v>
      </c>
      <c r="S259" s="329">
        <v>-23070</v>
      </c>
      <c r="T259" s="329">
        <v>526794</v>
      </c>
    </row>
    <row r="260" spans="1:20">
      <c r="A260" s="335">
        <v>92417</v>
      </c>
      <c r="B260" s="328" t="s">
        <v>945</v>
      </c>
      <c r="C260" s="239">
        <v>1.73E-5</v>
      </c>
      <c r="D260" s="239">
        <v>1.8600000000000001E-5</v>
      </c>
      <c r="E260" s="329">
        <v>47245</v>
      </c>
      <c r="F260" s="329"/>
      <c r="G260" s="329">
        <v>8090</v>
      </c>
      <c r="H260" s="329">
        <v>1153</v>
      </c>
      <c r="I260" s="329">
        <v>7700</v>
      </c>
      <c r="J260" s="329">
        <v>0</v>
      </c>
      <c r="K260" s="329">
        <v>16943</v>
      </c>
      <c r="L260" s="329"/>
      <c r="M260" s="329">
        <v>0</v>
      </c>
      <c r="N260" s="329">
        <v>0</v>
      </c>
      <c r="O260" s="329">
        <v>5960</v>
      </c>
      <c r="P260" s="329">
        <v>5960</v>
      </c>
      <c r="Q260" s="329"/>
      <c r="R260" s="329">
        <v>21046</v>
      </c>
      <c r="S260" s="329">
        <v>-2197</v>
      </c>
      <c r="T260" s="329">
        <v>18849</v>
      </c>
    </row>
    <row r="261" spans="1:20">
      <c r="A261" s="335">
        <v>92421</v>
      </c>
      <c r="B261" s="328" t="s">
        <v>946</v>
      </c>
      <c r="C261" s="239">
        <v>1.6399999999999999E-5</v>
      </c>
      <c r="D261" s="239">
        <v>8.6999999999999997E-6</v>
      </c>
      <c r="E261" s="329">
        <v>44787</v>
      </c>
      <c r="F261" s="329"/>
      <c r="G261" s="329">
        <v>7669</v>
      </c>
      <c r="H261" s="329">
        <v>1092</v>
      </c>
      <c r="I261" s="329">
        <v>7300</v>
      </c>
      <c r="J261" s="329">
        <v>10480</v>
      </c>
      <c r="K261" s="329">
        <v>26541</v>
      </c>
      <c r="L261" s="329"/>
      <c r="M261" s="329">
        <v>0</v>
      </c>
      <c r="N261" s="329">
        <v>0</v>
      </c>
      <c r="O261" s="329">
        <v>344</v>
      </c>
      <c r="P261" s="329">
        <v>344</v>
      </c>
      <c r="Q261" s="329"/>
      <c r="R261" s="329">
        <v>19951</v>
      </c>
      <c r="S261" s="329">
        <v>2995</v>
      </c>
      <c r="T261" s="329">
        <v>22946</v>
      </c>
    </row>
    <row r="262" spans="1:20">
      <c r="A262" s="335">
        <v>92427</v>
      </c>
      <c r="B262" s="328" t="s">
        <v>947</v>
      </c>
      <c r="C262" s="239">
        <v>1.9E-6</v>
      </c>
      <c r="D262" s="239">
        <v>1.9999999999999999E-6</v>
      </c>
      <c r="E262" s="329">
        <v>5189</v>
      </c>
      <c r="F262" s="329"/>
      <c r="G262" s="329">
        <v>888</v>
      </c>
      <c r="H262" s="329">
        <v>127</v>
      </c>
      <c r="I262" s="329">
        <v>846</v>
      </c>
      <c r="J262" s="329">
        <v>2423</v>
      </c>
      <c r="K262" s="329">
        <v>4284</v>
      </c>
      <c r="L262" s="329"/>
      <c r="M262" s="329">
        <v>0</v>
      </c>
      <c r="N262" s="329">
        <v>0</v>
      </c>
      <c r="O262" s="329">
        <v>0</v>
      </c>
      <c r="P262" s="329">
        <v>0</v>
      </c>
      <c r="Q262" s="329"/>
      <c r="R262" s="329">
        <v>2311</v>
      </c>
      <c r="S262" s="329">
        <v>1137</v>
      </c>
      <c r="T262" s="329">
        <v>3448</v>
      </c>
    </row>
    <row r="263" spans="1:20">
      <c r="A263" s="335">
        <v>92431</v>
      </c>
      <c r="B263" s="328" t="s">
        <v>948</v>
      </c>
      <c r="C263" s="239">
        <v>2.6999999999999999E-5</v>
      </c>
      <c r="D263" s="239">
        <v>2.1999999999999999E-5</v>
      </c>
      <c r="E263" s="329">
        <v>73735</v>
      </c>
      <c r="F263" s="329"/>
      <c r="G263" s="329">
        <v>12625</v>
      </c>
      <c r="H263" s="329">
        <v>1798</v>
      </c>
      <c r="I263" s="329">
        <v>12018</v>
      </c>
      <c r="J263" s="329">
        <v>14717</v>
      </c>
      <c r="K263" s="329">
        <v>41158</v>
      </c>
      <c r="L263" s="329"/>
      <c r="M263" s="329">
        <v>0</v>
      </c>
      <c r="N263" s="329">
        <v>0</v>
      </c>
      <c r="O263" s="329">
        <v>2198</v>
      </c>
      <c r="P263" s="329">
        <v>2198</v>
      </c>
      <c r="Q263" s="329"/>
      <c r="R263" s="329">
        <v>32846</v>
      </c>
      <c r="S263" s="329">
        <v>5801</v>
      </c>
      <c r="T263" s="329">
        <v>38647</v>
      </c>
    </row>
    <row r="264" spans="1:20">
      <c r="A264" s="335">
        <v>92441</v>
      </c>
      <c r="B264" s="328" t="s">
        <v>949</v>
      </c>
      <c r="C264" s="239">
        <v>8.6500000000000002E-5</v>
      </c>
      <c r="D264" s="239">
        <v>1.002E-4</v>
      </c>
      <c r="E264" s="329">
        <v>236225</v>
      </c>
      <c r="F264" s="329"/>
      <c r="G264" s="329">
        <v>40448</v>
      </c>
      <c r="H264" s="329">
        <v>5762</v>
      </c>
      <c r="I264" s="329">
        <v>38501</v>
      </c>
      <c r="J264" s="329">
        <v>11504</v>
      </c>
      <c r="K264" s="329">
        <v>96215</v>
      </c>
      <c r="L264" s="329"/>
      <c r="M264" s="329">
        <v>0</v>
      </c>
      <c r="N264" s="329">
        <v>0</v>
      </c>
      <c r="O264" s="329">
        <v>17766</v>
      </c>
      <c r="P264" s="329">
        <v>17766</v>
      </c>
      <c r="Q264" s="329"/>
      <c r="R264" s="329">
        <v>105228</v>
      </c>
      <c r="S264" s="329">
        <v>-2772</v>
      </c>
      <c r="T264" s="329">
        <v>102456</v>
      </c>
    </row>
    <row r="265" spans="1:20">
      <c r="A265" s="335">
        <v>92444</v>
      </c>
      <c r="B265" s="328" t="s">
        <v>950</v>
      </c>
      <c r="C265" s="239">
        <v>5.1000000000000003E-6</v>
      </c>
      <c r="D265" s="239">
        <v>1.7E-6</v>
      </c>
      <c r="E265" s="329">
        <v>13928</v>
      </c>
      <c r="F265" s="329"/>
      <c r="G265" s="329">
        <v>2385</v>
      </c>
      <c r="H265" s="329">
        <v>340</v>
      </c>
      <c r="I265" s="329">
        <v>2270</v>
      </c>
      <c r="J265" s="329">
        <v>6146</v>
      </c>
      <c r="K265" s="329">
        <v>11141</v>
      </c>
      <c r="L265" s="329"/>
      <c r="M265" s="329">
        <v>0</v>
      </c>
      <c r="N265" s="329">
        <v>0</v>
      </c>
      <c r="O265" s="329">
        <v>0</v>
      </c>
      <c r="P265" s="329">
        <v>0</v>
      </c>
      <c r="Q265" s="329"/>
      <c r="R265" s="329">
        <v>6204</v>
      </c>
      <c r="S265" s="329">
        <v>2192</v>
      </c>
      <c r="T265" s="329">
        <v>8396</v>
      </c>
    </row>
    <row r="266" spans="1:20">
      <c r="A266" s="335">
        <v>92451</v>
      </c>
      <c r="B266" s="328" t="s">
        <v>951</v>
      </c>
      <c r="C266" s="239">
        <v>1.143E-4</v>
      </c>
      <c r="D266" s="239">
        <v>1.2650000000000001E-4</v>
      </c>
      <c r="E266" s="329">
        <v>312144</v>
      </c>
      <c r="F266" s="329"/>
      <c r="G266" s="329">
        <v>53447</v>
      </c>
      <c r="H266" s="329">
        <v>7613</v>
      </c>
      <c r="I266" s="329">
        <v>50874</v>
      </c>
      <c r="J266" s="329">
        <v>25219</v>
      </c>
      <c r="K266" s="329">
        <v>137153</v>
      </c>
      <c r="L266" s="329"/>
      <c r="M266" s="329">
        <v>0</v>
      </c>
      <c r="N266" s="329">
        <v>0</v>
      </c>
      <c r="O266" s="329">
        <v>0</v>
      </c>
      <c r="P266" s="329">
        <v>0</v>
      </c>
      <c r="Q266" s="329"/>
      <c r="R266" s="329">
        <v>139047</v>
      </c>
      <c r="S266" s="329">
        <v>14680</v>
      </c>
      <c r="T266" s="329">
        <v>153727</v>
      </c>
    </row>
    <row r="267" spans="1:20" ht="14.25" customHeight="1">
      <c r="A267" s="335">
        <v>92461</v>
      </c>
      <c r="B267" s="328" t="s">
        <v>952</v>
      </c>
      <c r="C267" s="239">
        <v>5.8400000000000003E-5</v>
      </c>
      <c r="D267" s="239">
        <v>6.7500000000000001E-5</v>
      </c>
      <c r="E267" s="329">
        <v>159486</v>
      </c>
      <c r="F267" s="329"/>
      <c r="G267" s="329">
        <v>27308</v>
      </c>
      <c r="H267" s="329">
        <v>3890</v>
      </c>
      <c r="I267" s="329">
        <v>25994</v>
      </c>
      <c r="J267" s="329">
        <v>10583</v>
      </c>
      <c r="K267" s="329">
        <v>67775</v>
      </c>
      <c r="L267" s="329"/>
      <c r="M267" s="329">
        <v>0</v>
      </c>
      <c r="N267" s="329">
        <v>0</v>
      </c>
      <c r="O267" s="329">
        <v>0</v>
      </c>
      <c r="P267" s="329">
        <v>0</v>
      </c>
      <c r="Q267" s="329"/>
      <c r="R267" s="329">
        <v>71044</v>
      </c>
      <c r="S267" s="329">
        <v>3640</v>
      </c>
      <c r="T267" s="329">
        <v>74684</v>
      </c>
    </row>
    <row r="268" spans="1:20">
      <c r="A268" s="335">
        <v>92501</v>
      </c>
      <c r="B268" s="328" t="s">
        <v>953</v>
      </c>
      <c r="C268" s="239">
        <v>3.7055999999999999E-3</v>
      </c>
      <c r="D268" s="239">
        <v>3.7823000000000002E-3</v>
      </c>
      <c r="E268" s="329">
        <v>10119705</v>
      </c>
      <c r="F268" s="329"/>
      <c r="G268" s="329">
        <v>1732750</v>
      </c>
      <c r="H268" s="329">
        <v>246833</v>
      </c>
      <c r="I268" s="329">
        <v>1649344</v>
      </c>
      <c r="J268" s="329">
        <v>208346</v>
      </c>
      <c r="K268" s="329">
        <v>3837273</v>
      </c>
      <c r="L268" s="329"/>
      <c r="M268" s="329">
        <v>0</v>
      </c>
      <c r="N268" s="329">
        <v>0</v>
      </c>
      <c r="O268" s="329">
        <v>0</v>
      </c>
      <c r="P268" s="329">
        <v>0</v>
      </c>
      <c r="Q268" s="329"/>
      <c r="R268" s="329">
        <v>4507911</v>
      </c>
      <c r="S268" s="329">
        <v>71797</v>
      </c>
      <c r="T268" s="329">
        <v>4579708</v>
      </c>
    </row>
    <row r="269" spans="1:20">
      <c r="A269" s="335">
        <v>92502</v>
      </c>
      <c r="B269" s="328" t="s">
        <v>3682</v>
      </c>
      <c r="C269" s="239">
        <v>2.3600000000000001E-5</v>
      </c>
      <c r="D269" s="239">
        <v>2.5700000000000001E-5</v>
      </c>
      <c r="E269" s="329">
        <v>64450</v>
      </c>
      <c r="F269" s="329"/>
      <c r="G269" s="329">
        <v>11035</v>
      </c>
      <c r="H269" s="329">
        <v>1572</v>
      </c>
      <c r="I269" s="329">
        <v>10504</v>
      </c>
      <c r="J269" s="329">
        <v>3229</v>
      </c>
      <c r="K269" s="329">
        <v>26340</v>
      </c>
      <c r="L269" s="329"/>
      <c r="M269" s="329">
        <v>0</v>
      </c>
      <c r="N269" s="329">
        <v>0</v>
      </c>
      <c r="O269" s="329">
        <v>0</v>
      </c>
      <c r="P269" s="329">
        <v>0</v>
      </c>
      <c r="Q269" s="329"/>
      <c r="R269" s="329">
        <v>28710</v>
      </c>
      <c r="S269" s="329">
        <v>1085</v>
      </c>
      <c r="T269" s="329">
        <v>29795</v>
      </c>
    </row>
    <row r="270" spans="1:20">
      <c r="A270" s="335">
        <v>92504</v>
      </c>
      <c r="B270" s="328" t="s">
        <v>3683</v>
      </c>
      <c r="C270" s="239">
        <v>7.6299999999999998E-5</v>
      </c>
      <c r="D270" s="239">
        <v>7.86E-5</v>
      </c>
      <c r="E270" s="329">
        <v>208369</v>
      </c>
      <c r="F270" s="329"/>
      <c r="G270" s="329">
        <v>35678</v>
      </c>
      <c r="H270" s="329">
        <v>5083</v>
      </c>
      <c r="I270" s="329">
        <v>33961</v>
      </c>
      <c r="J270" s="329">
        <v>23999</v>
      </c>
      <c r="K270" s="329">
        <v>98721</v>
      </c>
      <c r="L270" s="329"/>
      <c r="M270" s="329">
        <v>0</v>
      </c>
      <c r="N270" s="329">
        <v>0</v>
      </c>
      <c r="O270" s="329">
        <v>0</v>
      </c>
      <c r="P270" s="329">
        <v>0</v>
      </c>
      <c r="Q270" s="329"/>
      <c r="R270" s="329">
        <v>92820</v>
      </c>
      <c r="S270" s="329">
        <v>13220</v>
      </c>
      <c r="T270" s="329">
        <v>106040</v>
      </c>
    </row>
    <row r="271" spans="1:20">
      <c r="A271" s="335">
        <v>92505</v>
      </c>
      <c r="B271" s="328" t="s">
        <v>956</v>
      </c>
      <c r="C271" s="239">
        <v>1.7090000000000001E-4</v>
      </c>
      <c r="D271" s="239">
        <v>1.8330000000000001E-4</v>
      </c>
      <c r="E271" s="329">
        <v>466715</v>
      </c>
      <c r="F271" s="329"/>
      <c r="G271" s="329">
        <v>79913</v>
      </c>
      <c r="H271" s="329">
        <v>11384</v>
      </c>
      <c r="I271" s="329">
        <v>76067</v>
      </c>
      <c r="J271" s="329">
        <v>61772</v>
      </c>
      <c r="K271" s="329">
        <v>229136</v>
      </c>
      <c r="L271" s="329"/>
      <c r="M271" s="329">
        <v>0</v>
      </c>
      <c r="N271" s="329">
        <v>0</v>
      </c>
      <c r="O271" s="329">
        <v>0</v>
      </c>
      <c r="P271" s="329">
        <v>0</v>
      </c>
      <c r="Q271" s="329"/>
      <c r="R271" s="329">
        <v>207902</v>
      </c>
      <c r="S271" s="329">
        <v>30052</v>
      </c>
      <c r="T271" s="329">
        <v>237954</v>
      </c>
    </row>
    <row r="272" spans="1:20">
      <c r="A272" s="335">
        <v>92506</v>
      </c>
      <c r="B272" s="328" t="s">
        <v>957</v>
      </c>
      <c r="C272" s="239">
        <v>5.38E-5</v>
      </c>
      <c r="D272" s="239">
        <v>6.05E-5</v>
      </c>
      <c r="E272" s="329">
        <v>146924</v>
      </c>
      <c r="F272" s="329"/>
      <c r="G272" s="329">
        <v>25157</v>
      </c>
      <c r="H272" s="329">
        <v>3583</v>
      </c>
      <c r="I272" s="329">
        <v>23946</v>
      </c>
      <c r="J272" s="329">
        <v>14720</v>
      </c>
      <c r="K272" s="329">
        <v>67406</v>
      </c>
      <c r="L272" s="329"/>
      <c r="M272" s="329">
        <v>0</v>
      </c>
      <c r="N272" s="329">
        <v>0</v>
      </c>
      <c r="O272" s="329">
        <v>1333</v>
      </c>
      <c r="P272" s="329">
        <v>1333</v>
      </c>
      <c r="Q272" s="329"/>
      <c r="R272" s="329">
        <v>65448</v>
      </c>
      <c r="S272" s="329">
        <v>8751</v>
      </c>
      <c r="T272" s="329">
        <v>74199</v>
      </c>
    </row>
    <row r="273" spans="1:20">
      <c r="A273" s="335">
        <v>92507</v>
      </c>
      <c r="B273" s="328" t="s">
        <v>958</v>
      </c>
      <c r="C273" s="239">
        <v>1.01E-4</v>
      </c>
      <c r="D273" s="239">
        <v>9.2800000000000006E-5</v>
      </c>
      <c r="E273" s="329">
        <v>275823</v>
      </c>
      <c r="F273" s="329"/>
      <c r="G273" s="329">
        <v>47228</v>
      </c>
      <c r="H273" s="329">
        <v>6727</v>
      </c>
      <c r="I273" s="329">
        <v>44955</v>
      </c>
      <c r="J273" s="329">
        <v>6887</v>
      </c>
      <c r="K273" s="329">
        <v>105797</v>
      </c>
      <c r="L273" s="329"/>
      <c r="M273" s="329">
        <v>0</v>
      </c>
      <c r="N273" s="329">
        <v>0</v>
      </c>
      <c r="O273" s="329">
        <v>8456</v>
      </c>
      <c r="P273" s="329">
        <v>8456</v>
      </c>
      <c r="Q273" s="329"/>
      <c r="R273" s="329">
        <v>122868</v>
      </c>
      <c r="S273" s="329">
        <v>-2095</v>
      </c>
      <c r="T273" s="329">
        <v>120773</v>
      </c>
    </row>
    <row r="274" spans="1:20" ht="30">
      <c r="A274" s="335">
        <v>92508</v>
      </c>
      <c r="B274" s="328" t="s">
        <v>3684</v>
      </c>
      <c r="C274" s="239">
        <v>3.102E-4</v>
      </c>
      <c r="D274" s="239">
        <v>3.076E-4</v>
      </c>
      <c r="E274" s="329">
        <v>847132</v>
      </c>
      <c r="F274" s="329"/>
      <c r="G274" s="329">
        <v>145050</v>
      </c>
      <c r="H274" s="329">
        <v>20663</v>
      </c>
      <c r="I274" s="329">
        <v>138068</v>
      </c>
      <c r="J274" s="329">
        <v>34835</v>
      </c>
      <c r="K274" s="329">
        <v>338616</v>
      </c>
      <c r="L274" s="329"/>
      <c r="M274" s="329">
        <v>0</v>
      </c>
      <c r="N274" s="329">
        <v>0</v>
      </c>
      <c r="O274" s="329">
        <v>423</v>
      </c>
      <c r="P274" s="329">
        <v>423</v>
      </c>
      <c r="Q274" s="329"/>
      <c r="R274" s="329">
        <v>377362</v>
      </c>
      <c r="S274" s="329">
        <v>9624</v>
      </c>
      <c r="T274" s="329">
        <v>386986</v>
      </c>
    </row>
    <row r="275" spans="1:20">
      <c r="A275" s="335">
        <v>92511</v>
      </c>
      <c r="B275" s="328" t="s">
        <v>960</v>
      </c>
      <c r="C275" s="239">
        <v>3.5699999999999998E-3</v>
      </c>
      <c r="D275" s="239">
        <v>3.3249999999999998E-3</v>
      </c>
      <c r="E275" s="329">
        <v>9749392</v>
      </c>
      <c r="F275" s="329"/>
      <c r="G275" s="329">
        <v>1669343</v>
      </c>
      <c r="H275" s="329">
        <v>237801</v>
      </c>
      <c r="I275" s="329">
        <v>1588989</v>
      </c>
      <c r="J275" s="329">
        <v>182563</v>
      </c>
      <c r="K275" s="329">
        <v>3678696</v>
      </c>
      <c r="L275" s="329"/>
      <c r="M275" s="329">
        <v>0</v>
      </c>
      <c r="N275" s="329">
        <v>0</v>
      </c>
      <c r="O275" s="329">
        <v>71532</v>
      </c>
      <c r="P275" s="329">
        <v>71532</v>
      </c>
      <c r="Q275" s="329"/>
      <c r="R275" s="329">
        <v>4342951</v>
      </c>
      <c r="S275" s="329">
        <v>-34616</v>
      </c>
      <c r="T275" s="329">
        <v>4308335</v>
      </c>
    </row>
    <row r="276" spans="1:20">
      <c r="A276" s="335">
        <v>92521</v>
      </c>
      <c r="B276" s="328" t="s">
        <v>962</v>
      </c>
      <c r="C276" s="239">
        <v>7.7399999999999998E-5</v>
      </c>
      <c r="D276" s="239">
        <v>8.6799999999999996E-5</v>
      </c>
      <c r="E276" s="329">
        <v>211373</v>
      </c>
      <c r="F276" s="329"/>
      <c r="G276" s="329">
        <v>36192</v>
      </c>
      <c r="H276" s="329">
        <v>5155</v>
      </c>
      <c r="I276" s="329">
        <v>34450</v>
      </c>
      <c r="J276" s="329">
        <v>0</v>
      </c>
      <c r="K276" s="329">
        <v>75797</v>
      </c>
      <c r="L276" s="329"/>
      <c r="M276" s="329">
        <v>0</v>
      </c>
      <c r="N276" s="329">
        <v>0</v>
      </c>
      <c r="O276" s="329">
        <v>11823</v>
      </c>
      <c r="P276" s="329">
        <v>11823</v>
      </c>
      <c r="Q276" s="329"/>
      <c r="R276" s="329">
        <v>94158</v>
      </c>
      <c r="S276" s="329">
        <v>-3553</v>
      </c>
      <c r="T276" s="329">
        <v>90605</v>
      </c>
    </row>
    <row r="277" spans="1:20">
      <c r="A277" s="335">
        <v>92531</v>
      </c>
      <c r="B277" s="328" t="s">
        <v>963</v>
      </c>
      <c r="C277" s="239">
        <v>8.2580000000000001E-4</v>
      </c>
      <c r="D277" s="239">
        <v>8.4360000000000001E-4</v>
      </c>
      <c r="E277" s="329">
        <v>2255195</v>
      </c>
      <c r="F277" s="329"/>
      <c r="G277" s="329">
        <v>386147</v>
      </c>
      <c r="H277" s="329">
        <v>55007</v>
      </c>
      <c r="I277" s="329">
        <v>367559</v>
      </c>
      <c r="J277" s="329">
        <v>0</v>
      </c>
      <c r="K277" s="329">
        <v>808713</v>
      </c>
      <c r="L277" s="329"/>
      <c r="M277" s="329">
        <v>0</v>
      </c>
      <c r="N277" s="329">
        <v>0</v>
      </c>
      <c r="O277" s="329">
        <v>99856</v>
      </c>
      <c r="P277" s="329">
        <v>99856</v>
      </c>
      <c r="Q277" s="329"/>
      <c r="R277" s="329">
        <v>1004596</v>
      </c>
      <c r="S277" s="329">
        <v>-60500</v>
      </c>
      <c r="T277" s="329">
        <v>944096</v>
      </c>
    </row>
    <row r="278" spans="1:20">
      <c r="A278" s="335">
        <v>92541</v>
      </c>
      <c r="B278" s="328" t="s">
        <v>964</v>
      </c>
      <c r="C278" s="239">
        <v>1.3740000000000001E-4</v>
      </c>
      <c r="D278" s="239">
        <v>1.2459999999999999E-4</v>
      </c>
      <c r="E278" s="329">
        <v>375229</v>
      </c>
      <c r="F278" s="329"/>
      <c r="G278" s="329">
        <v>64249</v>
      </c>
      <c r="H278" s="329">
        <v>9152</v>
      </c>
      <c r="I278" s="329">
        <v>61156</v>
      </c>
      <c r="J278" s="329">
        <v>11832</v>
      </c>
      <c r="K278" s="329">
        <v>146389</v>
      </c>
      <c r="L278" s="329"/>
      <c r="M278" s="329">
        <v>0</v>
      </c>
      <c r="N278" s="329">
        <v>0</v>
      </c>
      <c r="O278" s="329">
        <v>13694</v>
      </c>
      <c r="P278" s="329">
        <v>13694</v>
      </c>
      <c r="Q278" s="329"/>
      <c r="R278" s="329">
        <v>167149</v>
      </c>
      <c r="S278" s="329">
        <v>-1967</v>
      </c>
      <c r="T278" s="329">
        <v>165182</v>
      </c>
    </row>
    <row r="279" spans="1:20">
      <c r="A279" s="335">
        <v>92551</v>
      </c>
      <c r="B279" s="328" t="s">
        <v>965</v>
      </c>
      <c r="C279" s="239">
        <v>5.7099999999999999E-5</v>
      </c>
      <c r="D279" s="239">
        <v>4.3399999999999998E-5</v>
      </c>
      <c r="E279" s="329">
        <v>155936</v>
      </c>
      <c r="F279" s="329"/>
      <c r="G279" s="329">
        <v>26700</v>
      </c>
      <c r="H279" s="329">
        <v>3804</v>
      </c>
      <c r="I279" s="329">
        <v>25415</v>
      </c>
      <c r="J279" s="329">
        <v>9274</v>
      </c>
      <c r="K279" s="329">
        <v>65193</v>
      </c>
      <c r="L279" s="329"/>
      <c r="M279" s="329">
        <v>0</v>
      </c>
      <c r="N279" s="329">
        <v>0</v>
      </c>
      <c r="O279" s="329">
        <v>6936</v>
      </c>
      <c r="P279" s="329">
        <v>6936</v>
      </c>
      <c r="Q279" s="329"/>
      <c r="R279" s="329">
        <v>69463</v>
      </c>
      <c r="S279" s="329">
        <v>-2150</v>
      </c>
      <c r="T279" s="329">
        <v>67313</v>
      </c>
    </row>
    <row r="280" spans="1:20">
      <c r="A280" s="335">
        <v>92561</v>
      </c>
      <c r="B280" s="328" t="s">
        <v>966</v>
      </c>
      <c r="C280" s="239">
        <v>1.7900000000000001E-5</v>
      </c>
      <c r="D280" s="239">
        <v>2.1399999999999998E-5</v>
      </c>
      <c r="E280" s="329">
        <v>48884</v>
      </c>
      <c r="F280" s="329"/>
      <c r="G280" s="329">
        <v>8370</v>
      </c>
      <c r="H280" s="329">
        <v>1193</v>
      </c>
      <c r="I280" s="329">
        <v>7967</v>
      </c>
      <c r="J280" s="329">
        <v>1119</v>
      </c>
      <c r="K280" s="329">
        <v>18649</v>
      </c>
      <c r="L280" s="329"/>
      <c r="M280" s="329">
        <v>0</v>
      </c>
      <c r="N280" s="329">
        <v>0</v>
      </c>
      <c r="O280" s="329">
        <v>2514</v>
      </c>
      <c r="P280" s="329">
        <v>2514</v>
      </c>
      <c r="Q280" s="329"/>
      <c r="R280" s="329">
        <v>21776</v>
      </c>
      <c r="S280" s="329">
        <v>983</v>
      </c>
      <c r="T280" s="329">
        <v>22759</v>
      </c>
    </row>
    <row r="281" spans="1:20">
      <c r="A281" s="335">
        <v>92571</v>
      </c>
      <c r="B281" s="328" t="s">
        <v>967</v>
      </c>
      <c r="C281" s="239">
        <v>8.1999999999999994E-6</v>
      </c>
      <c r="D281" s="239">
        <v>8.1000000000000004E-6</v>
      </c>
      <c r="E281" s="329">
        <v>22394</v>
      </c>
      <c r="F281" s="329"/>
      <c r="G281" s="329">
        <v>3834</v>
      </c>
      <c r="H281" s="329">
        <v>546</v>
      </c>
      <c r="I281" s="329">
        <v>3650</v>
      </c>
      <c r="J281" s="329">
        <v>4864</v>
      </c>
      <c r="K281" s="329">
        <v>12894</v>
      </c>
      <c r="L281" s="329"/>
      <c r="M281" s="329">
        <v>0</v>
      </c>
      <c r="N281" s="329">
        <v>0</v>
      </c>
      <c r="O281" s="329">
        <v>0</v>
      </c>
      <c r="P281" s="329">
        <v>0</v>
      </c>
      <c r="Q281" s="329"/>
      <c r="R281" s="329">
        <v>9975</v>
      </c>
      <c r="S281" s="329">
        <v>3043</v>
      </c>
      <c r="T281" s="329">
        <v>13018</v>
      </c>
    </row>
    <row r="282" spans="1:20">
      <c r="A282" s="335">
        <v>92601</v>
      </c>
      <c r="B282" s="328" t="s">
        <v>968</v>
      </c>
      <c r="C282" s="239">
        <v>1.32598E-2</v>
      </c>
      <c r="D282" s="239">
        <v>1.34308E-2</v>
      </c>
      <c r="E282" s="329">
        <v>36211480</v>
      </c>
      <c r="F282" s="329"/>
      <c r="G282" s="329">
        <v>6200322</v>
      </c>
      <c r="H282" s="329">
        <v>883248</v>
      </c>
      <c r="I282" s="329">
        <v>5901871</v>
      </c>
      <c r="J282" s="329">
        <v>4255</v>
      </c>
      <c r="K282" s="329">
        <v>12989696</v>
      </c>
      <c r="L282" s="329"/>
      <c r="M282" s="329">
        <v>0</v>
      </c>
      <c r="N282" s="329">
        <v>0</v>
      </c>
      <c r="O282" s="329">
        <v>897535</v>
      </c>
      <c r="P282" s="329">
        <v>897535</v>
      </c>
      <c r="Q282" s="329"/>
      <c r="R282" s="329">
        <v>16130719</v>
      </c>
      <c r="S282" s="329">
        <v>-294286</v>
      </c>
      <c r="T282" s="329">
        <v>15836433</v>
      </c>
    </row>
    <row r="283" spans="1:20">
      <c r="A283" s="335">
        <v>92602</v>
      </c>
      <c r="B283" s="328" t="s">
        <v>3685</v>
      </c>
      <c r="C283" s="239">
        <v>4.8999999999999997E-6</v>
      </c>
      <c r="D283" s="239">
        <v>6.3999999999999997E-6</v>
      </c>
      <c r="E283" s="329">
        <v>13382</v>
      </c>
      <c r="F283" s="329"/>
      <c r="G283" s="329">
        <v>2291</v>
      </c>
      <c r="H283" s="329">
        <v>327</v>
      </c>
      <c r="I283" s="329">
        <v>2181</v>
      </c>
      <c r="J283" s="329">
        <v>0</v>
      </c>
      <c r="K283" s="329">
        <v>4799</v>
      </c>
      <c r="L283" s="329"/>
      <c r="M283" s="329">
        <v>0</v>
      </c>
      <c r="N283" s="329">
        <v>0</v>
      </c>
      <c r="O283" s="329">
        <v>3457</v>
      </c>
      <c r="P283" s="329">
        <v>3457</v>
      </c>
      <c r="Q283" s="329"/>
      <c r="R283" s="329">
        <v>5961</v>
      </c>
      <c r="S283" s="329">
        <v>-1346</v>
      </c>
      <c r="T283" s="329">
        <v>4615</v>
      </c>
    </row>
    <row r="284" spans="1:20">
      <c r="A284" s="335">
        <v>92604</v>
      </c>
      <c r="B284" s="328" t="s">
        <v>3686</v>
      </c>
      <c r="C284" s="239">
        <v>3.501E-4</v>
      </c>
      <c r="D284" s="239">
        <v>3.3560000000000003E-4</v>
      </c>
      <c r="E284" s="329">
        <v>956096</v>
      </c>
      <c r="F284" s="329"/>
      <c r="G284" s="329">
        <v>163708</v>
      </c>
      <c r="H284" s="329">
        <v>23321</v>
      </c>
      <c r="I284" s="329">
        <v>155828</v>
      </c>
      <c r="J284" s="329">
        <v>65403</v>
      </c>
      <c r="K284" s="329">
        <v>408260</v>
      </c>
      <c r="L284" s="329"/>
      <c r="M284" s="329">
        <v>0</v>
      </c>
      <c r="N284" s="329">
        <v>0</v>
      </c>
      <c r="O284" s="329">
        <v>0</v>
      </c>
      <c r="P284" s="329">
        <v>0</v>
      </c>
      <c r="Q284" s="329"/>
      <c r="R284" s="329">
        <v>425901</v>
      </c>
      <c r="S284" s="329">
        <v>27996</v>
      </c>
      <c r="T284" s="329">
        <v>453897</v>
      </c>
    </row>
    <row r="285" spans="1:20">
      <c r="A285" s="335">
        <v>92607</v>
      </c>
      <c r="B285" s="328" t="s">
        <v>971</v>
      </c>
      <c r="C285" s="239">
        <v>5.6700000000000003E-5</v>
      </c>
      <c r="D285" s="239">
        <v>6.1699999999999995E-5</v>
      </c>
      <c r="E285" s="329">
        <v>154843</v>
      </c>
      <c r="F285" s="329"/>
      <c r="G285" s="329">
        <v>26513</v>
      </c>
      <c r="H285" s="329">
        <v>3776</v>
      </c>
      <c r="I285" s="329">
        <v>25237</v>
      </c>
      <c r="J285" s="329">
        <v>6120</v>
      </c>
      <c r="K285" s="329">
        <v>61646</v>
      </c>
      <c r="L285" s="329"/>
      <c r="M285" s="329">
        <v>0</v>
      </c>
      <c r="N285" s="329">
        <v>0</v>
      </c>
      <c r="O285" s="329">
        <v>758</v>
      </c>
      <c r="P285" s="329">
        <v>758</v>
      </c>
      <c r="Q285" s="329"/>
      <c r="R285" s="329">
        <v>68976</v>
      </c>
      <c r="S285" s="329">
        <v>3395</v>
      </c>
      <c r="T285" s="329">
        <v>72371</v>
      </c>
    </row>
    <row r="286" spans="1:20">
      <c r="A286" s="335">
        <v>92611</v>
      </c>
      <c r="B286" s="328" t="s">
        <v>973</v>
      </c>
      <c r="C286" s="239">
        <v>1.22078E-2</v>
      </c>
      <c r="D286" s="239">
        <v>1.26649E-2</v>
      </c>
      <c r="E286" s="329">
        <v>33338550</v>
      </c>
      <c r="F286" s="329"/>
      <c r="G286" s="329">
        <v>5708404</v>
      </c>
      <c r="H286" s="329">
        <v>813174</v>
      </c>
      <c r="I286" s="329">
        <v>5433631</v>
      </c>
      <c r="J286" s="329">
        <v>0</v>
      </c>
      <c r="K286" s="329">
        <v>11955209</v>
      </c>
      <c r="L286" s="329"/>
      <c r="M286" s="329">
        <v>0</v>
      </c>
      <c r="N286" s="329">
        <v>0</v>
      </c>
      <c r="O286" s="329">
        <v>1375351</v>
      </c>
      <c r="P286" s="329">
        <v>1375351</v>
      </c>
      <c r="Q286" s="329"/>
      <c r="R286" s="329">
        <v>14850947</v>
      </c>
      <c r="S286" s="329">
        <v>-601384</v>
      </c>
      <c r="T286" s="329">
        <v>14249563</v>
      </c>
    </row>
    <row r="287" spans="1:20">
      <c r="A287" s="335">
        <v>92613</v>
      </c>
      <c r="B287" s="328" t="s">
        <v>2761</v>
      </c>
      <c r="C287" s="239">
        <v>2.23E-4</v>
      </c>
      <c r="D287" s="239">
        <v>2.3599999999999999E-4</v>
      </c>
      <c r="E287" s="329">
        <v>608996</v>
      </c>
      <c r="F287" s="329"/>
      <c r="G287" s="329">
        <v>104275</v>
      </c>
      <c r="H287" s="329">
        <v>14855</v>
      </c>
      <c r="I287" s="329">
        <v>99256</v>
      </c>
      <c r="J287" s="329">
        <v>9981</v>
      </c>
      <c r="K287" s="329">
        <v>228367</v>
      </c>
      <c r="L287" s="329"/>
      <c r="M287" s="329">
        <v>0</v>
      </c>
      <c r="N287" s="329">
        <v>0</v>
      </c>
      <c r="O287" s="329">
        <v>815</v>
      </c>
      <c r="P287" s="329">
        <v>815</v>
      </c>
      <c r="Q287" s="329"/>
      <c r="R287" s="329">
        <v>271282</v>
      </c>
      <c r="S287" s="329">
        <v>36410</v>
      </c>
      <c r="T287" s="329">
        <v>307692</v>
      </c>
    </row>
    <row r="288" spans="1:20">
      <c r="A288" s="335">
        <v>92614</v>
      </c>
      <c r="B288" s="328" t="s">
        <v>3687</v>
      </c>
      <c r="C288" s="239">
        <v>5.7201999999999999E-3</v>
      </c>
      <c r="D288" s="239">
        <v>5.5757000000000003E-3</v>
      </c>
      <c r="E288" s="329">
        <v>15621420</v>
      </c>
      <c r="F288" s="329"/>
      <c r="G288" s="329">
        <v>2674783</v>
      </c>
      <c r="H288" s="329">
        <v>381028</v>
      </c>
      <c r="I288" s="329">
        <v>2546032</v>
      </c>
      <c r="J288" s="329">
        <v>4572156</v>
      </c>
      <c r="K288" s="329">
        <v>10173999</v>
      </c>
      <c r="L288" s="329"/>
      <c r="M288" s="329">
        <v>0</v>
      </c>
      <c r="N288" s="329">
        <v>0</v>
      </c>
      <c r="O288" s="329">
        <v>0</v>
      </c>
      <c r="P288" s="329">
        <v>0</v>
      </c>
      <c r="Q288" s="329"/>
      <c r="R288" s="329">
        <v>6958698</v>
      </c>
      <c r="S288" s="329">
        <v>2169149</v>
      </c>
      <c r="T288" s="329">
        <v>9127847</v>
      </c>
    </row>
    <row r="289" spans="1:20">
      <c r="A289" s="335">
        <v>92621</v>
      </c>
      <c r="B289" s="328" t="s">
        <v>976</v>
      </c>
      <c r="C289" s="239">
        <v>2.8900000000000001E-5</v>
      </c>
      <c r="D289" s="239">
        <v>2.4600000000000002E-5</v>
      </c>
      <c r="E289" s="329">
        <v>78924</v>
      </c>
      <c r="F289" s="329"/>
      <c r="G289" s="329">
        <v>13514</v>
      </c>
      <c r="H289" s="329">
        <v>1925</v>
      </c>
      <c r="I289" s="329">
        <v>12863</v>
      </c>
      <c r="J289" s="329">
        <v>3366</v>
      </c>
      <c r="K289" s="329">
        <v>31668</v>
      </c>
      <c r="L289" s="329"/>
      <c r="M289" s="329">
        <v>0</v>
      </c>
      <c r="N289" s="329">
        <v>0</v>
      </c>
      <c r="O289" s="329">
        <v>3093</v>
      </c>
      <c r="P289" s="329">
        <v>3093</v>
      </c>
      <c r="Q289" s="329"/>
      <c r="R289" s="329">
        <v>35157</v>
      </c>
      <c r="S289" s="329">
        <v>-385</v>
      </c>
      <c r="T289" s="329">
        <v>34772</v>
      </c>
    </row>
    <row r="290" spans="1:20">
      <c r="A290" s="335">
        <v>92631</v>
      </c>
      <c r="B290" s="328" t="s">
        <v>977</v>
      </c>
      <c r="C290" s="239">
        <v>9.3329999999999997E-4</v>
      </c>
      <c r="D290" s="239">
        <v>9.0030000000000004E-4</v>
      </c>
      <c r="E290" s="329">
        <v>2548770</v>
      </c>
      <c r="F290" s="329"/>
      <c r="G290" s="329">
        <v>436414</v>
      </c>
      <c r="H290" s="329">
        <v>62168</v>
      </c>
      <c r="I290" s="329">
        <v>415407</v>
      </c>
      <c r="J290" s="329">
        <v>0</v>
      </c>
      <c r="K290" s="329">
        <v>913989</v>
      </c>
      <c r="L290" s="329"/>
      <c r="M290" s="329">
        <v>0</v>
      </c>
      <c r="N290" s="329">
        <v>0</v>
      </c>
      <c r="O290" s="329">
        <v>84635</v>
      </c>
      <c r="P290" s="329">
        <v>84635</v>
      </c>
      <c r="Q290" s="329"/>
      <c r="R290" s="329">
        <v>1135372</v>
      </c>
      <c r="S290" s="329">
        <v>-54823</v>
      </c>
      <c r="T290" s="329">
        <v>1080549</v>
      </c>
    </row>
    <row r="291" spans="1:20">
      <c r="A291" s="335">
        <v>92641</v>
      </c>
      <c r="B291" s="328" t="s">
        <v>978</v>
      </c>
      <c r="C291" s="239">
        <v>1.11E-5</v>
      </c>
      <c r="D291" s="239">
        <v>9.7000000000000003E-6</v>
      </c>
      <c r="E291" s="329">
        <v>30313</v>
      </c>
      <c r="F291" s="329"/>
      <c r="G291" s="329">
        <v>5190</v>
      </c>
      <c r="H291" s="329">
        <v>739</v>
      </c>
      <c r="I291" s="329">
        <v>4941</v>
      </c>
      <c r="J291" s="329">
        <v>4477</v>
      </c>
      <c r="K291" s="329">
        <v>15347</v>
      </c>
      <c r="L291" s="329"/>
      <c r="M291" s="329">
        <v>0</v>
      </c>
      <c r="N291" s="329">
        <v>0</v>
      </c>
      <c r="O291" s="329">
        <v>0</v>
      </c>
      <c r="P291" s="329">
        <v>0</v>
      </c>
      <c r="Q291" s="329"/>
      <c r="R291" s="329">
        <v>13503</v>
      </c>
      <c r="S291" s="329">
        <v>2071</v>
      </c>
      <c r="T291" s="329">
        <v>15574</v>
      </c>
    </row>
    <row r="292" spans="1:20">
      <c r="A292" s="335">
        <v>92651</v>
      </c>
      <c r="B292" s="328" t="s">
        <v>979</v>
      </c>
      <c r="C292" s="239">
        <v>4.3000000000000003E-6</v>
      </c>
      <c r="D292" s="239">
        <v>4.4000000000000002E-6</v>
      </c>
      <c r="E292" s="329">
        <v>11743</v>
      </c>
      <c r="F292" s="329"/>
      <c r="G292" s="329">
        <v>2011</v>
      </c>
      <c r="H292" s="329">
        <v>287</v>
      </c>
      <c r="I292" s="329">
        <v>1914</v>
      </c>
      <c r="J292" s="329">
        <v>2560</v>
      </c>
      <c r="K292" s="329">
        <v>6772</v>
      </c>
      <c r="L292" s="329"/>
      <c r="M292" s="329">
        <v>0</v>
      </c>
      <c r="N292" s="329">
        <v>0</v>
      </c>
      <c r="O292" s="329">
        <v>0</v>
      </c>
      <c r="P292" s="329">
        <v>0</v>
      </c>
      <c r="Q292" s="329"/>
      <c r="R292" s="329">
        <v>5231</v>
      </c>
      <c r="S292" s="329">
        <v>1459</v>
      </c>
      <c r="T292" s="329">
        <v>6690</v>
      </c>
    </row>
    <row r="293" spans="1:20">
      <c r="A293" s="335">
        <v>92661</v>
      </c>
      <c r="B293" s="328" t="s">
        <v>980</v>
      </c>
      <c r="C293" s="239">
        <v>6.2509999999999996E-4</v>
      </c>
      <c r="D293" s="239">
        <v>6.334E-4</v>
      </c>
      <c r="E293" s="329">
        <v>1707099</v>
      </c>
      <c r="F293" s="329"/>
      <c r="G293" s="329">
        <v>292299</v>
      </c>
      <c r="H293" s="329">
        <v>41639</v>
      </c>
      <c r="I293" s="329">
        <v>278229</v>
      </c>
      <c r="J293" s="329">
        <v>451004</v>
      </c>
      <c r="K293" s="329">
        <v>1063171</v>
      </c>
      <c r="L293" s="329"/>
      <c r="M293" s="329">
        <v>0</v>
      </c>
      <c r="N293" s="329">
        <v>0</v>
      </c>
      <c r="O293" s="329">
        <v>0</v>
      </c>
      <c r="P293" s="329">
        <v>0</v>
      </c>
      <c r="Q293" s="329"/>
      <c r="R293" s="329">
        <v>760442</v>
      </c>
      <c r="S293" s="329">
        <v>221566</v>
      </c>
      <c r="T293" s="329">
        <v>982008</v>
      </c>
    </row>
    <row r="294" spans="1:20">
      <c r="A294" s="335">
        <v>92671</v>
      </c>
      <c r="B294" s="328" t="s">
        <v>981</v>
      </c>
      <c r="C294" s="239">
        <v>2.0999999999999998E-6</v>
      </c>
      <c r="D294" s="239">
        <v>2.3999999999999999E-6</v>
      </c>
      <c r="E294" s="329">
        <v>5735</v>
      </c>
      <c r="F294" s="329"/>
      <c r="G294" s="329">
        <v>982</v>
      </c>
      <c r="H294" s="329">
        <v>140</v>
      </c>
      <c r="I294" s="329">
        <v>935</v>
      </c>
      <c r="J294" s="329">
        <v>7841</v>
      </c>
      <c r="K294" s="329">
        <v>9898</v>
      </c>
      <c r="L294" s="329"/>
      <c r="M294" s="329">
        <v>0</v>
      </c>
      <c r="N294" s="329">
        <v>0</v>
      </c>
      <c r="O294" s="329">
        <v>0</v>
      </c>
      <c r="P294" s="329">
        <v>0</v>
      </c>
      <c r="Q294" s="329"/>
      <c r="R294" s="329">
        <v>2555</v>
      </c>
      <c r="S294" s="329">
        <v>3581</v>
      </c>
      <c r="T294" s="329">
        <v>6136</v>
      </c>
    </row>
    <row r="295" spans="1:20">
      <c r="A295" s="335">
        <v>92681</v>
      </c>
      <c r="B295" s="328" t="s">
        <v>982</v>
      </c>
      <c r="C295" s="239">
        <v>1.1800000000000001E-5</v>
      </c>
      <c r="D295" s="239">
        <v>1.1800000000000001E-5</v>
      </c>
      <c r="E295" s="329">
        <v>32225</v>
      </c>
      <c r="F295" s="329"/>
      <c r="G295" s="329">
        <v>5518</v>
      </c>
      <c r="H295" s="329">
        <v>786</v>
      </c>
      <c r="I295" s="329">
        <v>5252</v>
      </c>
      <c r="J295" s="329">
        <v>10687</v>
      </c>
      <c r="K295" s="329">
        <v>22243</v>
      </c>
      <c r="L295" s="329"/>
      <c r="M295" s="329">
        <v>0</v>
      </c>
      <c r="N295" s="329">
        <v>0</v>
      </c>
      <c r="O295" s="329">
        <v>0</v>
      </c>
      <c r="P295" s="329">
        <v>0</v>
      </c>
      <c r="Q295" s="329"/>
      <c r="R295" s="329">
        <v>14355</v>
      </c>
      <c r="S295" s="329">
        <v>5975</v>
      </c>
      <c r="T295" s="329">
        <v>20330</v>
      </c>
    </row>
    <row r="296" spans="1:20">
      <c r="A296" s="335">
        <v>92701</v>
      </c>
      <c r="B296" s="328" t="s">
        <v>983</v>
      </c>
      <c r="C296" s="239">
        <v>3.0688999999999998E-3</v>
      </c>
      <c r="D296" s="239">
        <v>2.8871000000000001E-3</v>
      </c>
      <c r="E296" s="329">
        <v>8380927</v>
      </c>
      <c r="F296" s="329"/>
      <c r="G296" s="329">
        <v>1435027</v>
      </c>
      <c r="H296" s="329">
        <v>204422</v>
      </c>
      <c r="I296" s="329">
        <v>1365952</v>
      </c>
      <c r="J296" s="329">
        <v>123035</v>
      </c>
      <c r="K296" s="329">
        <v>3128436</v>
      </c>
      <c r="L296" s="329"/>
      <c r="M296" s="329">
        <v>0</v>
      </c>
      <c r="N296" s="329">
        <v>0</v>
      </c>
      <c r="O296" s="329">
        <v>112999</v>
      </c>
      <c r="P296" s="329">
        <v>112999</v>
      </c>
      <c r="Q296" s="329"/>
      <c r="R296" s="329">
        <v>3733357</v>
      </c>
      <c r="S296" s="329">
        <v>-3483</v>
      </c>
      <c r="T296" s="329">
        <v>3729874</v>
      </c>
    </row>
    <row r="297" spans="1:20">
      <c r="A297" s="335">
        <v>92704</v>
      </c>
      <c r="B297" s="328" t="s">
        <v>3688</v>
      </c>
      <c r="C297" s="239">
        <v>3.6900000000000002E-5</v>
      </c>
      <c r="D297" s="239">
        <v>3.9400000000000002E-5</v>
      </c>
      <c r="E297" s="329">
        <v>100771</v>
      </c>
      <c r="F297" s="329"/>
      <c r="G297" s="329">
        <v>17255</v>
      </c>
      <c r="H297" s="329">
        <v>2458</v>
      </c>
      <c r="I297" s="329">
        <v>16424</v>
      </c>
      <c r="J297" s="329">
        <v>0</v>
      </c>
      <c r="K297" s="329">
        <v>36137</v>
      </c>
      <c r="L297" s="329"/>
      <c r="M297" s="329">
        <v>0</v>
      </c>
      <c r="N297" s="329">
        <v>0</v>
      </c>
      <c r="O297" s="329">
        <v>5075</v>
      </c>
      <c r="P297" s="329">
        <v>5075</v>
      </c>
      <c r="Q297" s="329"/>
      <c r="R297" s="329">
        <v>44889</v>
      </c>
      <c r="S297" s="329">
        <v>-1568</v>
      </c>
      <c r="T297" s="329">
        <v>43321</v>
      </c>
    </row>
    <row r="298" spans="1:20">
      <c r="A298" s="335">
        <v>92801</v>
      </c>
      <c r="B298" s="328" t="s">
        <v>985</v>
      </c>
      <c r="C298" s="239">
        <v>5.4352999999999997E-3</v>
      </c>
      <c r="D298" s="239">
        <v>5.2335999999999997E-3</v>
      </c>
      <c r="E298" s="329">
        <v>14843380</v>
      </c>
      <c r="F298" s="329"/>
      <c r="G298" s="329">
        <v>2541563</v>
      </c>
      <c r="H298" s="329">
        <v>362051</v>
      </c>
      <c r="I298" s="329">
        <v>2419225</v>
      </c>
      <c r="J298" s="329">
        <v>372203</v>
      </c>
      <c r="K298" s="329">
        <v>5695042</v>
      </c>
      <c r="L298" s="329"/>
      <c r="M298" s="329">
        <v>0</v>
      </c>
      <c r="N298" s="329">
        <v>0</v>
      </c>
      <c r="O298" s="329">
        <v>0</v>
      </c>
      <c r="P298" s="329">
        <v>0</v>
      </c>
      <c r="Q298" s="329"/>
      <c r="R298" s="329">
        <v>6612113</v>
      </c>
      <c r="S298" s="329">
        <v>156138</v>
      </c>
      <c r="T298" s="329">
        <v>6768251</v>
      </c>
    </row>
    <row r="299" spans="1:20" ht="14.25" customHeight="1">
      <c r="A299" s="335">
        <v>92802</v>
      </c>
      <c r="B299" s="328" t="s">
        <v>986</v>
      </c>
      <c r="C299" s="239">
        <v>1.198E-4</v>
      </c>
      <c r="D299" s="239">
        <v>1.2799999999999999E-4</v>
      </c>
      <c r="E299" s="329">
        <v>327164</v>
      </c>
      <c r="F299" s="329"/>
      <c r="G299" s="329">
        <v>56019</v>
      </c>
      <c r="H299" s="329">
        <v>7980</v>
      </c>
      <c r="I299" s="329">
        <v>53322</v>
      </c>
      <c r="J299" s="329">
        <v>0</v>
      </c>
      <c r="K299" s="329">
        <v>117321</v>
      </c>
      <c r="L299" s="329"/>
      <c r="M299" s="329">
        <v>0</v>
      </c>
      <c r="N299" s="329">
        <v>0</v>
      </c>
      <c r="O299" s="329">
        <v>18832</v>
      </c>
      <c r="P299" s="329">
        <v>18832</v>
      </c>
      <c r="Q299" s="329"/>
      <c r="R299" s="329">
        <v>145738</v>
      </c>
      <c r="S299" s="329">
        <v>-9182</v>
      </c>
      <c r="T299" s="329">
        <v>136556</v>
      </c>
    </row>
    <row r="300" spans="1:20" s="342" customFormat="1" ht="14.25" customHeight="1">
      <c r="A300" s="335">
        <v>92804</v>
      </c>
      <c r="B300" s="328" t="s">
        <v>987</v>
      </c>
      <c r="C300" s="239">
        <v>1.427E-4</v>
      </c>
      <c r="D300" s="239">
        <v>1.4990000000000001E-4</v>
      </c>
      <c r="E300" s="329">
        <v>389703</v>
      </c>
      <c r="F300" s="329"/>
      <c r="G300" s="329">
        <v>66727</v>
      </c>
      <c r="H300" s="329">
        <v>9505</v>
      </c>
      <c r="I300" s="329">
        <v>63515</v>
      </c>
      <c r="J300" s="329">
        <v>4663</v>
      </c>
      <c r="K300" s="329">
        <v>144410</v>
      </c>
      <c r="L300" s="329"/>
      <c r="M300" s="329">
        <v>0</v>
      </c>
      <c r="N300" s="329">
        <v>0</v>
      </c>
      <c r="O300" s="329">
        <v>15239</v>
      </c>
      <c r="P300" s="329">
        <v>15239</v>
      </c>
      <c r="Q300" s="329"/>
      <c r="R300" s="329">
        <v>173596</v>
      </c>
      <c r="S300" s="329">
        <v>-571</v>
      </c>
      <c r="T300" s="329">
        <v>173025</v>
      </c>
    </row>
    <row r="301" spans="1:20" s="342" customFormat="1" ht="14.25" customHeight="1">
      <c r="A301" s="335">
        <v>92811</v>
      </c>
      <c r="B301" s="328" t="s">
        <v>988</v>
      </c>
      <c r="C301" s="239">
        <v>9.1160000000000004E-4</v>
      </c>
      <c r="D301" s="239">
        <v>9.6909999999999997E-4</v>
      </c>
      <c r="E301" s="329">
        <v>2489508</v>
      </c>
      <c r="F301" s="329"/>
      <c r="G301" s="329">
        <v>426267</v>
      </c>
      <c r="H301" s="329">
        <v>60722</v>
      </c>
      <c r="I301" s="329">
        <v>405749</v>
      </c>
      <c r="J301" s="329">
        <v>0</v>
      </c>
      <c r="K301" s="329">
        <v>892738</v>
      </c>
      <c r="L301" s="329"/>
      <c r="M301" s="329">
        <v>0</v>
      </c>
      <c r="N301" s="329">
        <v>0</v>
      </c>
      <c r="O301" s="329">
        <v>70333</v>
      </c>
      <c r="P301" s="329">
        <v>70333</v>
      </c>
      <c r="Q301" s="329"/>
      <c r="R301" s="329">
        <v>1108973</v>
      </c>
      <c r="S301" s="329">
        <v>-39478</v>
      </c>
      <c r="T301" s="329">
        <v>1069495</v>
      </c>
    </row>
    <row r="302" spans="1:20">
      <c r="A302" s="335">
        <v>92821</v>
      </c>
      <c r="B302" s="328" t="s">
        <v>989</v>
      </c>
      <c r="C302" s="239">
        <v>9.8409999999999991E-4</v>
      </c>
      <c r="D302" s="239">
        <v>1.0001999999999999E-3</v>
      </c>
      <c r="E302" s="329">
        <v>2687500</v>
      </c>
      <c r="F302" s="329"/>
      <c r="G302" s="329">
        <v>460168</v>
      </c>
      <c r="H302" s="329">
        <v>65552</v>
      </c>
      <c r="I302" s="329">
        <v>438018</v>
      </c>
      <c r="J302" s="329">
        <v>21378</v>
      </c>
      <c r="K302" s="329">
        <v>985116</v>
      </c>
      <c r="L302" s="329"/>
      <c r="M302" s="329">
        <v>0</v>
      </c>
      <c r="N302" s="329">
        <v>0</v>
      </c>
      <c r="O302" s="329">
        <v>0</v>
      </c>
      <c r="P302" s="329">
        <v>0</v>
      </c>
      <c r="Q302" s="329"/>
      <c r="R302" s="329">
        <v>1197170</v>
      </c>
      <c r="S302" s="329">
        <v>12668</v>
      </c>
      <c r="T302" s="329">
        <v>1209838</v>
      </c>
    </row>
    <row r="303" spans="1:20">
      <c r="A303" s="335">
        <v>92831</v>
      </c>
      <c r="B303" s="328" t="s">
        <v>990</v>
      </c>
      <c r="C303" s="239">
        <v>2.5230000000000001E-4</v>
      </c>
      <c r="D303" s="239">
        <v>2.3580000000000001E-4</v>
      </c>
      <c r="E303" s="329">
        <v>689012</v>
      </c>
      <c r="F303" s="329"/>
      <c r="G303" s="329">
        <v>117976</v>
      </c>
      <c r="H303" s="329">
        <v>16806</v>
      </c>
      <c r="I303" s="329">
        <v>112297</v>
      </c>
      <c r="J303" s="329">
        <v>49093</v>
      </c>
      <c r="K303" s="329">
        <v>296172</v>
      </c>
      <c r="L303" s="329"/>
      <c r="M303" s="329">
        <v>0</v>
      </c>
      <c r="N303" s="329">
        <v>0</v>
      </c>
      <c r="O303" s="329">
        <v>1078</v>
      </c>
      <c r="P303" s="329">
        <v>1078</v>
      </c>
      <c r="Q303" s="329"/>
      <c r="R303" s="329">
        <v>306926</v>
      </c>
      <c r="S303" s="329">
        <v>18160</v>
      </c>
      <c r="T303" s="329">
        <v>325086</v>
      </c>
    </row>
    <row r="304" spans="1:20">
      <c r="A304" s="335">
        <v>92841</v>
      </c>
      <c r="B304" s="328" t="s">
        <v>991</v>
      </c>
      <c r="C304" s="239">
        <v>2.4340000000000001E-4</v>
      </c>
      <c r="D304" s="239">
        <v>2.5769999999999998E-4</v>
      </c>
      <c r="E304" s="329">
        <v>664706</v>
      </c>
      <c r="F304" s="329"/>
      <c r="G304" s="329">
        <v>113815</v>
      </c>
      <c r="H304" s="329">
        <v>16213</v>
      </c>
      <c r="I304" s="329">
        <v>108336</v>
      </c>
      <c r="J304" s="329">
        <v>0</v>
      </c>
      <c r="K304" s="329">
        <v>238364</v>
      </c>
      <c r="L304" s="329"/>
      <c r="M304" s="329">
        <v>0</v>
      </c>
      <c r="N304" s="329">
        <v>0</v>
      </c>
      <c r="O304" s="329">
        <v>25404</v>
      </c>
      <c r="P304" s="329">
        <v>25404</v>
      </c>
      <c r="Q304" s="329"/>
      <c r="R304" s="329">
        <v>296099</v>
      </c>
      <c r="S304" s="329">
        <v>-9365</v>
      </c>
      <c r="T304" s="329">
        <v>286734</v>
      </c>
    </row>
    <row r="305" spans="1:20">
      <c r="A305" s="335">
        <v>92851</v>
      </c>
      <c r="B305" s="328" t="s">
        <v>992</v>
      </c>
      <c r="C305" s="239">
        <v>4.2850000000000001E-4</v>
      </c>
      <c r="D305" s="239">
        <v>4.3899999999999999E-4</v>
      </c>
      <c r="E305" s="329">
        <v>1170200</v>
      </c>
      <c r="F305" s="329"/>
      <c r="G305" s="329">
        <v>200368</v>
      </c>
      <c r="H305" s="329">
        <v>28542</v>
      </c>
      <c r="I305" s="329">
        <v>190723</v>
      </c>
      <c r="J305" s="329">
        <v>0</v>
      </c>
      <c r="K305" s="329">
        <v>419633</v>
      </c>
      <c r="L305" s="329"/>
      <c r="M305" s="329">
        <v>0</v>
      </c>
      <c r="N305" s="329">
        <v>0</v>
      </c>
      <c r="O305" s="329">
        <v>64195</v>
      </c>
      <c r="P305" s="329">
        <v>64195</v>
      </c>
      <c r="Q305" s="329"/>
      <c r="R305" s="329">
        <v>521276</v>
      </c>
      <c r="S305" s="329">
        <v>-33079</v>
      </c>
      <c r="T305" s="329">
        <v>488197</v>
      </c>
    </row>
    <row r="306" spans="1:20">
      <c r="A306" s="335">
        <v>92861</v>
      </c>
      <c r="B306" s="328" t="s">
        <v>993</v>
      </c>
      <c r="C306" s="239">
        <v>3.6309999999999999E-4</v>
      </c>
      <c r="D306" s="239">
        <v>3.7629999999999999E-4</v>
      </c>
      <c r="E306" s="329">
        <v>991598</v>
      </c>
      <c r="F306" s="329"/>
      <c r="G306" s="329">
        <v>169787</v>
      </c>
      <c r="H306" s="329">
        <v>24187</v>
      </c>
      <c r="I306" s="329">
        <v>161614</v>
      </c>
      <c r="J306" s="329">
        <v>0</v>
      </c>
      <c r="K306" s="329">
        <v>355588</v>
      </c>
      <c r="L306" s="329"/>
      <c r="M306" s="329">
        <v>0</v>
      </c>
      <c r="N306" s="329">
        <v>0</v>
      </c>
      <c r="O306" s="329">
        <v>75179</v>
      </c>
      <c r="P306" s="329">
        <v>75179</v>
      </c>
      <c r="Q306" s="329"/>
      <c r="R306" s="329">
        <v>441716</v>
      </c>
      <c r="S306" s="329">
        <v>-40752</v>
      </c>
      <c r="T306" s="329">
        <v>400964</v>
      </c>
    </row>
    <row r="307" spans="1:20">
      <c r="A307" s="335">
        <v>92901</v>
      </c>
      <c r="B307" s="328" t="s">
        <v>994</v>
      </c>
      <c r="C307" s="239">
        <v>5.4326000000000001E-3</v>
      </c>
      <c r="D307" s="239">
        <v>5.4257999999999997E-3</v>
      </c>
      <c r="E307" s="329">
        <v>14836007</v>
      </c>
      <c r="F307" s="329"/>
      <c r="G307" s="329">
        <v>2540300</v>
      </c>
      <c r="H307" s="329">
        <v>361871</v>
      </c>
      <c r="I307" s="329">
        <v>2418023</v>
      </c>
      <c r="J307" s="329">
        <v>38960</v>
      </c>
      <c r="K307" s="329">
        <v>5359154</v>
      </c>
      <c r="L307" s="329"/>
      <c r="M307" s="329">
        <v>0</v>
      </c>
      <c r="N307" s="329">
        <v>0</v>
      </c>
      <c r="O307" s="329">
        <v>54506</v>
      </c>
      <c r="P307" s="329">
        <v>54506</v>
      </c>
      <c r="Q307" s="329"/>
      <c r="R307" s="329">
        <v>6608829</v>
      </c>
      <c r="S307" s="329">
        <v>-4364</v>
      </c>
      <c r="T307" s="329">
        <v>6604465</v>
      </c>
    </row>
    <row r="308" spans="1:20">
      <c r="A308" s="335">
        <v>92911</v>
      </c>
      <c r="B308" s="328" t="s">
        <v>995</v>
      </c>
      <c r="C308" s="239">
        <v>1.9161E-3</v>
      </c>
      <c r="D308" s="239">
        <v>1.9322E-3</v>
      </c>
      <c r="E308" s="329">
        <v>5232720</v>
      </c>
      <c r="F308" s="329"/>
      <c r="G308" s="329">
        <v>895974</v>
      </c>
      <c r="H308" s="329">
        <v>127633</v>
      </c>
      <c r="I308" s="329">
        <v>852847</v>
      </c>
      <c r="J308" s="329">
        <v>59315</v>
      </c>
      <c r="K308" s="329">
        <v>1935769</v>
      </c>
      <c r="L308" s="329"/>
      <c r="M308" s="329">
        <v>0</v>
      </c>
      <c r="N308" s="329">
        <v>0</v>
      </c>
      <c r="O308" s="329">
        <v>12601</v>
      </c>
      <c r="P308" s="329">
        <v>12601</v>
      </c>
      <c r="Q308" s="329"/>
      <c r="R308" s="329">
        <v>2330961</v>
      </c>
      <c r="S308" s="329">
        <v>-19454</v>
      </c>
      <c r="T308" s="329">
        <v>2311507</v>
      </c>
    </row>
    <row r="309" spans="1:20">
      <c r="A309" s="335">
        <v>92913</v>
      </c>
      <c r="B309" s="328" t="s">
        <v>996</v>
      </c>
      <c r="C309" s="239">
        <v>2.0400000000000001E-5</v>
      </c>
      <c r="D309" s="239">
        <v>2.1500000000000001E-5</v>
      </c>
      <c r="E309" s="329">
        <v>55711</v>
      </c>
      <c r="F309" s="329"/>
      <c r="G309" s="329">
        <v>9539</v>
      </c>
      <c r="H309" s="329">
        <v>1359</v>
      </c>
      <c r="I309" s="329">
        <v>9080</v>
      </c>
      <c r="J309" s="329">
        <v>95515</v>
      </c>
      <c r="K309" s="329">
        <v>115493</v>
      </c>
      <c r="L309" s="329"/>
      <c r="M309" s="329">
        <v>0</v>
      </c>
      <c r="N309" s="329">
        <v>0</v>
      </c>
      <c r="O309" s="329">
        <v>0</v>
      </c>
      <c r="P309" s="329">
        <v>0</v>
      </c>
      <c r="Q309" s="329"/>
      <c r="R309" s="329">
        <v>24817</v>
      </c>
      <c r="S309" s="329">
        <v>45531</v>
      </c>
      <c r="T309" s="329">
        <v>70348</v>
      </c>
    </row>
    <row r="310" spans="1:20">
      <c r="A310" s="335">
        <v>92914</v>
      </c>
      <c r="B310" s="328" t="s">
        <v>997</v>
      </c>
      <c r="C310" s="239">
        <v>2.55E-5</v>
      </c>
      <c r="D310" s="239">
        <v>2.4899999999999999E-5</v>
      </c>
      <c r="E310" s="329">
        <v>69639</v>
      </c>
      <c r="F310" s="329"/>
      <c r="G310" s="329">
        <v>11924</v>
      </c>
      <c r="H310" s="329">
        <v>1699</v>
      </c>
      <c r="I310" s="329">
        <v>11350</v>
      </c>
      <c r="J310" s="329">
        <v>10211</v>
      </c>
      <c r="K310" s="329">
        <v>35184</v>
      </c>
      <c r="L310" s="329"/>
      <c r="M310" s="329">
        <v>0</v>
      </c>
      <c r="N310" s="329">
        <v>0</v>
      </c>
      <c r="O310" s="329">
        <v>934</v>
      </c>
      <c r="P310" s="329">
        <v>934</v>
      </c>
      <c r="Q310" s="329"/>
      <c r="R310" s="329">
        <v>31021</v>
      </c>
      <c r="S310" s="329">
        <v>4387</v>
      </c>
      <c r="T310" s="329">
        <v>35408</v>
      </c>
    </row>
    <row r="311" spans="1:20">
      <c r="A311" s="335">
        <v>92917</v>
      </c>
      <c r="B311" s="328" t="s">
        <v>998</v>
      </c>
      <c r="C311" s="239">
        <v>1.9199999999999999E-5</v>
      </c>
      <c r="D311" s="239">
        <v>1.6099999999999998E-5</v>
      </c>
      <c r="E311" s="329">
        <v>52434</v>
      </c>
      <c r="F311" s="329"/>
      <c r="G311" s="329">
        <v>8978</v>
      </c>
      <c r="H311" s="329">
        <v>1279</v>
      </c>
      <c r="I311" s="329">
        <v>8546</v>
      </c>
      <c r="J311" s="329">
        <v>16266</v>
      </c>
      <c r="K311" s="329">
        <v>35069</v>
      </c>
      <c r="L311" s="329"/>
      <c r="M311" s="329">
        <v>0</v>
      </c>
      <c r="N311" s="329">
        <v>0</v>
      </c>
      <c r="O311" s="329">
        <v>0</v>
      </c>
      <c r="P311" s="329">
        <v>0</v>
      </c>
      <c r="Q311" s="329"/>
      <c r="R311" s="329">
        <v>23357</v>
      </c>
      <c r="S311" s="329">
        <v>7245</v>
      </c>
      <c r="T311" s="329">
        <v>30602</v>
      </c>
    </row>
    <row r="312" spans="1:20">
      <c r="A312" s="335">
        <v>92921</v>
      </c>
      <c r="B312" s="328" t="s">
        <v>999</v>
      </c>
      <c r="C312" s="239">
        <v>9.6600000000000003E-5</v>
      </c>
      <c r="D312" s="239">
        <v>9.2499999999999999E-5</v>
      </c>
      <c r="E312" s="329">
        <v>263807</v>
      </c>
      <c r="F312" s="329"/>
      <c r="G312" s="329">
        <v>45170</v>
      </c>
      <c r="H312" s="329">
        <v>6435</v>
      </c>
      <c r="I312" s="329">
        <v>42996</v>
      </c>
      <c r="J312" s="329">
        <v>27274</v>
      </c>
      <c r="K312" s="329">
        <v>121875</v>
      </c>
      <c r="L312" s="329"/>
      <c r="M312" s="329">
        <v>0</v>
      </c>
      <c r="N312" s="329">
        <v>0</v>
      </c>
      <c r="O312" s="329">
        <v>766</v>
      </c>
      <c r="P312" s="329">
        <v>766</v>
      </c>
      <c r="Q312" s="329"/>
      <c r="R312" s="329">
        <v>117515</v>
      </c>
      <c r="S312" s="329">
        <v>8501</v>
      </c>
      <c r="T312" s="329">
        <v>126016</v>
      </c>
    </row>
    <row r="313" spans="1:20">
      <c r="A313" s="335">
        <v>92931</v>
      </c>
      <c r="B313" s="328" t="s">
        <v>1000</v>
      </c>
      <c r="C313" s="239">
        <v>2.2504999999999999E-3</v>
      </c>
      <c r="D313" s="239">
        <v>2.4600999999999998E-3</v>
      </c>
      <c r="E313" s="329">
        <v>6145940</v>
      </c>
      <c r="F313" s="329"/>
      <c r="G313" s="329">
        <v>1052341</v>
      </c>
      <c r="H313" s="329">
        <v>149908</v>
      </c>
      <c r="I313" s="329">
        <v>1001686</v>
      </c>
      <c r="J313" s="329">
        <v>21154</v>
      </c>
      <c r="K313" s="329">
        <v>2225089</v>
      </c>
      <c r="L313" s="329"/>
      <c r="M313" s="329">
        <v>0</v>
      </c>
      <c r="N313" s="329">
        <v>0</v>
      </c>
      <c r="O313" s="329">
        <v>242689</v>
      </c>
      <c r="P313" s="329">
        <v>242689</v>
      </c>
      <c r="Q313" s="329"/>
      <c r="R313" s="329">
        <v>2737763</v>
      </c>
      <c r="S313" s="329">
        <v>-87922</v>
      </c>
      <c r="T313" s="329">
        <v>2649841</v>
      </c>
    </row>
    <row r="314" spans="1:20">
      <c r="A314" s="335">
        <v>92941</v>
      </c>
      <c r="B314" s="328" t="s">
        <v>81</v>
      </c>
      <c r="C314" s="239">
        <v>4.1999999999999996E-6</v>
      </c>
      <c r="D314" s="239">
        <v>4.3000000000000003E-6</v>
      </c>
      <c r="E314" s="329">
        <v>11470</v>
      </c>
      <c r="F314" s="329"/>
      <c r="G314" s="329">
        <v>1964</v>
      </c>
      <c r="H314" s="329">
        <v>280</v>
      </c>
      <c r="I314" s="329">
        <v>1869</v>
      </c>
      <c r="J314" s="329">
        <v>1299</v>
      </c>
      <c r="K314" s="329">
        <v>5412</v>
      </c>
      <c r="L314" s="329"/>
      <c r="M314" s="329">
        <v>0</v>
      </c>
      <c r="N314" s="329">
        <v>0</v>
      </c>
      <c r="O314" s="329">
        <v>2959</v>
      </c>
      <c r="P314" s="329">
        <v>2959</v>
      </c>
      <c r="Q314" s="329"/>
      <c r="R314" s="329">
        <v>5109</v>
      </c>
      <c r="S314" s="329">
        <v>1923</v>
      </c>
      <c r="T314" s="329">
        <v>7032</v>
      </c>
    </row>
    <row r="315" spans="1:20">
      <c r="A315" s="335">
        <v>93001</v>
      </c>
      <c r="B315" s="328" t="s">
        <v>1001</v>
      </c>
      <c r="C315" s="239">
        <v>2.2536000000000001E-3</v>
      </c>
      <c r="D315" s="239">
        <v>2.2772000000000001E-3</v>
      </c>
      <c r="E315" s="329">
        <v>6154406</v>
      </c>
      <c r="F315" s="329"/>
      <c r="G315" s="329">
        <v>1053790</v>
      </c>
      <c r="H315" s="329">
        <v>150114</v>
      </c>
      <c r="I315" s="329">
        <v>1003066</v>
      </c>
      <c r="J315" s="329">
        <v>8068</v>
      </c>
      <c r="K315" s="329">
        <v>2215038</v>
      </c>
      <c r="L315" s="329"/>
      <c r="M315" s="329">
        <v>0</v>
      </c>
      <c r="N315" s="329">
        <v>0</v>
      </c>
      <c r="O315" s="329">
        <v>85648</v>
      </c>
      <c r="P315" s="329">
        <v>85648</v>
      </c>
      <c r="Q315" s="329"/>
      <c r="R315" s="329">
        <v>2741534</v>
      </c>
      <c r="S315" s="329">
        <v>-28337</v>
      </c>
      <c r="T315" s="329">
        <v>2713197</v>
      </c>
    </row>
    <row r="316" spans="1:20">
      <c r="A316" s="335">
        <v>93009</v>
      </c>
      <c r="B316" s="328" t="s">
        <v>3689</v>
      </c>
      <c r="C316" s="239">
        <v>1.2799999999999999E-5</v>
      </c>
      <c r="D316" s="239">
        <v>1.38E-5</v>
      </c>
      <c r="E316" s="329">
        <v>34956</v>
      </c>
      <c r="F316" s="329"/>
      <c r="G316" s="329">
        <v>5985</v>
      </c>
      <c r="H316" s="329">
        <v>853</v>
      </c>
      <c r="I316" s="329">
        <v>5697</v>
      </c>
      <c r="J316" s="329">
        <v>0</v>
      </c>
      <c r="K316" s="329">
        <v>12535</v>
      </c>
      <c r="L316" s="329"/>
      <c r="M316" s="329">
        <v>0</v>
      </c>
      <c r="N316" s="329">
        <v>0</v>
      </c>
      <c r="O316" s="329">
        <v>4121</v>
      </c>
      <c r="P316" s="329">
        <v>4121</v>
      </c>
      <c r="Q316" s="329"/>
      <c r="R316" s="329">
        <v>15571</v>
      </c>
      <c r="S316" s="329">
        <v>-2017</v>
      </c>
      <c r="T316" s="329">
        <v>13554</v>
      </c>
    </row>
    <row r="317" spans="1:20">
      <c r="A317" s="335">
        <v>93011</v>
      </c>
      <c r="B317" s="328" t="s">
        <v>1003</v>
      </c>
      <c r="C317" s="239">
        <v>3.0909999999999998E-4</v>
      </c>
      <c r="D317" s="239">
        <v>2.7599999999999999E-4</v>
      </c>
      <c r="E317" s="329">
        <v>844128</v>
      </c>
      <c r="F317" s="329"/>
      <c r="G317" s="329">
        <v>144536</v>
      </c>
      <c r="H317" s="329">
        <v>20589</v>
      </c>
      <c r="I317" s="329">
        <v>137579</v>
      </c>
      <c r="J317" s="329">
        <v>64840</v>
      </c>
      <c r="K317" s="329">
        <v>367544</v>
      </c>
      <c r="L317" s="329"/>
      <c r="M317" s="329">
        <v>0</v>
      </c>
      <c r="N317" s="329">
        <v>0</v>
      </c>
      <c r="O317" s="329">
        <v>6573</v>
      </c>
      <c r="P317" s="329">
        <v>6573</v>
      </c>
      <c r="Q317" s="329"/>
      <c r="R317" s="329">
        <v>376024</v>
      </c>
      <c r="S317" s="329">
        <v>16344</v>
      </c>
      <c r="T317" s="329">
        <v>392368</v>
      </c>
    </row>
    <row r="318" spans="1:20">
      <c r="A318" s="335">
        <v>93021</v>
      </c>
      <c r="B318" s="328" t="s">
        <v>1004</v>
      </c>
      <c r="C318" s="239">
        <v>3.0499999999999999E-5</v>
      </c>
      <c r="D318" s="239">
        <v>3.3399999999999999E-5</v>
      </c>
      <c r="E318" s="329">
        <v>83293</v>
      </c>
      <c r="F318" s="329"/>
      <c r="G318" s="329">
        <v>14262</v>
      </c>
      <c r="H318" s="329">
        <v>2032</v>
      </c>
      <c r="I318" s="329">
        <v>13575</v>
      </c>
      <c r="J318" s="329">
        <v>694</v>
      </c>
      <c r="K318" s="329">
        <v>30563</v>
      </c>
      <c r="L318" s="329"/>
      <c r="M318" s="329">
        <v>0</v>
      </c>
      <c r="N318" s="329">
        <v>0</v>
      </c>
      <c r="O318" s="329">
        <v>6729</v>
      </c>
      <c r="P318" s="329">
        <v>6729</v>
      </c>
      <c r="Q318" s="329"/>
      <c r="R318" s="329">
        <v>37104</v>
      </c>
      <c r="S318" s="329">
        <v>-2102</v>
      </c>
      <c r="T318" s="329">
        <v>35002</v>
      </c>
    </row>
    <row r="319" spans="1:20" ht="14.25" customHeight="1">
      <c r="A319" s="335">
        <v>93031</v>
      </c>
      <c r="B319" s="328" t="s">
        <v>1006</v>
      </c>
      <c r="C319" s="239">
        <v>7.7000000000000008E-6</v>
      </c>
      <c r="D319" s="239">
        <v>1.26E-5</v>
      </c>
      <c r="E319" s="329">
        <v>21028</v>
      </c>
      <c r="F319" s="329"/>
      <c r="G319" s="329">
        <v>3601</v>
      </c>
      <c r="H319" s="329">
        <v>513</v>
      </c>
      <c r="I319" s="329">
        <v>3427</v>
      </c>
      <c r="J319" s="329">
        <v>13846</v>
      </c>
      <c r="K319" s="329">
        <v>21387</v>
      </c>
      <c r="L319" s="329"/>
      <c r="M319" s="329">
        <v>0</v>
      </c>
      <c r="N319" s="329">
        <v>0</v>
      </c>
      <c r="O319" s="329">
        <v>0</v>
      </c>
      <c r="P319" s="329">
        <v>0</v>
      </c>
      <c r="Q319" s="329"/>
      <c r="R319" s="329">
        <v>9367</v>
      </c>
      <c r="S319" s="329">
        <v>8191</v>
      </c>
      <c r="T319" s="329">
        <v>17558</v>
      </c>
    </row>
    <row r="320" spans="1:20">
      <c r="A320" s="335">
        <v>93101</v>
      </c>
      <c r="B320" s="328" t="s">
        <v>1007</v>
      </c>
      <c r="C320" s="239">
        <v>3.1914999999999999E-3</v>
      </c>
      <c r="D320" s="239">
        <v>3.2376000000000002E-3</v>
      </c>
      <c r="E320" s="329">
        <v>8715738</v>
      </c>
      <c r="F320" s="329"/>
      <c r="G320" s="329">
        <v>1492355</v>
      </c>
      <c r="H320" s="329">
        <v>212589</v>
      </c>
      <c r="I320" s="329">
        <v>1420521</v>
      </c>
      <c r="J320" s="329">
        <v>9298</v>
      </c>
      <c r="K320" s="329">
        <v>3134763</v>
      </c>
      <c r="L320" s="329"/>
      <c r="M320" s="329">
        <v>0</v>
      </c>
      <c r="N320" s="329">
        <v>0</v>
      </c>
      <c r="O320" s="329">
        <v>325706</v>
      </c>
      <c r="P320" s="329">
        <v>325706</v>
      </c>
      <c r="Q320" s="329"/>
      <c r="R320" s="329">
        <v>3882501</v>
      </c>
      <c r="S320" s="329">
        <v>-82519</v>
      </c>
      <c r="T320" s="329">
        <v>3799982</v>
      </c>
    </row>
    <row r="321" spans="1:20" ht="30">
      <c r="A321" s="335">
        <v>93103</v>
      </c>
      <c r="B321" s="328" t="s">
        <v>260</v>
      </c>
      <c r="C321" s="239">
        <v>1.56E-5</v>
      </c>
      <c r="D321" s="239">
        <v>1.6699999999999999E-5</v>
      </c>
      <c r="E321" s="329">
        <v>42602</v>
      </c>
      <c r="F321" s="329"/>
      <c r="G321" s="329">
        <v>7295</v>
      </c>
      <c r="H321" s="329">
        <v>1039</v>
      </c>
      <c r="I321" s="329">
        <v>6943</v>
      </c>
      <c r="J321" s="329">
        <v>1741</v>
      </c>
      <c r="K321" s="329">
        <v>17018</v>
      </c>
      <c r="L321" s="329"/>
      <c r="M321" s="329">
        <v>0</v>
      </c>
      <c r="N321" s="329">
        <v>0</v>
      </c>
      <c r="O321" s="329">
        <v>4919</v>
      </c>
      <c r="P321" s="329">
        <v>4919</v>
      </c>
      <c r="Q321" s="329"/>
      <c r="R321" s="329">
        <v>18978</v>
      </c>
      <c r="S321" s="329">
        <v>862</v>
      </c>
      <c r="T321" s="329">
        <v>19840</v>
      </c>
    </row>
    <row r="322" spans="1:20">
      <c r="A322" s="335">
        <v>93108</v>
      </c>
      <c r="B322" s="328" t="s">
        <v>1008</v>
      </c>
      <c r="C322" s="239">
        <v>2.2694E-3</v>
      </c>
      <c r="D322" s="239">
        <v>2.4109999999999999E-3</v>
      </c>
      <c r="E322" s="329">
        <v>6197554</v>
      </c>
      <c r="F322" s="329"/>
      <c r="G322" s="329">
        <v>1061178</v>
      </c>
      <c r="H322" s="329">
        <v>151167</v>
      </c>
      <c r="I322" s="329">
        <v>1010099</v>
      </c>
      <c r="J322" s="329">
        <v>33498</v>
      </c>
      <c r="K322" s="329">
        <v>2255942</v>
      </c>
      <c r="L322" s="329"/>
      <c r="M322" s="329">
        <v>0</v>
      </c>
      <c r="N322" s="329">
        <v>0</v>
      </c>
      <c r="O322" s="329">
        <v>242634</v>
      </c>
      <c r="P322" s="329">
        <v>242634</v>
      </c>
      <c r="Q322" s="329"/>
      <c r="R322" s="329">
        <v>2760755</v>
      </c>
      <c r="S322" s="329">
        <v>-19113</v>
      </c>
      <c r="T322" s="329">
        <v>2741642</v>
      </c>
    </row>
    <row r="323" spans="1:20">
      <c r="A323" s="335">
        <v>93111</v>
      </c>
      <c r="B323" s="328" t="s">
        <v>1009</v>
      </c>
      <c r="C323" s="239">
        <v>5.8199999999999998E-5</v>
      </c>
      <c r="D323" s="239">
        <v>6.1500000000000004E-5</v>
      </c>
      <c r="E323" s="329">
        <v>158940</v>
      </c>
      <c r="F323" s="329"/>
      <c r="G323" s="329">
        <v>27214</v>
      </c>
      <c r="H323" s="329">
        <v>3877</v>
      </c>
      <c r="I323" s="329">
        <v>25905</v>
      </c>
      <c r="J323" s="329">
        <v>457</v>
      </c>
      <c r="K323" s="329">
        <v>57453</v>
      </c>
      <c r="L323" s="329"/>
      <c r="M323" s="329">
        <v>0</v>
      </c>
      <c r="N323" s="329">
        <v>0</v>
      </c>
      <c r="O323" s="329">
        <v>8959</v>
      </c>
      <c r="P323" s="329">
        <v>8959</v>
      </c>
      <c r="Q323" s="329"/>
      <c r="R323" s="329">
        <v>70801</v>
      </c>
      <c r="S323" s="329">
        <v>-5584</v>
      </c>
      <c r="T323" s="329">
        <v>65217</v>
      </c>
    </row>
    <row r="324" spans="1:20">
      <c r="A324" s="335">
        <v>93121</v>
      </c>
      <c r="B324" s="328" t="s">
        <v>1010</v>
      </c>
      <c r="C324" s="239">
        <v>6.2199999999999994E-5</v>
      </c>
      <c r="D324" s="239">
        <v>5.3300000000000001E-5</v>
      </c>
      <c r="E324" s="329">
        <v>169863</v>
      </c>
      <c r="F324" s="329"/>
      <c r="G324" s="329">
        <v>29085</v>
      </c>
      <c r="H324" s="329">
        <v>4144</v>
      </c>
      <c r="I324" s="329">
        <v>27685</v>
      </c>
      <c r="J324" s="329">
        <v>9804</v>
      </c>
      <c r="K324" s="329">
        <v>70718</v>
      </c>
      <c r="L324" s="329"/>
      <c r="M324" s="329">
        <v>0</v>
      </c>
      <c r="N324" s="329">
        <v>0</v>
      </c>
      <c r="O324" s="329">
        <v>4161</v>
      </c>
      <c r="P324" s="329">
        <v>4161</v>
      </c>
      <c r="Q324" s="329"/>
      <c r="R324" s="329">
        <v>75667</v>
      </c>
      <c r="S324" s="329">
        <v>-617</v>
      </c>
      <c r="T324" s="329">
        <v>75050</v>
      </c>
    </row>
    <row r="325" spans="1:20">
      <c r="A325" s="335">
        <v>93127</v>
      </c>
      <c r="B325" s="328" t="s">
        <v>1011</v>
      </c>
      <c r="C325" s="239">
        <v>5.9000000000000003E-6</v>
      </c>
      <c r="D325" s="239">
        <v>6.8000000000000001E-6</v>
      </c>
      <c r="E325" s="329">
        <v>16112</v>
      </c>
      <c r="F325" s="329"/>
      <c r="G325" s="329">
        <v>2759</v>
      </c>
      <c r="H325" s="329">
        <v>393</v>
      </c>
      <c r="I325" s="329">
        <v>2626</v>
      </c>
      <c r="J325" s="329">
        <v>62</v>
      </c>
      <c r="K325" s="329">
        <v>5840</v>
      </c>
      <c r="L325" s="329"/>
      <c r="M325" s="329">
        <v>0</v>
      </c>
      <c r="N325" s="329">
        <v>0</v>
      </c>
      <c r="O325" s="329">
        <v>1037</v>
      </c>
      <c r="P325" s="329">
        <v>1037</v>
      </c>
      <c r="Q325" s="329"/>
      <c r="R325" s="329">
        <v>7177</v>
      </c>
      <c r="S325" s="329">
        <v>-424</v>
      </c>
      <c r="T325" s="329">
        <v>6753</v>
      </c>
    </row>
    <row r="326" spans="1:20">
      <c r="A326" s="335">
        <v>93131</v>
      </c>
      <c r="B326" s="328" t="s">
        <v>1012</v>
      </c>
      <c r="C326" s="239">
        <v>1.7799999999999999E-4</v>
      </c>
      <c r="D326" s="239">
        <v>2.0129999999999999E-4</v>
      </c>
      <c r="E326" s="329">
        <v>486104</v>
      </c>
      <c r="F326" s="329"/>
      <c r="G326" s="329">
        <v>83233</v>
      </c>
      <c r="H326" s="329">
        <v>11856</v>
      </c>
      <c r="I326" s="329">
        <v>79227</v>
      </c>
      <c r="J326" s="329">
        <v>0</v>
      </c>
      <c r="K326" s="329">
        <v>174316</v>
      </c>
      <c r="L326" s="329"/>
      <c r="M326" s="329">
        <v>0</v>
      </c>
      <c r="N326" s="329">
        <v>0</v>
      </c>
      <c r="O326" s="329">
        <v>39396</v>
      </c>
      <c r="P326" s="329">
        <v>39396</v>
      </c>
      <c r="Q326" s="329"/>
      <c r="R326" s="329">
        <v>216539</v>
      </c>
      <c r="S326" s="329">
        <v>-11948</v>
      </c>
      <c r="T326" s="329">
        <v>204591</v>
      </c>
    </row>
    <row r="327" spans="1:20">
      <c r="A327" s="335">
        <v>93137</v>
      </c>
      <c r="B327" s="328" t="s">
        <v>1013</v>
      </c>
      <c r="C327" s="239">
        <v>4.7999999999999998E-6</v>
      </c>
      <c r="D327" s="239">
        <v>4.7999999999999998E-6</v>
      </c>
      <c r="E327" s="329">
        <v>13108</v>
      </c>
      <c r="F327" s="329"/>
      <c r="G327" s="329">
        <v>2244</v>
      </c>
      <c r="H327" s="329">
        <v>320</v>
      </c>
      <c r="I327" s="329">
        <v>2136</v>
      </c>
      <c r="J327" s="329">
        <v>2774</v>
      </c>
      <c r="K327" s="329">
        <v>7474</v>
      </c>
      <c r="L327" s="329"/>
      <c r="M327" s="329">
        <v>0</v>
      </c>
      <c r="N327" s="329">
        <v>0</v>
      </c>
      <c r="O327" s="329">
        <v>0</v>
      </c>
      <c r="P327" s="329">
        <v>0</v>
      </c>
      <c r="Q327" s="329"/>
      <c r="R327" s="329">
        <v>5839</v>
      </c>
      <c r="S327" s="329">
        <v>1331</v>
      </c>
      <c r="T327" s="329">
        <v>7170</v>
      </c>
    </row>
    <row r="328" spans="1:20">
      <c r="A328" s="335">
        <v>93141</v>
      </c>
      <c r="B328" s="328" t="s">
        <v>1014</v>
      </c>
      <c r="C328" s="239">
        <v>3.2499999999999997E-5</v>
      </c>
      <c r="D328" s="239">
        <v>3.2299999999999999E-5</v>
      </c>
      <c r="E328" s="329">
        <v>88755</v>
      </c>
      <c r="F328" s="329"/>
      <c r="G328" s="329">
        <v>15197</v>
      </c>
      <c r="H328" s="329">
        <v>2165</v>
      </c>
      <c r="I328" s="329">
        <v>14466</v>
      </c>
      <c r="J328" s="329">
        <v>1366</v>
      </c>
      <c r="K328" s="329">
        <v>33194</v>
      </c>
      <c r="L328" s="329"/>
      <c r="M328" s="329">
        <v>0</v>
      </c>
      <c r="N328" s="329">
        <v>0</v>
      </c>
      <c r="O328" s="329">
        <v>7233</v>
      </c>
      <c r="P328" s="329">
        <v>7233</v>
      </c>
      <c r="Q328" s="329"/>
      <c r="R328" s="329">
        <v>39537</v>
      </c>
      <c r="S328" s="329">
        <v>-3447</v>
      </c>
      <c r="T328" s="329">
        <v>36090</v>
      </c>
    </row>
    <row r="329" spans="1:20">
      <c r="A329" s="335">
        <v>93151</v>
      </c>
      <c r="B329" s="328" t="s">
        <v>1015</v>
      </c>
      <c r="C329" s="239">
        <v>3.7100000000000002E-4</v>
      </c>
      <c r="D329" s="239">
        <v>3.2410000000000002E-4</v>
      </c>
      <c r="E329" s="329">
        <v>1013172</v>
      </c>
      <c r="F329" s="329"/>
      <c r="G329" s="329">
        <v>173481</v>
      </c>
      <c r="H329" s="329">
        <v>24713</v>
      </c>
      <c r="I329" s="329">
        <v>165130</v>
      </c>
      <c r="J329" s="329">
        <v>18022</v>
      </c>
      <c r="K329" s="329">
        <v>381346</v>
      </c>
      <c r="L329" s="329"/>
      <c r="M329" s="329">
        <v>0</v>
      </c>
      <c r="N329" s="329">
        <v>0</v>
      </c>
      <c r="O329" s="329">
        <v>17464</v>
      </c>
      <c r="P329" s="329">
        <v>17464</v>
      </c>
      <c r="Q329" s="329"/>
      <c r="R329" s="329">
        <v>451326</v>
      </c>
      <c r="S329" s="329">
        <v>-1518</v>
      </c>
      <c r="T329" s="329">
        <v>449808</v>
      </c>
    </row>
    <row r="330" spans="1:20">
      <c r="A330" s="335">
        <v>93157</v>
      </c>
      <c r="B330" s="328" t="s">
        <v>3690</v>
      </c>
      <c r="C330" s="239">
        <v>7.9000000000000006E-6</v>
      </c>
      <c r="D330" s="239">
        <v>3.4999999999999999E-6</v>
      </c>
      <c r="E330" s="329">
        <v>21574</v>
      </c>
      <c r="F330" s="329"/>
      <c r="G330" s="329">
        <v>3694</v>
      </c>
      <c r="H330" s="329">
        <v>526</v>
      </c>
      <c r="I330" s="329">
        <v>3516</v>
      </c>
      <c r="J330" s="329">
        <v>11256</v>
      </c>
      <c r="K330" s="329">
        <v>18992</v>
      </c>
      <c r="L330" s="329"/>
      <c r="M330" s="329">
        <v>0</v>
      </c>
      <c r="N330" s="329">
        <v>0</v>
      </c>
      <c r="O330" s="329">
        <v>0</v>
      </c>
      <c r="P330" s="329">
        <v>0</v>
      </c>
      <c r="Q330" s="329"/>
      <c r="R330" s="329">
        <v>9610</v>
      </c>
      <c r="S330" s="329">
        <v>3943</v>
      </c>
      <c r="T330" s="329">
        <v>13553</v>
      </c>
    </row>
    <row r="331" spans="1:20">
      <c r="A331" s="335">
        <v>93161</v>
      </c>
      <c r="B331" s="328" t="s">
        <v>1017</v>
      </c>
      <c r="C331" s="239">
        <v>1.2180000000000001E-4</v>
      </c>
      <c r="D331" s="239">
        <v>1.105E-4</v>
      </c>
      <c r="E331" s="329">
        <v>332626</v>
      </c>
      <c r="F331" s="329"/>
      <c r="G331" s="329">
        <v>56954</v>
      </c>
      <c r="H331" s="329">
        <v>8113</v>
      </c>
      <c r="I331" s="329">
        <v>54213</v>
      </c>
      <c r="J331" s="329">
        <v>20926</v>
      </c>
      <c r="K331" s="329">
        <v>140206</v>
      </c>
      <c r="L331" s="329"/>
      <c r="M331" s="329">
        <v>0</v>
      </c>
      <c r="N331" s="329">
        <v>0</v>
      </c>
      <c r="O331" s="329">
        <v>0</v>
      </c>
      <c r="P331" s="329">
        <v>0</v>
      </c>
      <c r="Q331" s="329"/>
      <c r="R331" s="329">
        <v>148171</v>
      </c>
      <c r="S331" s="329">
        <v>10103</v>
      </c>
      <c r="T331" s="329">
        <v>158274</v>
      </c>
    </row>
    <row r="332" spans="1:20">
      <c r="A332" s="335">
        <v>93171</v>
      </c>
      <c r="B332" s="328" t="s">
        <v>1018</v>
      </c>
      <c r="C332" s="239">
        <v>5.3000000000000001E-6</v>
      </c>
      <c r="D332" s="239">
        <v>2.7E-6</v>
      </c>
      <c r="E332" s="329">
        <v>14474</v>
      </c>
      <c r="F332" s="329"/>
      <c r="G332" s="329">
        <v>2478</v>
      </c>
      <c r="H332" s="329">
        <v>353</v>
      </c>
      <c r="I332" s="329">
        <v>2359</v>
      </c>
      <c r="J332" s="329">
        <v>4617</v>
      </c>
      <c r="K332" s="329">
        <v>9807</v>
      </c>
      <c r="L332" s="329"/>
      <c r="M332" s="329">
        <v>0</v>
      </c>
      <c r="N332" s="329">
        <v>0</v>
      </c>
      <c r="O332" s="329">
        <v>740</v>
      </c>
      <c r="P332" s="329">
        <v>740</v>
      </c>
      <c r="Q332" s="329"/>
      <c r="R332" s="329">
        <v>6448</v>
      </c>
      <c r="S332" s="329">
        <v>1322</v>
      </c>
      <c r="T332" s="329">
        <v>7770</v>
      </c>
    </row>
    <row r="333" spans="1:20">
      <c r="A333" s="335">
        <v>93181</v>
      </c>
      <c r="B333" s="328" t="s">
        <v>1019</v>
      </c>
      <c r="C333" s="239">
        <v>1.04E-5</v>
      </c>
      <c r="D333" s="239">
        <v>1.1E-5</v>
      </c>
      <c r="E333" s="329">
        <v>28402</v>
      </c>
      <c r="F333" s="329"/>
      <c r="G333" s="329">
        <v>4863</v>
      </c>
      <c r="H333" s="329">
        <v>693</v>
      </c>
      <c r="I333" s="329">
        <v>4629</v>
      </c>
      <c r="J333" s="329">
        <v>422</v>
      </c>
      <c r="K333" s="329">
        <v>10607</v>
      </c>
      <c r="L333" s="329"/>
      <c r="M333" s="329">
        <v>0</v>
      </c>
      <c r="N333" s="329">
        <v>0</v>
      </c>
      <c r="O333" s="329">
        <v>0</v>
      </c>
      <c r="P333" s="329">
        <v>0</v>
      </c>
      <c r="Q333" s="329"/>
      <c r="R333" s="329">
        <v>12652</v>
      </c>
      <c r="S333" s="329">
        <v>175</v>
      </c>
      <c r="T333" s="329">
        <v>12827</v>
      </c>
    </row>
    <row r="334" spans="1:20">
      <c r="A334" s="335">
        <v>93191</v>
      </c>
      <c r="B334" s="328" t="s">
        <v>1020</v>
      </c>
      <c r="C334" s="239">
        <v>2.34E-5</v>
      </c>
      <c r="D334" s="239">
        <v>2.2500000000000001E-5</v>
      </c>
      <c r="E334" s="329">
        <v>63904</v>
      </c>
      <c r="F334" s="329"/>
      <c r="G334" s="329">
        <v>10942</v>
      </c>
      <c r="H334" s="329">
        <v>1559</v>
      </c>
      <c r="I334" s="329">
        <v>10415</v>
      </c>
      <c r="J334" s="329">
        <v>7490</v>
      </c>
      <c r="K334" s="329">
        <v>30406</v>
      </c>
      <c r="L334" s="329"/>
      <c r="M334" s="329">
        <v>0</v>
      </c>
      <c r="N334" s="329">
        <v>0</v>
      </c>
      <c r="O334" s="329">
        <v>897</v>
      </c>
      <c r="P334" s="329">
        <v>897</v>
      </c>
      <c r="Q334" s="329"/>
      <c r="R334" s="329">
        <v>28466</v>
      </c>
      <c r="S334" s="329">
        <v>2375</v>
      </c>
      <c r="T334" s="329">
        <v>30841</v>
      </c>
    </row>
    <row r="335" spans="1:20">
      <c r="A335" s="335">
        <v>93201</v>
      </c>
      <c r="B335" s="328" t="s">
        <v>1021</v>
      </c>
      <c r="C335" s="239">
        <v>1.5197799999999999E-2</v>
      </c>
      <c r="D335" s="239">
        <v>1.5763099999999999E-2</v>
      </c>
      <c r="E335" s="329">
        <v>41504006</v>
      </c>
      <c r="F335" s="329"/>
      <c r="G335" s="329">
        <v>7106537</v>
      </c>
      <c r="H335" s="329">
        <v>1012341</v>
      </c>
      <c r="I335" s="329">
        <v>6764465</v>
      </c>
      <c r="J335" s="329">
        <v>274846</v>
      </c>
      <c r="K335" s="329">
        <v>15158189</v>
      </c>
      <c r="L335" s="329"/>
      <c r="M335" s="329">
        <v>0</v>
      </c>
      <c r="N335" s="329">
        <v>0</v>
      </c>
      <c r="O335" s="329">
        <v>451750</v>
      </c>
      <c r="P335" s="329">
        <v>451750</v>
      </c>
      <c r="Q335" s="329"/>
      <c r="R335" s="329">
        <v>18488321</v>
      </c>
      <c r="S335" s="329">
        <v>183653</v>
      </c>
      <c r="T335" s="329">
        <v>18671974</v>
      </c>
    </row>
    <row r="336" spans="1:20">
      <c r="A336" s="335">
        <v>93204</v>
      </c>
      <c r="B336" s="328" t="s">
        <v>1023</v>
      </c>
      <c r="C336" s="239">
        <v>2.9710000000000001E-4</v>
      </c>
      <c r="D336" s="239">
        <v>3.28E-4</v>
      </c>
      <c r="E336" s="329">
        <v>811357</v>
      </c>
      <c r="F336" s="329"/>
      <c r="G336" s="329">
        <v>138925</v>
      </c>
      <c r="H336" s="329">
        <v>19791</v>
      </c>
      <c r="I336" s="329">
        <v>132238</v>
      </c>
      <c r="J336" s="329">
        <v>29186</v>
      </c>
      <c r="K336" s="329">
        <v>320140</v>
      </c>
      <c r="L336" s="329"/>
      <c r="M336" s="329">
        <v>0</v>
      </c>
      <c r="N336" s="329">
        <v>0</v>
      </c>
      <c r="O336" s="329">
        <v>10100</v>
      </c>
      <c r="P336" s="329">
        <v>10100</v>
      </c>
      <c r="Q336" s="329"/>
      <c r="R336" s="329">
        <v>361426</v>
      </c>
      <c r="S336" s="329">
        <v>9389</v>
      </c>
      <c r="T336" s="329">
        <v>370815</v>
      </c>
    </row>
    <row r="337" spans="1:20">
      <c r="A337" s="335">
        <v>93209</v>
      </c>
      <c r="B337" s="328" t="s">
        <v>1024</v>
      </c>
      <c r="C337" s="239">
        <v>5.5938000000000003E-3</v>
      </c>
      <c r="D337" s="239">
        <v>5.1598E-3</v>
      </c>
      <c r="E337" s="329">
        <v>15276231</v>
      </c>
      <c r="F337" s="329"/>
      <c r="G337" s="329">
        <v>2615678</v>
      </c>
      <c r="H337" s="329">
        <v>372609</v>
      </c>
      <c r="I337" s="329">
        <v>2489772</v>
      </c>
      <c r="J337" s="329">
        <v>360929</v>
      </c>
      <c r="K337" s="329">
        <v>5838988</v>
      </c>
      <c r="L337" s="329"/>
      <c r="M337" s="329">
        <v>0</v>
      </c>
      <c r="N337" s="329">
        <v>0</v>
      </c>
      <c r="O337" s="329">
        <v>0</v>
      </c>
      <c r="P337" s="329">
        <v>0</v>
      </c>
      <c r="Q337" s="329"/>
      <c r="R337" s="329">
        <v>6804930</v>
      </c>
      <c r="S337" s="329">
        <v>243537</v>
      </c>
      <c r="T337" s="329">
        <v>7048467</v>
      </c>
    </row>
    <row r="338" spans="1:20">
      <c r="A338" s="335">
        <v>93211</v>
      </c>
      <c r="B338" s="328" t="s">
        <v>1025</v>
      </c>
      <c r="C338" s="239">
        <v>2.16165E-2</v>
      </c>
      <c r="D338" s="239">
        <v>2.1090299999999999E-2</v>
      </c>
      <c r="E338" s="329">
        <v>59032975</v>
      </c>
      <c r="F338" s="329"/>
      <c r="G338" s="329">
        <v>10107940</v>
      </c>
      <c r="H338" s="329">
        <v>1439897</v>
      </c>
      <c r="I338" s="329">
        <v>9621396</v>
      </c>
      <c r="J338" s="329">
        <v>782085</v>
      </c>
      <c r="K338" s="329">
        <v>21951318</v>
      </c>
      <c r="L338" s="329"/>
      <c r="M338" s="329">
        <v>0</v>
      </c>
      <c r="N338" s="329">
        <v>0</v>
      </c>
      <c r="O338" s="329">
        <v>193585</v>
      </c>
      <c r="P338" s="329">
        <v>193585</v>
      </c>
      <c r="Q338" s="329"/>
      <c r="R338" s="329">
        <v>26296753</v>
      </c>
      <c r="S338" s="329">
        <v>-70449</v>
      </c>
      <c r="T338" s="329">
        <v>26226304</v>
      </c>
    </row>
    <row r="339" spans="1:20">
      <c r="A339" s="335">
        <v>93212</v>
      </c>
      <c r="B339" s="328" t="s">
        <v>3691</v>
      </c>
      <c r="C339" s="239">
        <v>2.3910000000000001E-4</v>
      </c>
      <c r="D339" s="239">
        <v>2.7540000000000003E-4</v>
      </c>
      <c r="E339" s="329">
        <v>652963</v>
      </c>
      <c r="F339" s="329"/>
      <c r="G339" s="329">
        <v>111804</v>
      </c>
      <c r="H339" s="329">
        <v>15927</v>
      </c>
      <c r="I339" s="329">
        <v>106422</v>
      </c>
      <c r="J339" s="329">
        <v>211180</v>
      </c>
      <c r="K339" s="329">
        <v>445333</v>
      </c>
      <c r="L339" s="329"/>
      <c r="M339" s="329">
        <v>0</v>
      </c>
      <c r="N339" s="329">
        <v>0</v>
      </c>
      <c r="O339" s="329">
        <v>0</v>
      </c>
      <c r="P339" s="329">
        <v>0</v>
      </c>
      <c r="Q339" s="329"/>
      <c r="R339" s="329">
        <v>290868</v>
      </c>
      <c r="S339" s="329">
        <v>95368</v>
      </c>
      <c r="T339" s="329">
        <v>386236</v>
      </c>
    </row>
    <row r="340" spans="1:20" ht="14.25" customHeight="1">
      <c r="A340" s="335">
        <v>93219</v>
      </c>
      <c r="B340" s="328" t="s">
        <v>1027</v>
      </c>
      <c r="C340" s="239">
        <v>2.6229999999999998E-4</v>
      </c>
      <c r="D340" s="239">
        <v>2.5329999999999998E-4</v>
      </c>
      <c r="E340" s="329">
        <v>716321</v>
      </c>
      <c r="F340" s="329"/>
      <c r="G340" s="329">
        <v>122652</v>
      </c>
      <c r="H340" s="329">
        <v>17472</v>
      </c>
      <c r="I340" s="329">
        <v>116748</v>
      </c>
      <c r="J340" s="329">
        <v>26604</v>
      </c>
      <c r="K340" s="329">
        <v>283476</v>
      </c>
      <c r="L340" s="329"/>
      <c r="M340" s="329">
        <v>0</v>
      </c>
      <c r="N340" s="329">
        <v>0</v>
      </c>
      <c r="O340" s="329">
        <v>2871</v>
      </c>
      <c r="P340" s="329">
        <v>2871</v>
      </c>
      <c r="Q340" s="329"/>
      <c r="R340" s="329">
        <v>319091</v>
      </c>
      <c r="S340" s="329">
        <v>5110</v>
      </c>
      <c r="T340" s="329">
        <v>324201</v>
      </c>
    </row>
    <row r="341" spans="1:20">
      <c r="A341" s="335">
        <v>93301</v>
      </c>
      <c r="B341" s="328" t="s">
        <v>1028</v>
      </c>
      <c r="C341" s="239">
        <v>2.2057999999999999E-3</v>
      </c>
      <c r="D341" s="239">
        <v>2.3299000000000002E-3</v>
      </c>
      <c r="E341" s="329">
        <v>6023868</v>
      </c>
      <c r="F341" s="329"/>
      <c r="G341" s="329">
        <v>1031439</v>
      </c>
      <c r="H341" s="329">
        <v>146931</v>
      </c>
      <c r="I341" s="329">
        <v>981791</v>
      </c>
      <c r="J341" s="329">
        <v>14244</v>
      </c>
      <c r="K341" s="329">
        <v>2174405</v>
      </c>
      <c r="L341" s="329"/>
      <c r="M341" s="329">
        <v>0</v>
      </c>
      <c r="N341" s="329">
        <v>0</v>
      </c>
      <c r="O341" s="329">
        <v>198450</v>
      </c>
      <c r="P341" s="329">
        <v>198450</v>
      </c>
      <c r="Q341" s="329"/>
      <c r="R341" s="329">
        <v>2683384</v>
      </c>
      <c r="S341" s="329">
        <v>-63081</v>
      </c>
      <c r="T341" s="329">
        <v>2620303</v>
      </c>
    </row>
    <row r="342" spans="1:20">
      <c r="A342" s="335">
        <v>93304</v>
      </c>
      <c r="B342" s="328" t="s">
        <v>1029</v>
      </c>
      <c r="C342" s="239">
        <v>3.9400000000000002E-5</v>
      </c>
      <c r="D342" s="239">
        <v>3.3399999999999999E-5</v>
      </c>
      <c r="E342" s="329">
        <v>107598</v>
      </c>
      <c r="F342" s="329"/>
      <c r="G342" s="329">
        <v>18424</v>
      </c>
      <c r="H342" s="329">
        <v>2625</v>
      </c>
      <c r="I342" s="329">
        <v>17537</v>
      </c>
      <c r="J342" s="329">
        <v>12577</v>
      </c>
      <c r="K342" s="329">
        <v>51163</v>
      </c>
      <c r="L342" s="329"/>
      <c r="M342" s="329">
        <v>0</v>
      </c>
      <c r="N342" s="329">
        <v>0</v>
      </c>
      <c r="O342" s="329">
        <v>0</v>
      </c>
      <c r="P342" s="329">
        <v>0</v>
      </c>
      <c r="Q342" s="329"/>
      <c r="R342" s="329">
        <v>47931</v>
      </c>
      <c r="S342" s="329">
        <v>6702</v>
      </c>
      <c r="T342" s="329">
        <v>54633</v>
      </c>
    </row>
    <row r="343" spans="1:20">
      <c r="A343" s="335">
        <v>93305</v>
      </c>
      <c r="B343" s="328" t="s">
        <v>1030</v>
      </c>
      <c r="C343" s="239">
        <v>4.0299999999999997E-5</v>
      </c>
      <c r="D343" s="239">
        <v>4.4799999999999998E-5</v>
      </c>
      <c r="E343" s="329">
        <v>110056</v>
      </c>
      <c r="F343" s="329"/>
      <c r="G343" s="329">
        <v>18844</v>
      </c>
      <c r="H343" s="329">
        <v>2684</v>
      </c>
      <c r="I343" s="329">
        <v>17937</v>
      </c>
      <c r="J343" s="329">
        <v>0</v>
      </c>
      <c r="K343" s="329">
        <v>39465</v>
      </c>
      <c r="L343" s="329"/>
      <c r="M343" s="329">
        <v>0</v>
      </c>
      <c r="N343" s="329">
        <v>0</v>
      </c>
      <c r="O343" s="329">
        <v>7864</v>
      </c>
      <c r="P343" s="329">
        <v>7864</v>
      </c>
      <c r="Q343" s="329"/>
      <c r="R343" s="329">
        <v>49025</v>
      </c>
      <c r="S343" s="329">
        <v>-3114</v>
      </c>
      <c r="T343" s="329">
        <v>45911</v>
      </c>
    </row>
    <row r="344" spans="1:20">
      <c r="A344" s="335">
        <v>93309</v>
      </c>
      <c r="B344" s="328" t="s">
        <v>1031</v>
      </c>
      <c r="C344" s="239">
        <v>1.6239999999999999E-4</v>
      </c>
      <c r="D344" s="239">
        <v>1.6430000000000001E-4</v>
      </c>
      <c r="E344" s="329">
        <v>443502</v>
      </c>
      <c r="F344" s="329"/>
      <c r="G344" s="329">
        <v>75939</v>
      </c>
      <c r="H344" s="329">
        <v>10818</v>
      </c>
      <c r="I344" s="329">
        <v>72283</v>
      </c>
      <c r="J344" s="329">
        <v>30381</v>
      </c>
      <c r="K344" s="329">
        <v>189421</v>
      </c>
      <c r="L344" s="329"/>
      <c r="M344" s="329">
        <v>0</v>
      </c>
      <c r="N344" s="329">
        <v>0</v>
      </c>
      <c r="O344" s="329">
        <v>0</v>
      </c>
      <c r="P344" s="329">
        <v>0</v>
      </c>
      <c r="Q344" s="329"/>
      <c r="R344" s="329">
        <v>197562</v>
      </c>
      <c r="S344" s="329">
        <v>14679</v>
      </c>
      <c r="T344" s="329">
        <v>212241</v>
      </c>
    </row>
    <row r="345" spans="1:20">
      <c r="A345" s="335">
        <v>93311</v>
      </c>
      <c r="B345" s="328" t="s">
        <v>1032</v>
      </c>
      <c r="C345" s="239">
        <v>1.2413999999999999E-3</v>
      </c>
      <c r="D345" s="239">
        <v>1.2439E-3</v>
      </c>
      <c r="E345" s="329">
        <v>3390167</v>
      </c>
      <c r="F345" s="329"/>
      <c r="G345" s="329">
        <v>580482</v>
      </c>
      <c r="H345" s="329">
        <v>82690</v>
      </c>
      <c r="I345" s="329">
        <v>552541</v>
      </c>
      <c r="J345" s="329">
        <v>16973</v>
      </c>
      <c r="K345" s="329">
        <v>1232686</v>
      </c>
      <c r="L345" s="329"/>
      <c r="M345" s="329">
        <v>0</v>
      </c>
      <c r="N345" s="329">
        <v>0</v>
      </c>
      <c r="O345" s="329">
        <v>75260</v>
      </c>
      <c r="P345" s="329">
        <v>75260</v>
      </c>
      <c r="Q345" s="329"/>
      <c r="R345" s="329">
        <v>1510179</v>
      </c>
      <c r="S345" s="329">
        <v>-36199</v>
      </c>
      <c r="T345" s="329">
        <v>1473980</v>
      </c>
    </row>
    <row r="346" spans="1:20">
      <c r="A346" s="335">
        <v>93317</v>
      </c>
      <c r="B346" s="328" t="s">
        <v>1033</v>
      </c>
      <c r="C346" s="239">
        <v>4.1199999999999999E-5</v>
      </c>
      <c r="D346" s="239">
        <v>4.8300000000000002E-5</v>
      </c>
      <c r="E346" s="329">
        <v>112514</v>
      </c>
      <c r="F346" s="329"/>
      <c r="G346" s="329">
        <v>19265</v>
      </c>
      <c r="H346" s="329">
        <v>2745</v>
      </c>
      <c r="I346" s="329">
        <v>18338</v>
      </c>
      <c r="J346" s="329">
        <v>298</v>
      </c>
      <c r="K346" s="329">
        <v>40646</v>
      </c>
      <c r="L346" s="329"/>
      <c r="M346" s="329">
        <v>0</v>
      </c>
      <c r="N346" s="329">
        <v>0</v>
      </c>
      <c r="O346" s="329">
        <v>6200</v>
      </c>
      <c r="P346" s="329">
        <v>6200</v>
      </c>
      <c r="Q346" s="329"/>
      <c r="R346" s="329">
        <v>50120</v>
      </c>
      <c r="S346" s="329">
        <v>-1471</v>
      </c>
      <c r="T346" s="329">
        <v>48649</v>
      </c>
    </row>
    <row r="347" spans="1:20">
      <c r="A347" s="335">
        <v>93321</v>
      </c>
      <c r="B347" s="328" t="s">
        <v>1034</v>
      </c>
      <c r="C347" s="239">
        <v>6.7971999999999998E-3</v>
      </c>
      <c r="D347" s="239">
        <v>7.0657000000000003E-3</v>
      </c>
      <c r="E347" s="329">
        <v>18562623</v>
      </c>
      <c r="F347" s="329"/>
      <c r="G347" s="329">
        <v>3178391</v>
      </c>
      <c r="H347" s="329">
        <v>452768</v>
      </c>
      <c r="I347" s="329">
        <v>3025400</v>
      </c>
      <c r="J347" s="329">
        <v>0</v>
      </c>
      <c r="K347" s="329">
        <v>6656559</v>
      </c>
      <c r="L347" s="329"/>
      <c r="M347" s="329">
        <v>0</v>
      </c>
      <c r="N347" s="329">
        <v>0</v>
      </c>
      <c r="O347" s="329">
        <v>639533</v>
      </c>
      <c r="P347" s="329">
        <v>639533</v>
      </c>
      <c r="Q347" s="329"/>
      <c r="R347" s="329">
        <v>8268882</v>
      </c>
      <c r="S347" s="329">
        <v>-310057</v>
      </c>
      <c r="T347" s="329">
        <v>7958825</v>
      </c>
    </row>
    <row r="348" spans="1:20">
      <c r="A348" s="335">
        <v>93323</v>
      </c>
      <c r="B348" s="328" t="s">
        <v>1035</v>
      </c>
      <c r="C348" s="239">
        <v>2.0100000000000001E-5</v>
      </c>
      <c r="D348" s="239">
        <v>1.9300000000000002E-5</v>
      </c>
      <c r="E348" s="329">
        <v>54892</v>
      </c>
      <c r="F348" s="329"/>
      <c r="G348" s="329">
        <v>9399</v>
      </c>
      <c r="H348" s="329">
        <v>1339</v>
      </c>
      <c r="I348" s="329">
        <v>8946</v>
      </c>
      <c r="J348" s="329">
        <v>3470</v>
      </c>
      <c r="K348" s="329">
        <v>23154</v>
      </c>
      <c r="L348" s="329"/>
      <c r="M348" s="329">
        <v>0</v>
      </c>
      <c r="N348" s="329">
        <v>0</v>
      </c>
      <c r="O348" s="329">
        <v>2394</v>
      </c>
      <c r="P348" s="329">
        <v>2394</v>
      </c>
      <c r="Q348" s="329"/>
      <c r="R348" s="329">
        <v>24452</v>
      </c>
      <c r="S348" s="329">
        <v>1221</v>
      </c>
      <c r="T348" s="329">
        <v>25673</v>
      </c>
    </row>
    <row r="349" spans="1:20">
      <c r="A349" s="335">
        <v>93331</v>
      </c>
      <c r="B349" s="328" t="s">
        <v>1036</v>
      </c>
      <c r="C349" s="239">
        <v>1.161E-4</v>
      </c>
      <c r="D349" s="239">
        <v>1.22E-4</v>
      </c>
      <c r="E349" s="329">
        <v>317060</v>
      </c>
      <c r="F349" s="329"/>
      <c r="G349" s="329">
        <v>54289</v>
      </c>
      <c r="H349" s="329">
        <v>7734</v>
      </c>
      <c r="I349" s="329">
        <v>51676</v>
      </c>
      <c r="J349" s="329">
        <v>4145</v>
      </c>
      <c r="K349" s="329">
        <v>117844</v>
      </c>
      <c r="L349" s="329"/>
      <c r="M349" s="329">
        <v>0</v>
      </c>
      <c r="N349" s="329">
        <v>0</v>
      </c>
      <c r="O349" s="329">
        <v>9293</v>
      </c>
      <c r="P349" s="329">
        <v>9293</v>
      </c>
      <c r="Q349" s="329"/>
      <c r="R349" s="329">
        <v>141237</v>
      </c>
      <c r="S349" s="329">
        <v>-4173</v>
      </c>
      <c r="T349" s="329">
        <v>137064</v>
      </c>
    </row>
    <row r="350" spans="1:20">
      <c r="A350" s="335">
        <v>93333</v>
      </c>
      <c r="B350" s="328" t="s">
        <v>3692</v>
      </c>
      <c r="C350" s="239">
        <v>1.6660000000000001E-4</v>
      </c>
      <c r="D350" s="239">
        <v>1.685E-4</v>
      </c>
      <c r="E350" s="329">
        <v>454972</v>
      </c>
      <c r="F350" s="329"/>
      <c r="G350" s="329">
        <v>77903</v>
      </c>
      <c r="H350" s="329">
        <v>11097</v>
      </c>
      <c r="I350" s="329">
        <v>74153</v>
      </c>
      <c r="J350" s="329">
        <v>92551</v>
      </c>
      <c r="K350" s="329">
        <v>255704</v>
      </c>
      <c r="L350" s="329"/>
      <c r="M350" s="329">
        <v>0</v>
      </c>
      <c r="N350" s="329">
        <v>0</v>
      </c>
      <c r="O350" s="329">
        <v>0</v>
      </c>
      <c r="P350" s="329">
        <v>0</v>
      </c>
      <c r="Q350" s="329"/>
      <c r="R350" s="329">
        <v>202671</v>
      </c>
      <c r="S350" s="329">
        <v>74125</v>
      </c>
      <c r="T350" s="329">
        <v>276796</v>
      </c>
    </row>
    <row r="351" spans="1:20">
      <c r="A351" s="335">
        <v>93341</v>
      </c>
      <c r="B351" s="328" t="s">
        <v>1038</v>
      </c>
      <c r="C351" s="239">
        <v>2.9300000000000001E-5</v>
      </c>
      <c r="D351" s="239">
        <v>2.7500000000000001E-5</v>
      </c>
      <c r="E351" s="329">
        <v>80016</v>
      </c>
      <c r="F351" s="329"/>
      <c r="G351" s="329">
        <v>13701</v>
      </c>
      <c r="H351" s="329">
        <v>1952</v>
      </c>
      <c r="I351" s="329">
        <v>13041</v>
      </c>
      <c r="J351" s="329">
        <v>5043</v>
      </c>
      <c r="K351" s="329">
        <v>33737</v>
      </c>
      <c r="L351" s="329"/>
      <c r="M351" s="329">
        <v>0</v>
      </c>
      <c r="N351" s="329">
        <v>0</v>
      </c>
      <c r="O351" s="329">
        <v>431</v>
      </c>
      <c r="P351" s="329">
        <v>431</v>
      </c>
      <c r="Q351" s="329"/>
      <c r="R351" s="329">
        <v>35644</v>
      </c>
      <c r="S351" s="329">
        <v>1757</v>
      </c>
      <c r="T351" s="329">
        <v>37401</v>
      </c>
    </row>
    <row r="352" spans="1:20">
      <c r="A352" s="335">
        <v>93351</v>
      </c>
      <c r="B352" s="328" t="s">
        <v>1039</v>
      </c>
      <c r="C352" s="239">
        <v>3.1600000000000002E-5</v>
      </c>
      <c r="D352" s="239">
        <v>1.7600000000000001E-5</v>
      </c>
      <c r="E352" s="329">
        <v>86297</v>
      </c>
      <c r="F352" s="329"/>
      <c r="G352" s="329">
        <v>14776</v>
      </c>
      <c r="H352" s="329">
        <v>2105</v>
      </c>
      <c r="I352" s="329">
        <v>14065</v>
      </c>
      <c r="J352" s="329">
        <v>14630</v>
      </c>
      <c r="K352" s="329">
        <v>45576</v>
      </c>
      <c r="L352" s="329"/>
      <c r="M352" s="329">
        <v>0</v>
      </c>
      <c r="N352" s="329">
        <v>0</v>
      </c>
      <c r="O352" s="329">
        <v>8040</v>
      </c>
      <c r="P352" s="329">
        <v>8040</v>
      </c>
      <c r="Q352" s="329"/>
      <c r="R352" s="329">
        <v>38442</v>
      </c>
      <c r="S352" s="329">
        <v>2526</v>
      </c>
      <c r="T352" s="329">
        <v>40968</v>
      </c>
    </row>
    <row r="353" spans="1:20">
      <c r="A353" s="335">
        <v>93401</v>
      </c>
      <c r="B353" s="328" t="s">
        <v>1040</v>
      </c>
      <c r="C353" s="239">
        <v>1.3690799999999999E-2</v>
      </c>
      <c r="D353" s="239">
        <v>1.40187E-2</v>
      </c>
      <c r="E353" s="329">
        <v>37388507</v>
      </c>
      <c r="F353" s="329"/>
      <c r="G353" s="329">
        <v>6401859</v>
      </c>
      <c r="H353" s="329">
        <v>911958</v>
      </c>
      <c r="I353" s="329">
        <v>6093707</v>
      </c>
      <c r="J353" s="329">
        <v>108458</v>
      </c>
      <c r="K353" s="329">
        <v>13515982</v>
      </c>
      <c r="L353" s="329"/>
      <c r="M353" s="329">
        <v>0</v>
      </c>
      <c r="N353" s="329">
        <v>0</v>
      </c>
      <c r="O353" s="329">
        <v>300663</v>
      </c>
      <c r="P353" s="329">
        <v>300663</v>
      </c>
      <c r="Q353" s="329"/>
      <c r="R353" s="329">
        <v>16655036</v>
      </c>
      <c r="S353" s="329">
        <v>-31172</v>
      </c>
      <c r="T353" s="329">
        <v>16623864</v>
      </c>
    </row>
    <row r="354" spans="1:20">
      <c r="A354" s="335">
        <v>93406</v>
      </c>
      <c r="B354" s="328" t="s">
        <v>1042</v>
      </c>
      <c r="C354" s="239">
        <v>4.9350000000000002E-4</v>
      </c>
      <c r="D354" s="239">
        <v>5.0830000000000005E-4</v>
      </c>
      <c r="E354" s="329">
        <v>1347710</v>
      </c>
      <c r="F354" s="329"/>
      <c r="G354" s="329">
        <v>230762</v>
      </c>
      <c r="H354" s="329">
        <v>32872</v>
      </c>
      <c r="I354" s="329">
        <v>219654</v>
      </c>
      <c r="J354" s="329">
        <v>5026</v>
      </c>
      <c r="K354" s="329">
        <v>488314</v>
      </c>
      <c r="L354" s="329"/>
      <c r="M354" s="329">
        <v>0</v>
      </c>
      <c r="N354" s="329">
        <v>0</v>
      </c>
      <c r="O354" s="329">
        <v>94368</v>
      </c>
      <c r="P354" s="329">
        <v>94368</v>
      </c>
      <c r="Q354" s="329"/>
      <c r="R354" s="329">
        <v>600349</v>
      </c>
      <c r="S354" s="329">
        <v>-28939</v>
      </c>
      <c r="T354" s="329">
        <v>571410</v>
      </c>
    </row>
    <row r="355" spans="1:20">
      <c r="A355" s="335">
        <v>93411</v>
      </c>
      <c r="B355" s="328" t="s">
        <v>1044</v>
      </c>
      <c r="C355" s="239">
        <v>1.77345E-2</v>
      </c>
      <c r="D355" s="239">
        <v>1.8113199999999999E-2</v>
      </c>
      <c r="E355" s="329">
        <v>48431536</v>
      </c>
      <c r="F355" s="329"/>
      <c r="G355" s="329">
        <v>8292705</v>
      </c>
      <c r="H355" s="329">
        <v>1181312</v>
      </c>
      <c r="I355" s="329">
        <v>7893537</v>
      </c>
      <c r="J355" s="329">
        <v>539076</v>
      </c>
      <c r="K355" s="329">
        <v>17906630</v>
      </c>
      <c r="L355" s="329"/>
      <c r="M355" s="329">
        <v>0</v>
      </c>
      <c r="N355" s="329">
        <v>0</v>
      </c>
      <c r="O355" s="329">
        <v>354327</v>
      </c>
      <c r="P355" s="329">
        <v>354327</v>
      </c>
      <c r="Q355" s="329"/>
      <c r="R355" s="329">
        <v>21574250</v>
      </c>
      <c r="S355" s="329">
        <v>-1063</v>
      </c>
      <c r="T355" s="329">
        <v>21573187</v>
      </c>
    </row>
    <row r="356" spans="1:20">
      <c r="A356" s="335">
        <v>93413</v>
      </c>
      <c r="B356" s="328" t="s">
        <v>1045</v>
      </c>
      <c r="C356" s="239">
        <v>6.9559999999999999E-4</v>
      </c>
      <c r="D356" s="239">
        <v>7.1969999999999998E-4</v>
      </c>
      <c r="E356" s="329">
        <v>1899629</v>
      </c>
      <c r="F356" s="329"/>
      <c r="G356" s="329">
        <v>325265</v>
      </c>
      <c r="H356" s="329">
        <v>46335</v>
      </c>
      <c r="I356" s="329">
        <v>309608</v>
      </c>
      <c r="J356" s="329">
        <v>1582</v>
      </c>
      <c r="K356" s="329">
        <v>682790</v>
      </c>
      <c r="L356" s="329"/>
      <c r="M356" s="329">
        <v>0</v>
      </c>
      <c r="N356" s="329">
        <v>0</v>
      </c>
      <c r="O356" s="329">
        <v>15616</v>
      </c>
      <c r="P356" s="329">
        <v>15616</v>
      </c>
      <c r="Q356" s="329"/>
      <c r="R356" s="329">
        <v>846206</v>
      </c>
      <c r="S356" s="329">
        <v>-16276</v>
      </c>
      <c r="T356" s="329">
        <v>829930</v>
      </c>
    </row>
    <row r="357" spans="1:20">
      <c r="A357" s="335">
        <v>93417</v>
      </c>
      <c r="B357" s="328" t="s">
        <v>1046</v>
      </c>
      <c r="C357" s="239">
        <v>2.8659999999999997E-4</v>
      </c>
      <c r="D357" s="239">
        <v>3.279E-4</v>
      </c>
      <c r="E357" s="329">
        <v>782682</v>
      </c>
      <c r="F357" s="329"/>
      <c r="G357" s="329">
        <v>134015</v>
      </c>
      <c r="H357" s="329">
        <v>19091</v>
      </c>
      <c r="I357" s="329">
        <v>127564</v>
      </c>
      <c r="J357" s="329">
        <v>7532</v>
      </c>
      <c r="K357" s="329">
        <v>288202</v>
      </c>
      <c r="L357" s="329"/>
      <c r="M357" s="329">
        <v>0</v>
      </c>
      <c r="N357" s="329">
        <v>0</v>
      </c>
      <c r="O357" s="329">
        <v>19596</v>
      </c>
      <c r="P357" s="329">
        <v>19596</v>
      </c>
      <c r="Q357" s="329"/>
      <c r="R357" s="329">
        <v>348653</v>
      </c>
      <c r="S357" s="329">
        <v>-5676</v>
      </c>
      <c r="T357" s="329">
        <v>342977</v>
      </c>
    </row>
    <row r="358" spans="1:20">
      <c r="A358" s="335">
        <v>93421</v>
      </c>
      <c r="B358" s="328" t="s">
        <v>1047</v>
      </c>
      <c r="C358" s="239">
        <v>2.0569E-3</v>
      </c>
      <c r="D358" s="239">
        <v>2.1354999999999998E-3</v>
      </c>
      <c r="E358" s="329">
        <v>5617233</v>
      </c>
      <c r="F358" s="329"/>
      <c r="G358" s="329">
        <v>961813</v>
      </c>
      <c r="H358" s="329">
        <v>137013</v>
      </c>
      <c r="I358" s="329">
        <v>915516</v>
      </c>
      <c r="J358" s="329">
        <v>0</v>
      </c>
      <c r="K358" s="329">
        <v>2014342</v>
      </c>
      <c r="L358" s="329"/>
      <c r="M358" s="329">
        <v>0</v>
      </c>
      <c r="N358" s="329">
        <v>0</v>
      </c>
      <c r="O358" s="329">
        <v>251030</v>
      </c>
      <c r="P358" s="329">
        <v>251030</v>
      </c>
      <c r="Q358" s="329"/>
      <c r="R358" s="329">
        <v>2502246</v>
      </c>
      <c r="S358" s="329">
        <v>-124004</v>
      </c>
      <c r="T358" s="329">
        <v>2378242</v>
      </c>
    </row>
    <row r="359" spans="1:20">
      <c r="A359" s="335">
        <v>93431</v>
      </c>
      <c r="B359" s="328" t="s">
        <v>1048</v>
      </c>
      <c r="C359" s="239">
        <v>1.381E-4</v>
      </c>
      <c r="D359" s="239">
        <v>1.393E-4</v>
      </c>
      <c r="E359" s="329">
        <v>377140</v>
      </c>
      <c r="F359" s="329"/>
      <c r="G359" s="329">
        <v>64576</v>
      </c>
      <c r="H359" s="329">
        <v>9199</v>
      </c>
      <c r="I359" s="329">
        <v>61468</v>
      </c>
      <c r="J359" s="329">
        <v>12502</v>
      </c>
      <c r="K359" s="329">
        <v>147745</v>
      </c>
      <c r="L359" s="329"/>
      <c r="M359" s="329">
        <v>0</v>
      </c>
      <c r="N359" s="329">
        <v>0</v>
      </c>
      <c r="O359" s="329">
        <v>1935</v>
      </c>
      <c r="P359" s="329">
        <v>1935</v>
      </c>
      <c r="Q359" s="329"/>
      <c r="R359" s="329">
        <v>168000</v>
      </c>
      <c r="S359" s="329">
        <v>3038</v>
      </c>
      <c r="T359" s="329">
        <v>171038</v>
      </c>
    </row>
    <row r="360" spans="1:20">
      <c r="A360" s="335">
        <v>93441</v>
      </c>
      <c r="B360" s="328" t="s">
        <v>1049</v>
      </c>
      <c r="C360" s="239">
        <v>1.6559999999999999E-4</v>
      </c>
      <c r="D360" s="239">
        <v>1.651E-4</v>
      </c>
      <c r="E360" s="329">
        <v>452241</v>
      </c>
      <c r="F360" s="329"/>
      <c r="G360" s="329">
        <v>77435</v>
      </c>
      <c r="H360" s="329">
        <v>11031</v>
      </c>
      <c r="I360" s="329">
        <v>73708</v>
      </c>
      <c r="J360" s="329">
        <v>12655</v>
      </c>
      <c r="K360" s="329">
        <v>174829</v>
      </c>
      <c r="L360" s="329"/>
      <c r="M360" s="329">
        <v>0</v>
      </c>
      <c r="N360" s="329">
        <v>0</v>
      </c>
      <c r="O360" s="329">
        <v>4085</v>
      </c>
      <c r="P360" s="329">
        <v>4085</v>
      </c>
      <c r="Q360" s="329"/>
      <c r="R360" s="329">
        <v>201455</v>
      </c>
      <c r="S360" s="329">
        <v>8286</v>
      </c>
      <c r="T360" s="329">
        <v>209741</v>
      </c>
    </row>
    <row r="361" spans="1:20">
      <c r="A361" s="335">
        <v>93442</v>
      </c>
      <c r="B361" s="328" t="s">
        <v>1050</v>
      </c>
      <c r="C361" s="239">
        <v>1.561E-4</v>
      </c>
      <c r="D361" s="239">
        <v>1.5139999999999999E-4</v>
      </c>
      <c r="E361" s="329">
        <v>426297</v>
      </c>
      <c r="F361" s="329"/>
      <c r="G361" s="329">
        <v>72993</v>
      </c>
      <c r="H361" s="329">
        <v>10398</v>
      </c>
      <c r="I361" s="329">
        <v>69479</v>
      </c>
      <c r="J361" s="329">
        <v>428</v>
      </c>
      <c r="K361" s="329">
        <v>153298</v>
      </c>
      <c r="L361" s="329"/>
      <c r="M361" s="329">
        <v>0</v>
      </c>
      <c r="N361" s="329">
        <v>0</v>
      </c>
      <c r="O361" s="329">
        <v>15809</v>
      </c>
      <c r="P361" s="329">
        <v>15809</v>
      </c>
      <c r="Q361" s="329"/>
      <c r="R361" s="329">
        <v>189898</v>
      </c>
      <c r="S361" s="329">
        <v>-7256</v>
      </c>
      <c r="T361" s="329">
        <v>182642</v>
      </c>
    </row>
    <row r="362" spans="1:20">
      <c r="A362" s="335">
        <v>93451</v>
      </c>
      <c r="B362" s="328" t="s">
        <v>1051</v>
      </c>
      <c r="C362" s="239">
        <v>6.6600000000000006E-5</v>
      </c>
      <c r="D362" s="239">
        <v>7.9599999999999997E-5</v>
      </c>
      <c r="E362" s="329">
        <v>181879</v>
      </c>
      <c r="F362" s="329"/>
      <c r="G362" s="329">
        <v>31142</v>
      </c>
      <c r="H362" s="329">
        <v>4436</v>
      </c>
      <c r="I362" s="329">
        <v>29643</v>
      </c>
      <c r="J362" s="329">
        <v>12253</v>
      </c>
      <c r="K362" s="329">
        <v>77474</v>
      </c>
      <c r="L362" s="329"/>
      <c r="M362" s="329">
        <v>0</v>
      </c>
      <c r="N362" s="329">
        <v>0</v>
      </c>
      <c r="O362" s="329">
        <v>992</v>
      </c>
      <c r="P362" s="329">
        <v>992</v>
      </c>
      <c r="Q362" s="329"/>
      <c r="R362" s="329">
        <v>81020</v>
      </c>
      <c r="S362" s="329">
        <v>8681</v>
      </c>
      <c r="T362" s="329">
        <v>89701</v>
      </c>
    </row>
    <row r="363" spans="1:20">
      <c r="A363" s="335">
        <v>93461</v>
      </c>
      <c r="B363" s="328" t="s">
        <v>1052</v>
      </c>
      <c r="C363" s="239">
        <v>1.5500000000000001E-5</v>
      </c>
      <c r="D363" s="239">
        <v>1.6200000000000001E-5</v>
      </c>
      <c r="E363" s="329">
        <v>42329</v>
      </c>
      <c r="F363" s="329"/>
      <c r="G363" s="329">
        <v>7248</v>
      </c>
      <c r="H363" s="329">
        <v>1033</v>
      </c>
      <c r="I363" s="329">
        <v>6899</v>
      </c>
      <c r="J363" s="329">
        <v>412</v>
      </c>
      <c r="K363" s="329">
        <v>15592</v>
      </c>
      <c r="L363" s="329"/>
      <c r="M363" s="329">
        <v>0</v>
      </c>
      <c r="N363" s="329">
        <v>0</v>
      </c>
      <c r="O363" s="329">
        <v>298</v>
      </c>
      <c r="P363" s="329">
        <v>298</v>
      </c>
      <c r="Q363" s="329"/>
      <c r="R363" s="329">
        <v>18856</v>
      </c>
      <c r="S363" s="329">
        <v>221</v>
      </c>
      <c r="T363" s="329">
        <v>19077</v>
      </c>
    </row>
    <row r="364" spans="1:20">
      <c r="A364" s="335">
        <v>93471</v>
      </c>
      <c r="B364" s="328" t="s">
        <v>1053</v>
      </c>
      <c r="C364" s="239">
        <v>1.1399999999999999E-5</v>
      </c>
      <c r="D364" s="239">
        <v>1.15E-5</v>
      </c>
      <c r="E364" s="329">
        <v>31133</v>
      </c>
      <c r="F364" s="329"/>
      <c r="G364" s="329">
        <v>5331</v>
      </c>
      <c r="H364" s="329">
        <v>759</v>
      </c>
      <c r="I364" s="329">
        <v>5074</v>
      </c>
      <c r="J364" s="329">
        <v>5210</v>
      </c>
      <c r="K364" s="329">
        <v>16374</v>
      </c>
      <c r="L364" s="329"/>
      <c r="M364" s="329">
        <v>0</v>
      </c>
      <c r="N364" s="329">
        <v>0</v>
      </c>
      <c r="O364" s="329">
        <v>0</v>
      </c>
      <c r="P364" s="329">
        <v>0</v>
      </c>
      <c r="Q364" s="329"/>
      <c r="R364" s="329">
        <v>13868</v>
      </c>
      <c r="S364" s="329">
        <v>2235</v>
      </c>
      <c r="T364" s="329">
        <v>16103</v>
      </c>
    </row>
    <row r="365" spans="1:20">
      <c r="A365" s="335">
        <v>93501</v>
      </c>
      <c r="B365" s="328" t="s">
        <v>1054</v>
      </c>
      <c r="C365" s="239">
        <v>3.8463999999999998E-3</v>
      </c>
      <c r="D365" s="239">
        <v>3.6803000000000001E-3</v>
      </c>
      <c r="E365" s="329">
        <v>10504218</v>
      </c>
      <c r="F365" s="329"/>
      <c r="G365" s="329">
        <v>1798588</v>
      </c>
      <c r="H365" s="329">
        <v>256213</v>
      </c>
      <c r="I365" s="329">
        <v>1712013</v>
      </c>
      <c r="J365" s="329">
        <v>194680</v>
      </c>
      <c r="K365" s="329">
        <v>3961494</v>
      </c>
      <c r="L365" s="329"/>
      <c r="M365" s="329">
        <v>0</v>
      </c>
      <c r="N365" s="329">
        <v>0</v>
      </c>
      <c r="O365" s="329">
        <v>17318</v>
      </c>
      <c r="P365" s="329">
        <v>17318</v>
      </c>
      <c r="Q365" s="329"/>
      <c r="R365" s="329">
        <v>4679196</v>
      </c>
      <c r="S365" s="329">
        <v>69106</v>
      </c>
      <c r="T365" s="329">
        <v>4748302</v>
      </c>
    </row>
    <row r="366" spans="1:20">
      <c r="A366" s="335">
        <v>93511</v>
      </c>
      <c r="B366" s="328" t="s">
        <v>1055</v>
      </c>
      <c r="C366" s="239">
        <v>8.7899999999999995E-5</v>
      </c>
      <c r="D366" s="239">
        <v>8.8800000000000004E-5</v>
      </c>
      <c r="E366" s="329">
        <v>240048</v>
      </c>
      <c r="F366" s="329"/>
      <c r="G366" s="329">
        <v>41102</v>
      </c>
      <c r="H366" s="329">
        <v>5855</v>
      </c>
      <c r="I366" s="329">
        <v>39124</v>
      </c>
      <c r="J366" s="329">
        <v>10067</v>
      </c>
      <c r="K366" s="329">
        <v>96148</v>
      </c>
      <c r="L366" s="329"/>
      <c r="M366" s="329">
        <v>0</v>
      </c>
      <c r="N366" s="329">
        <v>0</v>
      </c>
      <c r="O366" s="329">
        <v>3613</v>
      </c>
      <c r="P366" s="329">
        <v>3613</v>
      </c>
      <c r="Q366" s="329"/>
      <c r="R366" s="329">
        <v>106931</v>
      </c>
      <c r="S366" s="329">
        <v>-2023</v>
      </c>
      <c r="T366" s="329">
        <v>104908</v>
      </c>
    </row>
    <row r="367" spans="1:20">
      <c r="A367" s="335">
        <v>93517</v>
      </c>
      <c r="B367" s="328" t="s">
        <v>1056</v>
      </c>
      <c r="C367" s="239">
        <v>4.3000000000000003E-6</v>
      </c>
      <c r="D367" s="239">
        <v>5.0000000000000004E-6</v>
      </c>
      <c r="E367" s="329">
        <v>11743</v>
      </c>
      <c r="F367" s="329"/>
      <c r="G367" s="329">
        <v>2011</v>
      </c>
      <c r="H367" s="329">
        <v>287</v>
      </c>
      <c r="I367" s="329">
        <v>1914</v>
      </c>
      <c r="J367" s="329">
        <v>2957</v>
      </c>
      <c r="K367" s="329">
        <v>7169</v>
      </c>
      <c r="L367" s="329"/>
      <c r="M367" s="329">
        <v>0</v>
      </c>
      <c r="N367" s="329">
        <v>0</v>
      </c>
      <c r="O367" s="329">
        <v>0</v>
      </c>
      <c r="P367" s="329">
        <v>0</v>
      </c>
      <c r="Q367" s="329"/>
      <c r="R367" s="329">
        <v>5231</v>
      </c>
      <c r="S367" s="329">
        <v>1764</v>
      </c>
      <c r="T367" s="329">
        <v>6995</v>
      </c>
    </row>
    <row r="368" spans="1:20">
      <c r="A368" s="335">
        <v>93521</v>
      </c>
      <c r="B368" s="328" t="s">
        <v>1057</v>
      </c>
      <c r="C368" s="239">
        <v>4.7340000000000001E-4</v>
      </c>
      <c r="D368" s="239">
        <v>4.639E-4</v>
      </c>
      <c r="E368" s="329">
        <v>1292818</v>
      </c>
      <c r="F368" s="329"/>
      <c r="G368" s="329">
        <v>221363</v>
      </c>
      <c r="H368" s="329">
        <v>31533</v>
      </c>
      <c r="I368" s="329">
        <v>210708</v>
      </c>
      <c r="J368" s="329">
        <v>15764</v>
      </c>
      <c r="K368" s="329">
        <v>479368</v>
      </c>
      <c r="L368" s="329"/>
      <c r="M368" s="329">
        <v>0</v>
      </c>
      <c r="N368" s="329">
        <v>0</v>
      </c>
      <c r="O368" s="329">
        <v>34512</v>
      </c>
      <c r="P368" s="329">
        <v>34512</v>
      </c>
      <c r="Q368" s="329"/>
      <c r="R368" s="329">
        <v>575897</v>
      </c>
      <c r="S368" s="329">
        <v>-11720</v>
      </c>
      <c r="T368" s="329">
        <v>564177</v>
      </c>
    </row>
    <row r="369" spans="1:20">
      <c r="A369" s="335">
        <v>93527</v>
      </c>
      <c r="B369" s="328" t="s">
        <v>1058</v>
      </c>
      <c r="C369" s="239">
        <v>9.5999999999999996E-6</v>
      </c>
      <c r="D369" s="239">
        <v>1.2799999999999999E-5</v>
      </c>
      <c r="E369" s="329">
        <v>26217</v>
      </c>
      <c r="F369" s="329"/>
      <c r="G369" s="329">
        <v>4489</v>
      </c>
      <c r="H369" s="329">
        <v>640</v>
      </c>
      <c r="I369" s="329">
        <v>4273</v>
      </c>
      <c r="J369" s="329">
        <v>9293</v>
      </c>
      <c r="K369" s="329">
        <v>18695</v>
      </c>
      <c r="L369" s="329"/>
      <c r="M369" s="329">
        <v>0</v>
      </c>
      <c r="N369" s="329">
        <v>0</v>
      </c>
      <c r="O369" s="329">
        <v>0</v>
      </c>
      <c r="P369" s="329">
        <v>0</v>
      </c>
      <c r="Q369" s="329"/>
      <c r="R369" s="329">
        <v>11679</v>
      </c>
      <c r="S369" s="329">
        <v>5581</v>
      </c>
      <c r="T369" s="329">
        <v>17260</v>
      </c>
    </row>
    <row r="370" spans="1:20">
      <c r="A370" s="335">
        <v>93531</v>
      </c>
      <c r="B370" s="328" t="s">
        <v>1059</v>
      </c>
      <c r="C370" s="239">
        <v>2.23E-5</v>
      </c>
      <c r="D370" s="239">
        <v>3.0700000000000001E-5</v>
      </c>
      <c r="E370" s="329">
        <v>60900</v>
      </c>
      <c r="F370" s="329"/>
      <c r="G370" s="329">
        <v>10428</v>
      </c>
      <c r="H370" s="329">
        <v>1485</v>
      </c>
      <c r="I370" s="329">
        <v>9926</v>
      </c>
      <c r="J370" s="329">
        <v>5643</v>
      </c>
      <c r="K370" s="329">
        <v>27482</v>
      </c>
      <c r="L370" s="329"/>
      <c r="M370" s="329">
        <v>0</v>
      </c>
      <c r="N370" s="329">
        <v>0</v>
      </c>
      <c r="O370" s="329">
        <v>6936</v>
      </c>
      <c r="P370" s="329">
        <v>6936</v>
      </c>
      <c r="Q370" s="329"/>
      <c r="R370" s="329">
        <v>27128</v>
      </c>
      <c r="S370" s="329">
        <v>104</v>
      </c>
      <c r="T370" s="329">
        <v>27232</v>
      </c>
    </row>
    <row r="371" spans="1:20">
      <c r="A371" s="335">
        <v>93537</v>
      </c>
      <c r="B371" s="328" t="s">
        <v>1060</v>
      </c>
      <c r="C371" s="239">
        <v>1.08E-5</v>
      </c>
      <c r="D371" s="239">
        <v>1.1E-5</v>
      </c>
      <c r="E371" s="329">
        <v>29494</v>
      </c>
      <c r="F371" s="329"/>
      <c r="G371" s="329">
        <v>5050</v>
      </c>
      <c r="H371" s="329">
        <v>719</v>
      </c>
      <c r="I371" s="329">
        <v>4807</v>
      </c>
      <c r="J371" s="329">
        <v>0</v>
      </c>
      <c r="K371" s="329">
        <v>10576</v>
      </c>
      <c r="L371" s="329"/>
      <c r="M371" s="329">
        <v>0</v>
      </c>
      <c r="N371" s="329">
        <v>0</v>
      </c>
      <c r="O371" s="329">
        <v>2677</v>
      </c>
      <c r="P371" s="329">
        <v>2677</v>
      </c>
      <c r="Q371" s="329"/>
      <c r="R371" s="329">
        <v>13138</v>
      </c>
      <c r="S371" s="329">
        <v>-1087</v>
      </c>
      <c r="T371" s="329">
        <v>12051</v>
      </c>
    </row>
    <row r="372" spans="1:20">
      <c r="A372" s="335">
        <v>93541</v>
      </c>
      <c r="B372" s="328" t="s">
        <v>1061</v>
      </c>
      <c r="C372" s="239">
        <v>9.9699999999999998E-5</v>
      </c>
      <c r="D372" s="239">
        <v>8.9800000000000001E-5</v>
      </c>
      <c r="E372" s="329">
        <v>272273</v>
      </c>
      <c r="F372" s="329"/>
      <c r="G372" s="329">
        <v>46620</v>
      </c>
      <c r="H372" s="329">
        <v>6641</v>
      </c>
      <c r="I372" s="329">
        <v>44376</v>
      </c>
      <c r="J372" s="329">
        <v>9606</v>
      </c>
      <c r="K372" s="329">
        <v>107243</v>
      </c>
      <c r="L372" s="329"/>
      <c r="M372" s="329">
        <v>0</v>
      </c>
      <c r="N372" s="329">
        <v>0</v>
      </c>
      <c r="O372" s="329">
        <v>3639</v>
      </c>
      <c r="P372" s="329">
        <v>3639</v>
      </c>
      <c r="Q372" s="329"/>
      <c r="R372" s="329">
        <v>121286</v>
      </c>
      <c r="S372" s="329">
        <v>932</v>
      </c>
      <c r="T372" s="329">
        <v>122218</v>
      </c>
    </row>
    <row r="373" spans="1:20">
      <c r="A373" s="335">
        <v>93601</v>
      </c>
      <c r="B373" s="328" t="s">
        <v>1062</v>
      </c>
      <c r="C373" s="239">
        <v>1.1220300000000001E-2</v>
      </c>
      <c r="D373" s="239">
        <v>1.11494E-2</v>
      </c>
      <c r="E373" s="329">
        <v>30641764</v>
      </c>
      <c r="F373" s="329"/>
      <c r="G373" s="329">
        <v>5246646</v>
      </c>
      <c r="H373" s="329">
        <v>747395</v>
      </c>
      <c r="I373" s="329">
        <v>4994099</v>
      </c>
      <c r="J373" s="329">
        <v>422601</v>
      </c>
      <c r="K373" s="329">
        <v>11410741</v>
      </c>
      <c r="L373" s="329"/>
      <c r="M373" s="329">
        <v>0</v>
      </c>
      <c r="N373" s="329">
        <v>0</v>
      </c>
      <c r="O373" s="329">
        <v>93806</v>
      </c>
      <c r="P373" s="329">
        <v>93806</v>
      </c>
      <c r="Q373" s="329"/>
      <c r="R373" s="329">
        <v>13649641</v>
      </c>
      <c r="S373" s="329">
        <v>68973</v>
      </c>
      <c r="T373" s="329">
        <v>13718614</v>
      </c>
    </row>
    <row r="374" spans="1:20">
      <c r="A374" s="335">
        <v>93602</v>
      </c>
      <c r="B374" s="328" t="s">
        <v>1063</v>
      </c>
      <c r="C374" s="239">
        <v>1.918E-4</v>
      </c>
      <c r="D374" s="239">
        <v>1.8340000000000001E-4</v>
      </c>
      <c r="E374" s="329">
        <v>523791</v>
      </c>
      <c r="F374" s="329"/>
      <c r="G374" s="329">
        <v>89686</v>
      </c>
      <c r="H374" s="329">
        <v>12776</v>
      </c>
      <c r="I374" s="329">
        <v>85369</v>
      </c>
      <c r="J374" s="329">
        <v>20240</v>
      </c>
      <c r="K374" s="329">
        <v>208071</v>
      </c>
      <c r="L374" s="329"/>
      <c r="M374" s="329">
        <v>0</v>
      </c>
      <c r="N374" s="329">
        <v>0</v>
      </c>
      <c r="O374" s="329">
        <v>2810</v>
      </c>
      <c r="P374" s="329">
        <v>2810</v>
      </c>
      <c r="Q374" s="329"/>
      <c r="R374" s="329">
        <v>233327</v>
      </c>
      <c r="S374" s="329">
        <v>3035</v>
      </c>
      <c r="T374" s="329">
        <v>236362</v>
      </c>
    </row>
    <row r="375" spans="1:20">
      <c r="A375" s="335">
        <v>93604</v>
      </c>
      <c r="B375" s="328" t="s">
        <v>1932</v>
      </c>
      <c r="C375" s="239">
        <v>2.6400000000000001E-5</v>
      </c>
      <c r="D375" s="239">
        <v>2.0100000000000001E-5</v>
      </c>
      <c r="E375" s="329">
        <v>72096</v>
      </c>
      <c r="F375" s="329"/>
      <c r="G375" s="329">
        <v>12345</v>
      </c>
      <c r="H375" s="329">
        <v>1759</v>
      </c>
      <c r="I375" s="329">
        <v>11751</v>
      </c>
      <c r="J375" s="329">
        <v>21975</v>
      </c>
      <c r="K375" s="329">
        <v>47830</v>
      </c>
      <c r="L375" s="329"/>
      <c r="M375" s="329">
        <v>0</v>
      </c>
      <c r="N375" s="329">
        <v>0</v>
      </c>
      <c r="O375" s="329">
        <v>0</v>
      </c>
      <c r="P375" s="329">
        <v>0</v>
      </c>
      <c r="Q375" s="329"/>
      <c r="R375" s="329">
        <v>32116</v>
      </c>
      <c r="S375" s="329">
        <v>6718</v>
      </c>
      <c r="T375" s="329">
        <v>38834</v>
      </c>
    </row>
    <row r="376" spans="1:20">
      <c r="A376" s="335">
        <v>93609</v>
      </c>
      <c r="B376" s="328" t="s">
        <v>1064</v>
      </c>
      <c r="C376" s="239">
        <v>3.7919E-3</v>
      </c>
      <c r="D376" s="239">
        <v>3.9097000000000003E-3</v>
      </c>
      <c r="E376" s="329">
        <v>10355383</v>
      </c>
      <c r="F376" s="329"/>
      <c r="G376" s="329">
        <v>1773104</v>
      </c>
      <c r="H376" s="329">
        <v>252582</v>
      </c>
      <c r="I376" s="329">
        <v>1687756</v>
      </c>
      <c r="J376" s="329">
        <v>303829</v>
      </c>
      <c r="K376" s="329">
        <v>4017271</v>
      </c>
      <c r="L376" s="329"/>
      <c r="M376" s="329">
        <v>0</v>
      </c>
      <c r="N376" s="329">
        <v>0</v>
      </c>
      <c r="O376" s="329">
        <v>128405</v>
      </c>
      <c r="P376" s="329">
        <v>128405</v>
      </c>
      <c r="Q376" s="329"/>
      <c r="R376" s="329">
        <v>4612896</v>
      </c>
      <c r="S376" s="329">
        <v>166190</v>
      </c>
      <c r="T376" s="329">
        <v>4779086</v>
      </c>
    </row>
    <row r="377" spans="1:20">
      <c r="A377" s="335">
        <v>93610</v>
      </c>
      <c r="B377" s="328" t="s">
        <v>1065</v>
      </c>
      <c r="C377" s="239">
        <v>1.63E-5</v>
      </c>
      <c r="D377" s="239">
        <v>1.5500000000000001E-5</v>
      </c>
      <c r="E377" s="329">
        <v>44514</v>
      </c>
      <c r="F377" s="329"/>
      <c r="G377" s="329">
        <v>7622</v>
      </c>
      <c r="H377" s="329">
        <v>1086</v>
      </c>
      <c r="I377" s="329">
        <v>7255</v>
      </c>
      <c r="J377" s="329">
        <v>2679</v>
      </c>
      <c r="K377" s="329">
        <v>18642</v>
      </c>
      <c r="L377" s="329"/>
      <c r="M377" s="329">
        <v>0</v>
      </c>
      <c r="N377" s="329">
        <v>0</v>
      </c>
      <c r="O377" s="329">
        <v>1500</v>
      </c>
      <c r="P377" s="329">
        <v>1500</v>
      </c>
      <c r="Q377" s="329"/>
      <c r="R377" s="329">
        <v>19829</v>
      </c>
      <c r="S377" s="329">
        <v>577</v>
      </c>
      <c r="T377" s="329">
        <v>20406</v>
      </c>
    </row>
    <row r="378" spans="1:20">
      <c r="A378" s="335">
        <v>93611</v>
      </c>
      <c r="B378" s="328" t="s">
        <v>1066</v>
      </c>
      <c r="C378" s="239">
        <v>6.9186999999999999E-3</v>
      </c>
      <c r="D378" s="239">
        <v>6.9170000000000004E-3</v>
      </c>
      <c r="E378" s="329">
        <v>18894430</v>
      </c>
      <c r="F378" s="329"/>
      <c r="G378" s="329">
        <v>3235205</v>
      </c>
      <c r="H378" s="329">
        <v>460861</v>
      </c>
      <c r="I378" s="329">
        <v>3079479</v>
      </c>
      <c r="J378" s="329">
        <v>30574</v>
      </c>
      <c r="K378" s="329">
        <v>6806119</v>
      </c>
      <c r="L378" s="329"/>
      <c r="M378" s="329">
        <v>0</v>
      </c>
      <c r="N378" s="329">
        <v>0</v>
      </c>
      <c r="O378" s="329">
        <v>39809</v>
      </c>
      <c r="P378" s="329">
        <v>39809</v>
      </c>
      <c r="Q378" s="329"/>
      <c r="R378" s="329">
        <v>8416688</v>
      </c>
      <c r="S378" s="329">
        <v>-29366</v>
      </c>
      <c r="T378" s="329">
        <v>8387322</v>
      </c>
    </row>
    <row r="379" spans="1:20">
      <c r="A379" s="335">
        <v>93617</v>
      </c>
      <c r="B379" s="328" t="s">
        <v>1067</v>
      </c>
      <c r="C379" s="239">
        <v>7.8899999999999993E-5</v>
      </c>
      <c r="D379" s="239">
        <v>8.7499999999999999E-5</v>
      </c>
      <c r="E379" s="329">
        <v>215470</v>
      </c>
      <c r="F379" s="329"/>
      <c r="G379" s="329">
        <v>36894</v>
      </c>
      <c r="H379" s="329">
        <v>5256</v>
      </c>
      <c r="I379" s="329">
        <v>35118</v>
      </c>
      <c r="J379" s="329">
        <v>18232</v>
      </c>
      <c r="K379" s="329">
        <v>95500</v>
      </c>
      <c r="L379" s="329"/>
      <c r="M379" s="329">
        <v>0</v>
      </c>
      <c r="N379" s="329">
        <v>0</v>
      </c>
      <c r="O379" s="329">
        <v>0</v>
      </c>
      <c r="P379" s="329">
        <v>0</v>
      </c>
      <c r="Q379" s="329"/>
      <c r="R379" s="329">
        <v>95983</v>
      </c>
      <c r="S379" s="329">
        <v>10439</v>
      </c>
      <c r="T379" s="329">
        <v>106422</v>
      </c>
    </row>
    <row r="380" spans="1:20" ht="30">
      <c r="A380" s="335">
        <v>93618</v>
      </c>
      <c r="B380" s="328" t="s">
        <v>3693</v>
      </c>
      <c r="C380" s="239">
        <v>9.5000000000000005E-6</v>
      </c>
      <c r="D380" s="239">
        <v>1.03E-5</v>
      </c>
      <c r="E380" s="329">
        <v>25944</v>
      </c>
      <c r="F380" s="329"/>
      <c r="G380" s="329">
        <v>4442</v>
      </c>
      <c r="H380" s="329">
        <v>633</v>
      </c>
      <c r="I380" s="329">
        <v>4228</v>
      </c>
      <c r="J380" s="329">
        <v>38732</v>
      </c>
      <c r="K380" s="329">
        <v>48035</v>
      </c>
      <c r="L380" s="329"/>
      <c r="M380" s="329">
        <v>0</v>
      </c>
      <c r="N380" s="329">
        <v>0</v>
      </c>
      <c r="O380" s="329">
        <v>0</v>
      </c>
      <c r="P380" s="329">
        <v>0</v>
      </c>
      <c r="Q380" s="329"/>
      <c r="R380" s="329">
        <v>11557</v>
      </c>
      <c r="S380" s="329">
        <v>18739</v>
      </c>
      <c r="T380" s="329">
        <v>30296</v>
      </c>
    </row>
    <row r="381" spans="1:20">
      <c r="A381" s="335">
        <v>93621</v>
      </c>
      <c r="B381" s="328" t="s">
        <v>1069</v>
      </c>
      <c r="C381" s="239">
        <v>1.0563E-3</v>
      </c>
      <c r="D381" s="239">
        <v>1.0273000000000001E-3</v>
      </c>
      <c r="E381" s="329">
        <v>2884673</v>
      </c>
      <c r="F381" s="329"/>
      <c r="G381" s="329">
        <v>493929</v>
      </c>
      <c r="H381" s="329">
        <v>70361</v>
      </c>
      <c r="I381" s="329">
        <v>470154</v>
      </c>
      <c r="J381" s="329">
        <v>35293</v>
      </c>
      <c r="K381" s="329">
        <v>1069737</v>
      </c>
      <c r="L381" s="329"/>
      <c r="M381" s="329">
        <v>0</v>
      </c>
      <c r="N381" s="329">
        <v>0</v>
      </c>
      <c r="O381" s="329">
        <v>23184</v>
      </c>
      <c r="P381" s="329">
        <v>23184</v>
      </c>
      <c r="Q381" s="329"/>
      <c r="R381" s="329">
        <v>1285003</v>
      </c>
      <c r="S381" s="329">
        <v>-10649</v>
      </c>
      <c r="T381" s="329">
        <v>1274354</v>
      </c>
    </row>
    <row r="382" spans="1:20">
      <c r="A382" s="335">
        <v>93623</v>
      </c>
      <c r="B382" s="328" t="s">
        <v>1070</v>
      </c>
      <c r="C382" s="239">
        <v>1.1E-5</v>
      </c>
      <c r="D382" s="239">
        <v>1.2E-5</v>
      </c>
      <c r="E382" s="329">
        <v>30040</v>
      </c>
      <c r="F382" s="329"/>
      <c r="G382" s="329">
        <v>5144</v>
      </c>
      <c r="H382" s="329">
        <v>733</v>
      </c>
      <c r="I382" s="329">
        <v>4896</v>
      </c>
      <c r="J382" s="329">
        <v>2896</v>
      </c>
      <c r="K382" s="329">
        <v>13669</v>
      </c>
      <c r="L382" s="329"/>
      <c r="M382" s="329">
        <v>0</v>
      </c>
      <c r="N382" s="329">
        <v>0</v>
      </c>
      <c r="O382" s="329">
        <v>0</v>
      </c>
      <c r="P382" s="329">
        <v>0</v>
      </c>
      <c r="Q382" s="329"/>
      <c r="R382" s="329">
        <v>13382</v>
      </c>
      <c r="S382" s="329">
        <v>2158</v>
      </c>
      <c r="T382" s="329">
        <v>15540</v>
      </c>
    </row>
    <row r="383" spans="1:20">
      <c r="A383" s="335">
        <v>93631</v>
      </c>
      <c r="B383" s="328" t="s">
        <v>1071</v>
      </c>
      <c r="C383" s="239">
        <v>2.4130000000000001E-4</v>
      </c>
      <c r="D383" s="239">
        <v>2.232E-4</v>
      </c>
      <c r="E383" s="329">
        <v>658971</v>
      </c>
      <c r="F383" s="329"/>
      <c r="G383" s="329">
        <v>112833</v>
      </c>
      <c r="H383" s="329">
        <v>16073</v>
      </c>
      <c r="I383" s="329">
        <v>107401</v>
      </c>
      <c r="J383" s="329">
        <v>6404</v>
      </c>
      <c r="K383" s="329">
        <v>242711</v>
      </c>
      <c r="L383" s="329"/>
      <c r="M383" s="329">
        <v>0</v>
      </c>
      <c r="N383" s="329">
        <v>0</v>
      </c>
      <c r="O383" s="329">
        <v>9295</v>
      </c>
      <c r="P383" s="329">
        <v>9295</v>
      </c>
      <c r="Q383" s="329"/>
      <c r="R383" s="329">
        <v>293545</v>
      </c>
      <c r="S383" s="329">
        <v>-6331</v>
      </c>
      <c r="T383" s="329">
        <v>287214</v>
      </c>
    </row>
    <row r="384" spans="1:20">
      <c r="A384" s="335">
        <v>93641</v>
      </c>
      <c r="B384" s="328" t="s">
        <v>1072</v>
      </c>
      <c r="C384" s="239">
        <v>3.7300000000000001E-4</v>
      </c>
      <c r="D384" s="239">
        <v>3.724E-4</v>
      </c>
      <c r="E384" s="329">
        <v>1018634</v>
      </c>
      <c r="F384" s="329"/>
      <c r="G384" s="329">
        <v>174416</v>
      </c>
      <c r="H384" s="329">
        <v>24846</v>
      </c>
      <c r="I384" s="329">
        <v>166020</v>
      </c>
      <c r="J384" s="329">
        <v>25953</v>
      </c>
      <c r="K384" s="329">
        <v>391235</v>
      </c>
      <c r="L384" s="329"/>
      <c r="M384" s="329">
        <v>0</v>
      </c>
      <c r="N384" s="329">
        <v>0</v>
      </c>
      <c r="O384" s="329">
        <v>7161</v>
      </c>
      <c r="P384" s="329">
        <v>7161</v>
      </c>
      <c r="Q384" s="329"/>
      <c r="R384" s="329">
        <v>453759</v>
      </c>
      <c r="S384" s="329">
        <v>8170</v>
      </c>
      <c r="T384" s="329">
        <v>461929</v>
      </c>
    </row>
    <row r="385" spans="1:20">
      <c r="A385" s="335">
        <v>93647</v>
      </c>
      <c r="B385" s="328" t="s">
        <v>1073</v>
      </c>
      <c r="C385" s="239">
        <v>5.2000000000000002E-6</v>
      </c>
      <c r="D385" s="239">
        <v>6.1E-6</v>
      </c>
      <c r="E385" s="329">
        <v>14201</v>
      </c>
      <c r="F385" s="329"/>
      <c r="G385" s="329">
        <v>2432</v>
      </c>
      <c r="H385" s="329">
        <v>346</v>
      </c>
      <c r="I385" s="329">
        <v>2314</v>
      </c>
      <c r="J385" s="329">
        <v>12786</v>
      </c>
      <c r="K385" s="329">
        <v>17878</v>
      </c>
      <c r="L385" s="329"/>
      <c r="M385" s="329">
        <v>0</v>
      </c>
      <c r="N385" s="329">
        <v>0</v>
      </c>
      <c r="O385" s="329">
        <v>0</v>
      </c>
      <c r="P385" s="329">
        <v>0</v>
      </c>
      <c r="Q385" s="329"/>
      <c r="R385" s="329">
        <v>6326</v>
      </c>
      <c r="S385" s="329">
        <v>6651</v>
      </c>
      <c r="T385" s="329">
        <v>12977</v>
      </c>
    </row>
    <row r="386" spans="1:20">
      <c r="A386" s="335">
        <v>93651</v>
      </c>
      <c r="B386" s="328" t="s">
        <v>1074</v>
      </c>
      <c r="C386" s="239">
        <v>4.3790000000000002E-4</v>
      </c>
      <c r="D386" s="239">
        <v>4.507E-4</v>
      </c>
      <c r="E386" s="329">
        <v>1195871</v>
      </c>
      <c r="F386" s="329"/>
      <c r="G386" s="329">
        <v>204763</v>
      </c>
      <c r="H386" s="329">
        <v>29169</v>
      </c>
      <c r="I386" s="329">
        <v>194907</v>
      </c>
      <c r="J386" s="329">
        <v>0</v>
      </c>
      <c r="K386" s="329">
        <v>428839</v>
      </c>
      <c r="L386" s="329"/>
      <c r="M386" s="329">
        <v>0</v>
      </c>
      <c r="N386" s="329">
        <v>0</v>
      </c>
      <c r="O386" s="329">
        <v>30670</v>
      </c>
      <c r="P386" s="329">
        <v>30670</v>
      </c>
      <c r="Q386" s="329"/>
      <c r="R386" s="329">
        <v>532711</v>
      </c>
      <c r="S386" s="329">
        <v>-8124</v>
      </c>
      <c r="T386" s="329">
        <v>524587</v>
      </c>
    </row>
    <row r="387" spans="1:20">
      <c r="A387" s="335">
        <v>93661</v>
      </c>
      <c r="B387" s="328" t="s">
        <v>1075</v>
      </c>
      <c r="C387" s="239">
        <v>1.2850000000000001E-4</v>
      </c>
      <c r="D387" s="239">
        <v>1.4449999999999999E-4</v>
      </c>
      <c r="E387" s="329">
        <v>350923</v>
      </c>
      <c r="F387" s="329"/>
      <c r="G387" s="329">
        <v>60087</v>
      </c>
      <c r="H387" s="329">
        <v>8560</v>
      </c>
      <c r="I387" s="329">
        <v>57195</v>
      </c>
      <c r="J387" s="329">
        <v>6804</v>
      </c>
      <c r="K387" s="329">
        <v>132646</v>
      </c>
      <c r="L387" s="329"/>
      <c r="M387" s="329">
        <v>0</v>
      </c>
      <c r="N387" s="329">
        <v>0</v>
      </c>
      <c r="O387" s="329">
        <v>9472</v>
      </c>
      <c r="P387" s="329">
        <v>9472</v>
      </c>
      <c r="Q387" s="329"/>
      <c r="R387" s="329">
        <v>156322</v>
      </c>
      <c r="S387" s="329">
        <v>2192</v>
      </c>
      <c r="T387" s="329">
        <v>158514</v>
      </c>
    </row>
    <row r="388" spans="1:20">
      <c r="A388" s="335">
        <v>93671</v>
      </c>
      <c r="B388" s="328" t="s">
        <v>1076</v>
      </c>
      <c r="C388" s="239">
        <v>3.4840000000000001E-4</v>
      </c>
      <c r="D388" s="239">
        <v>3.3950000000000001E-4</v>
      </c>
      <c r="E388" s="329">
        <v>951453</v>
      </c>
      <c r="F388" s="329"/>
      <c r="G388" s="329">
        <v>162913</v>
      </c>
      <c r="H388" s="329">
        <v>23207</v>
      </c>
      <c r="I388" s="329">
        <v>155071</v>
      </c>
      <c r="J388" s="329">
        <v>24392</v>
      </c>
      <c r="K388" s="329">
        <v>365583</v>
      </c>
      <c r="L388" s="329"/>
      <c r="M388" s="329">
        <v>0</v>
      </c>
      <c r="N388" s="329">
        <v>0</v>
      </c>
      <c r="O388" s="329">
        <v>1177</v>
      </c>
      <c r="P388" s="329">
        <v>1177</v>
      </c>
      <c r="Q388" s="329"/>
      <c r="R388" s="329">
        <v>423833</v>
      </c>
      <c r="S388" s="329">
        <v>15132</v>
      </c>
      <c r="T388" s="329">
        <v>438965</v>
      </c>
    </row>
    <row r="389" spans="1:20">
      <c r="A389" s="335">
        <v>93681</v>
      </c>
      <c r="B389" s="328" t="s">
        <v>1077</v>
      </c>
      <c r="C389" s="239">
        <v>1.284E-4</v>
      </c>
      <c r="D389" s="239">
        <v>1.211E-4</v>
      </c>
      <c r="E389" s="329">
        <v>350650</v>
      </c>
      <c r="F389" s="329"/>
      <c r="G389" s="329">
        <v>60040</v>
      </c>
      <c r="H389" s="329">
        <v>8553</v>
      </c>
      <c r="I389" s="329">
        <v>57150</v>
      </c>
      <c r="J389" s="329">
        <v>6827</v>
      </c>
      <c r="K389" s="329">
        <v>132570</v>
      </c>
      <c r="L389" s="329"/>
      <c r="M389" s="329">
        <v>0</v>
      </c>
      <c r="N389" s="329">
        <v>0</v>
      </c>
      <c r="O389" s="329">
        <v>3005</v>
      </c>
      <c r="P389" s="329">
        <v>3005</v>
      </c>
      <c r="Q389" s="329"/>
      <c r="R389" s="329">
        <v>156200</v>
      </c>
      <c r="S389" s="329">
        <v>-788</v>
      </c>
      <c r="T389" s="329">
        <v>155412</v>
      </c>
    </row>
    <row r="390" spans="1:20">
      <c r="A390" s="335">
        <v>93691</v>
      </c>
      <c r="B390" s="328" t="s">
        <v>1078</v>
      </c>
      <c r="C390" s="239">
        <v>1.0889999999999999E-3</v>
      </c>
      <c r="D390" s="239">
        <v>1.0357999999999999E-3</v>
      </c>
      <c r="E390" s="329">
        <v>2973974</v>
      </c>
      <c r="F390" s="329"/>
      <c r="G390" s="329">
        <v>509220</v>
      </c>
      <c r="H390" s="329">
        <v>72540</v>
      </c>
      <c r="I390" s="329">
        <v>484708</v>
      </c>
      <c r="J390" s="329">
        <v>22610</v>
      </c>
      <c r="K390" s="329">
        <v>1089078</v>
      </c>
      <c r="L390" s="329"/>
      <c r="M390" s="329">
        <v>0</v>
      </c>
      <c r="N390" s="329">
        <v>0</v>
      </c>
      <c r="O390" s="329">
        <v>69124</v>
      </c>
      <c r="P390" s="329">
        <v>69124</v>
      </c>
      <c r="Q390" s="329"/>
      <c r="R390" s="329">
        <v>1324783</v>
      </c>
      <c r="S390" s="329">
        <v>-40466</v>
      </c>
      <c r="T390" s="329">
        <v>1284317</v>
      </c>
    </row>
    <row r="391" spans="1:20">
      <c r="A391" s="335">
        <v>93701</v>
      </c>
      <c r="B391" s="328" t="s">
        <v>1079</v>
      </c>
      <c r="C391" s="239">
        <v>4.3600000000000003E-4</v>
      </c>
      <c r="D391" s="239">
        <v>4.6779999999999999E-4</v>
      </c>
      <c r="E391" s="329">
        <v>1190682</v>
      </c>
      <c r="F391" s="329"/>
      <c r="G391" s="329">
        <v>203875</v>
      </c>
      <c r="H391" s="329">
        <v>29042</v>
      </c>
      <c r="I391" s="329">
        <v>194061</v>
      </c>
      <c r="J391" s="329">
        <v>0</v>
      </c>
      <c r="K391" s="329">
        <v>426978</v>
      </c>
      <c r="L391" s="329"/>
      <c r="M391" s="329">
        <v>0</v>
      </c>
      <c r="N391" s="329">
        <v>0</v>
      </c>
      <c r="O391" s="329">
        <v>35085</v>
      </c>
      <c r="P391" s="329">
        <v>35085</v>
      </c>
      <c r="Q391" s="329"/>
      <c r="R391" s="329">
        <v>530400</v>
      </c>
      <c r="S391" s="329">
        <v>-10094</v>
      </c>
      <c r="T391" s="329">
        <v>520306</v>
      </c>
    </row>
    <row r="392" spans="1:20">
      <c r="A392" s="335">
        <v>93704</v>
      </c>
      <c r="B392" s="328" t="s">
        <v>1080</v>
      </c>
      <c r="C392" s="239">
        <v>2.2000000000000001E-6</v>
      </c>
      <c r="D392" s="239">
        <v>2.7E-6</v>
      </c>
      <c r="E392" s="329">
        <v>6008</v>
      </c>
      <c r="F392" s="329"/>
      <c r="G392" s="329">
        <v>1029</v>
      </c>
      <c r="H392" s="329">
        <v>147</v>
      </c>
      <c r="I392" s="329">
        <v>979</v>
      </c>
      <c r="J392" s="329">
        <v>801</v>
      </c>
      <c r="K392" s="329">
        <v>2956</v>
      </c>
      <c r="L392" s="329"/>
      <c r="M392" s="329">
        <v>0</v>
      </c>
      <c r="N392" s="329">
        <v>0</v>
      </c>
      <c r="O392" s="329">
        <v>0</v>
      </c>
      <c r="P392" s="329">
        <v>0</v>
      </c>
      <c r="Q392" s="329"/>
      <c r="R392" s="329">
        <v>2676</v>
      </c>
      <c r="S392" s="329">
        <v>350</v>
      </c>
      <c r="T392" s="329">
        <v>3026</v>
      </c>
    </row>
    <row r="393" spans="1:20">
      <c r="A393" s="335">
        <v>93801</v>
      </c>
      <c r="B393" s="328" t="s">
        <v>1081</v>
      </c>
      <c r="C393" s="239">
        <v>4.191E-4</v>
      </c>
      <c r="D393" s="239">
        <v>4.3570000000000002E-4</v>
      </c>
      <c r="E393" s="329">
        <v>1144529</v>
      </c>
      <c r="F393" s="329"/>
      <c r="G393" s="329">
        <v>195972</v>
      </c>
      <c r="H393" s="329">
        <v>27917</v>
      </c>
      <c r="I393" s="329">
        <v>186539</v>
      </c>
      <c r="J393" s="329">
        <v>29475</v>
      </c>
      <c r="K393" s="329">
        <v>439903</v>
      </c>
      <c r="L393" s="329"/>
      <c r="M393" s="329">
        <v>0</v>
      </c>
      <c r="N393" s="329">
        <v>0</v>
      </c>
      <c r="O393" s="329">
        <v>61015</v>
      </c>
      <c r="P393" s="329">
        <v>61015</v>
      </c>
      <c r="Q393" s="329"/>
      <c r="R393" s="329">
        <v>509841</v>
      </c>
      <c r="S393" s="329">
        <v>17086</v>
      </c>
      <c r="T393" s="329">
        <v>526927</v>
      </c>
    </row>
    <row r="394" spans="1:20">
      <c r="A394" s="335">
        <v>93803</v>
      </c>
      <c r="B394" s="328" t="s">
        <v>3694</v>
      </c>
      <c r="C394" s="239">
        <v>9.0799999999999998E-5</v>
      </c>
      <c r="D394" s="239">
        <v>1.122E-4</v>
      </c>
      <c r="E394" s="329">
        <v>247968</v>
      </c>
      <c r="F394" s="329"/>
      <c r="G394" s="329">
        <v>42458</v>
      </c>
      <c r="H394" s="329">
        <v>6048</v>
      </c>
      <c r="I394" s="329">
        <v>40415</v>
      </c>
      <c r="J394" s="329">
        <v>0</v>
      </c>
      <c r="K394" s="329">
        <v>88921</v>
      </c>
      <c r="L394" s="329"/>
      <c r="M394" s="329">
        <v>0</v>
      </c>
      <c r="N394" s="329">
        <v>0</v>
      </c>
      <c r="O394" s="329">
        <v>39006</v>
      </c>
      <c r="P394" s="329">
        <v>39006</v>
      </c>
      <c r="Q394" s="329"/>
      <c r="R394" s="329">
        <v>110459</v>
      </c>
      <c r="S394" s="329">
        <v>-18526</v>
      </c>
      <c r="T394" s="329">
        <v>91933</v>
      </c>
    </row>
    <row r="395" spans="1:20" ht="30">
      <c r="A395" s="335">
        <v>93806</v>
      </c>
      <c r="B395" s="328" t="s">
        <v>3695</v>
      </c>
      <c r="C395" s="239">
        <v>7.9599999999999997E-5</v>
      </c>
      <c r="D395" s="239">
        <v>7.6100000000000007E-5</v>
      </c>
      <c r="E395" s="329">
        <v>217381</v>
      </c>
      <c r="F395" s="329"/>
      <c r="G395" s="329">
        <v>37221</v>
      </c>
      <c r="H395" s="329">
        <v>5302</v>
      </c>
      <c r="I395" s="329">
        <v>35430</v>
      </c>
      <c r="J395" s="329">
        <v>7729</v>
      </c>
      <c r="K395" s="329">
        <v>85682</v>
      </c>
      <c r="L395" s="329"/>
      <c r="M395" s="329">
        <v>0</v>
      </c>
      <c r="N395" s="329">
        <v>0</v>
      </c>
      <c r="O395" s="329">
        <v>6523</v>
      </c>
      <c r="P395" s="329">
        <v>6523</v>
      </c>
      <c r="Q395" s="329"/>
      <c r="R395" s="329">
        <v>96834</v>
      </c>
      <c r="S395" s="329">
        <v>1656</v>
      </c>
      <c r="T395" s="329">
        <v>98490</v>
      </c>
    </row>
    <row r="396" spans="1:20">
      <c r="A396" s="335">
        <v>93821</v>
      </c>
      <c r="B396" s="328" t="s">
        <v>1084</v>
      </c>
      <c r="C396" s="239">
        <v>6.9200000000000002E-5</v>
      </c>
      <c r="D396" s="239">
        <v>5.6799999999999998E-5</v>
      </c>
      <c r="E396" s="329">
        <v>188980</v>
      </c>
      <c r="F396" s="329"/>
      <c r="G396" s="329">
        <v>32358</v>
      </c>
      <c r="H396" s="329">
        <v>4609</v>
      </c>
      <c r="I396" s="329">
        <v>30801</v>
      </c>
      <c r="J396" s="329">
        <v>43655</v>
      </c>
      <c r="K396" s="329">
        <v>111423</v>
      </c>
      <c r="L396" s="329"/>
      <c r="M396" s="329">
        <v>0</v>
      </c>
      <c r="N396" s="329">
        <v>0</v>
      </c>
      <c r="O396" s="329">
        <v>172</v>
      </c>
      <c r="P396" s="329">
        <v>172</v>
      </c>
      <c r="Q396" s="329"/>
      <c r="R396" s="329">
        <v>84183</v>
      </c>
      <c r="S396" s="329">
        <v>18614</v>
      </c>
      <c r="T396" s="329">
        <v>102797</v>
      </c>
    </row>
    <row r="397" spans="1:20">
      <c r="A397" s="335">
        <v>93901</v>
      </c>
      <c r="B397" s="328" t="s">
        <v>1085</v>
      </c>
      <c r="C397" s="239">
        <v>1.7884999999999999E-3</v>
      </c>
      <c r="D397" s="239">
        <v>1.7718E-3</v>
      </c>
      <c r="E397" s="329">
        <v>4884254</v>
      </c>
      <c r="F397" s="329"/>
      <c r="G397" s="329">
        <v>836308</v>
      </c>
      <c r="H397" s="329">
        <v>119134</v>
      </c>
      <c r="I397" s="329">
        <v>796052</v>
      </c>
      <c r="J397" s="329">
        <v>177049</v>
      </c>
      <c r="K397" s="329">
        <v>1928543</v>
      </c>
      <c r="L397" s="329"/>
      <c r="M397" s="329">
        <v>0</v>
      </c>
      <c r="N397" s="329">
        <v>0</v>
      </c>
      <c r="O397" s="329">
        <v>0</v>
      </c>
      <c r="P397" s="329">
        <v>0</v>
      </c>
      <c r="Q397" s="329"/>
      <c r="R397" s="329">
        <v>2175734</v>
      </c>
      <c r="S397" s="329">
        <v>67193</v>
      </c>
      <c r="T397" s="329">
        <v>2242927</v>
      </c>
    </row>
    <row r="398" spans="1:20">
      <c r="A398" s="335">
        <v>93904</v>
      </c>
      <c r="B398" s="328" t="s">
        <v>3696</v>
      </c>
      <c r="C398" s="239">
        <v>3.18E-5</v>
      </c>
      <c r="D398" s="239">
        <v>3.3099999999999998E-5</v>
      </c>
      <c r="E398" s="329">
        <v>86843</v>
      </c>
      <c r="F398" s="329"/>
      <c r="G398" s="329">
        <v>14870</v>
      </c>
      <c r="H398" s="329">
        <v>2118</v>
      </c>
      <c r="I398" s="329">
        <v>14154</v>
      </c>
      <c r="J398" s="329">
        <v>12284</v>
      </c>
      <c r="K398" s="329">
        <v>43426</v>
      </c>
      <c r="L398" s="329"/>
      <c r="M398" s="329">
        <v>0</v>
      </c>
      <c r="N398" s="329">
        <v>0</v>
      </c>
      <c r="O398" s="329">
        <v>0</v>
      </c>
      <c r="P398" s="329">
        <v>0</v>
      </c>
      <c r="Q398" s="329"/>
      <c r="R398" s="329">
        <v>38685</v>
      </c>
      <c r="S398" s="329">
        <v>5506</v>
      </c>
      <c r="T398" s="329">
        <v>44191</v>
      </c>
    </row>
    <row r="399" spans="1:20">
      <c r="A399" s="335">
        <v>93906</v>
      </c>
      <c r="B399" s="328" t="s">
        <v>1087</v>
      </c>
      <c r="C399" s="239">
        <v>3.1308E-3</v>
      </c>
      <c r="D399" s="239">
        <v>3.1683000000000002E-3</v>
      </c>
      <c r="E399" s="329">
        <v>8549971</v>
      </c>
      <c r="F399" s="329"/>
      <c r="G399" s="329">
        <v>1463971</v>
      </c>
      <c r="H399" s="329">
        <v>208546</v>
      </c>
      <c r="I399" s="329">
        <v>1393503</v>
      </c>
      <c r="J399" s="329">
        <v>0</v>
      </c>
      <c r="K399" s="329">
        <v>3066020</v>
      </c>
      <c r="L399" s="329"/>
      <c r="M399" s="329">
        <v>0</v>
      </c>
      <c r="N399" s="329">
        <v>0</v>
      </c>
      <c r="O399" s="329">
        <v>265792</v>
      </c>
      <c r="P399" s="329">
        <v>265792</v>
      </c>
      <c r="Q399" s="329"/>
      <c r="R399" s="329">
        <v>3808659</v>
      </c>
      <c r="S399" s="329">
        <v>-139204</v>
      </c>
      <c r="T399" s="329">
        <v>3669455</v>
      </c>
    </row>
    <row r="400" spans="1:20">
      <c r="A400" s="335">
        <v>93908</v>
      </c>
      <c r="B400" s="328" t="s">
        <v>1088</v>
      </c>
      <c r="C400" s="239">
        <v>4.9540000000000001E-4</v>
      </c>
      <c r="D400" s="239">
        <v>4.6920000000000002E-4</v>
      </c>
      <c r="E400" s="329">
        <v>1352899</v>
      </c>
      <c r="F400" s="329"/>
      <c r="G400" s="329">
        <v>231651</v>
      </c>
      <c r="H400" s="329">
        <v>32999</v>
      </c>
      <c r="I400" s="329">
        <v>220500</v>
      </c>
      <c r="J400" s="329">
        <v>21575</v>
      </c>
      <c r="K400" s="329">
        <v>506725</v>
      </c>
      <c r="L400" s="329"/>
      <c r="M400" s="329">
        <v>0</v>
      </c>
      <c r="N400" s="329">
        <v>0</v>
      </c>
      <c r="O400" s="329">
        <v>15341</v>
      </c>
      <c r="P400" s="329">
        <v>15341</v>
      </c>
      <c r="Q400" s="329"/>
      <c r="R400" s="329">
        <v>602661</v>
      </c>
      <c r="S400" s="329">
        <v>-5643</v>
      </c>
      <c r="T400" s="329">
        <v>597018</v>
      </c>
    </row>
    <row r="401" spans="1:20">
      <c r="A401" s="335">
        <v>93910</v>
      </c>
      <c r="B401" s="328" t="s">
        <v>1089</v>
      </c>
      <c r="C401" s="239">
        <v>2.285E-4</v>
      </c>
      <c r="D401" s="239">
        <v>2.5769999999999998E-4</v>
      </c>
      <c r="E401" s="329">
        <v>624016</v>
      </c>
      <c r="F401" s="329"/>
      <c r="G401" s="329">
        <v>106847</v>
      </c>
      <c r="H401" s="329">
        <v>15221</v>
      </c>
      <c r="I401" s="329">
        <v>101704</v>
      </c>
      <c r="J401" s="329">
        <v>0</v>
      </c>
      <c r="K401" s="329">
        <v>223772</v>
      </c>
      <c r="L401" s="329"/>
      <c r="M401" s="329">
        <v>0</v>
      </c>
      <c r="N401" s="329">
        <v>0</v>
      </c>
      <c r="O401" s="329">
        <v>40968</v>
      </c>
      <c r="P401" s="329">
        <v>40968</v>
      </c>
      <c r="Q401" s="329"/>
      <c r="R401" s="329">
        <v>277973</v>
      </c>
      <c r="S401" s="329">
        <v>-17473</v>
      </c>
      <c r="T401" s="329">
        <v>260500</v>
      </c>
    </row>
    <row r="402" spans="1:20">
      <c r="A402" s="335">
        <v>93911</v>
      </c>
      <c r="B402" s="328" t="s">
        <v>1090</v>
      </c>
      <c r="C402" s="239">
        <v>6.4320000000000002E-4</v>
      </c>
      <c r="D402" s="239">
        <v>6.5010000000000003E-4</v>
      </c>
      <c r="E402" s="329">
        <v>1756529</v>
      </c>
      <c r="F402" s="329"/>
      <c r="G402" s="329">
        <v>300762</v>
      </c>
      <c r="H402" s="329">
        <v>42844</v>
      </c>
      <c r="I402" s="329">
        <v>286285</v>
      </c>
      <c r="J402" s="329">
        <v>10703</v>
      </c>
      <c r="K402" s="329">
        <v>640594</v>
      </c>
      <c r="L402" s="329"/>
      <c r="M402" s="329">
        <v>0</v>
      </c>
      <c r="N402" s="329">
        <v>0</v>
      </c>
      <c r="O402" s="329">
        <v>25625</v>
      </c>
      <c r="P402" s="329">
        <v>25625</v>
      </c>
      <c r="Q402" s="329"/>
      <c r="R402" s="329">
        <v>782461</v>
      </c>
      <c r="S402" s="329">
        <v>-7996</v>
      </c>
      <c r="T402" s="329">
        <v>774465</v>
      </c>
    </row>
    <row r="403" spans="1:20">
      <c r="A403" s="335">
        <v>93913</v>
      </c>
      <c r="B403" s="328" t="s">
        <v>1091</v>
      </c>
      <c r="C403" s="239">
        <v>4.9799999999999998E-5</v>
      </c>
      <c r="D403" s="239">
        <v>5.8799999999999999E-5</v>
      </c>
      <c r="E403" s="329">
        <v>136000</v>
      </c>
      <c r="F403" s="329"/>
      <c r="G403" s="329">
        <v>23287</v>
      </c>
      <c r="H403" s="329">
        <v>3317</v>
      </c>
      <c r="I403" s="329">
        <v>22166</v>
      </c>
      <c r="J403" s="329">
        <v>3063</v>
      </c>
      <c r="K403" s="329">
        <v>51833</v>
      </c>
      <c r="L403" s="329"/>
      <c r="M403" s="329">
        <v>0</v>
      </c>
      <c r="N403" s="329">
        <v>0</v>
      </c>
      <c r="O403" s="329">
        <v>2244</v>
      </c>
      <c r="P403" s="329">
        <v>2244</v>
      </c>
      <c r="Q403" s="329"/>
      <c r="R403" s="329">
        <v>60582</v>
      </c>
      <c r="S403" s="329">
        <v>793</v>
      </c>
      <c r="T403" s="329">
        <v>61375</v>
      </c>
    </row>
    <row r="404" spans="1:20">
      <c r="A404" s="335">
        <v>93914</v>
      </c>
      <c r="B404" s="328" t="s">
        <v>1092</v>
      </c>
      <c r="C404" s="239">
        <v>6.1E-6</v>
      </c>
      <c r="D404" s="239">
        <v>7.1999999999999997E-6</v>
      </c>
      <c r="E404" s="329">
        <v>16659</v>
      </c>
      <c r="F404" s="329"/>
      <c r="G404" s="329">
        <v>2852</v>
      </c>
      <c r="H404" s="329">
        <v>406</v>
      </c>
      <c r="I404" s="329">
        <v>2715</v>
      </c>
      <c r="J404" s="329">
        <v>4397</v>
      </c>
      <c r="K404" s="329">
        <v>10370</v>
      </c>
      <c r="L404" s="329"/>
      <c r="M404" s="329">
        <v>0</v>
      </c>
      <c r="N404" s="329">
        <v>0</v>
      </c>
      <c r="O404" s="329">
        <v>0</v>
      </c>
      <c r="P404" s="329">
        <v>0</v>
      </c>
      <c r="Q404" s="329"/>
      <c r="R404" s="329">
        <v>7421</v>
      </c>
      <c r="S404" s="329">
        <v>1957</v>
      </c>
      <c r="T404" s="329">
        <v>9378</v>
      </c>
    </row>
    <row r="405" spans="1:20">
      <c r="A405" s="335">
        <v>93921</v>
      </c>
      <c r="B405" s="328" t="s">
        <v>1093</v>
      </c>
      <c r="C405" s="239">
        <v>2.251E-4</v>
      </c>
      <c r="D405" s="239">
        <v>2.8259999999999998E-4</v>
      </c>
      <c r="E405" s="329">
        <v>614731</v>
      </c>
      <c r="F405" s="329"/>
      <c r="G405" s="329">
        <v>105257</v>
      </c>
      <c r="H405" s="329">
        <v>14994</v>
      </c>
      <c r="I405" s="329">
        <v>100191</v>
      </c>
      <c r="J405" s="329">
        <v>3765</v>
      </c>
      <c r="K405" s="329">
        <v>224207</v>
      </c>
      <c r="L405" s="329"/>
      <c r="M405" s="329">
        <v>0</v>
      </c>
      <c r="N405" s="329">
        <v>0</v>
      </c>
      <c r="O405" s="329">
        <v>42896</v>
      </c>
      <c r="P405" s="329">
        <v>42896</v>
      </c>
      <c r="Q405" s="329"/>
      <c r="R405" s="329">
        <v>273837</v>
      </c>
      <c r="S405" s="329">
        <v>-8082</v>
      </c>
      <c r="T405" s="329">
        <v>265755</v>
      </c>
    </row>
    <row r="406" spans="1:20">
      <c r="A406" s="335">
        <v>93931</v>
      </c>
      <c r="B406" s="328" t="s">
        <v>1094</v>
      </c>
      <c r="C406" s="239">
        <v>5.1590000000000002E-4</v>
      </c>
      <c r="D406" s="239">
        <v>5.4460000000000001E-4</v>
      </c>
      <c r="E406" s="329">
        <v>1408883</v>
      </c>
      <c r="F406" s="329"/>
      <c r="G406" s="329">
        <v>241236</v>
      </c>
      <c r="H406" s="329">
        <v>34365</v>
      </c>
      <c r="I406" s="329">
        <v>229625</v>
      </c>
      <c r="J406" s="329">
        <v>6952</v>
      </c>
      <c r="K406" s="329">
        <v>512178</v>
      </c>
      <c r="L406" s="329"/>
      <c r="M406" s="329">
        <v>0</v>
      </c>
      <c r="N406" s="329">
        <v>0</v>
      </c>
      <c r="O406" s="329">
        <v>58428</v>
      </c>
      <c r="P406" s="329">
        <v>58428</v>
      </c>
      <c r="Q406" s="329"/>
      <c r="R406" s="329">
        <v>627599</v>
      </c>
      <c r="S406" s="329">
        <v>-398</v>
      </c>
      <c r="T406" s="329">
        <v>627201</v>
      </c>
    </row>
    <row r="407" spans="1:20">
      <c r="A407" s="335">
        <v>94001</v>
      </c>
      <c r="B407" s="328" t="s">
        <v>1095</v>
      </c>
      <c r="C407" s="239">
        <v>9.3720000000000001E-4</v>
      </c>
      <c r="D407" s="239">
        <v>9.366E-4</v>
      </c>
      <c r="E407" s="329">
        <v>2559420</v>
      </c>
      <c r="F407" s="329"/>
      <c r="G407" s="329">
        <v>438238</v>
      </c>
      <c r="H407" s="329">
        <v>62428</v>
      </c>
      <c r="I407" s="329">
        <v>417143</v>
      </c>
      <c r="J407" s="329">
        <v>42467</v>
      </c>
      <c r="K407" s="329">
        <v>960276</v>
      </c>
      <c r="L407" s="329"/>
      <c r="M407" s="329">
        <v>0</v>
      </c>
      <c r="N407" s="329">
        <v>0</v>
      </c>
      <c r="O407" s="329">
        <v>0</v>
      </c>
      <c r="P407" s="329">
        <v>0</v>
      </c>
      <c r="Q407" s="329"/>
      <c r="R407" s="329">
        <v>1140116</v>
      </c>
      <c r="S407" s="329">
        <v>20242</v>
      </c>
      <c r="T407" s="329">
        <v>1160358</v>
      </c>
    </row>
    <row r="408" spans="1:20">
      <c r="A408" s="335">
        <v>94002</v>
      </c>
      <c r="B408" s="328" t="s">
        <v>1096</v>
      </c>
      <c r="C408" s="239">
        <v>5.2000000000000002E-6</v>
      </c>
      <c r="D408" s="239">
        <v>5.9000000000000003E-6</v>
      </c>
      <c r="E408" s="329">
        <v>14201</v>
      </c>
      <c r="F408" s="329"/>
      <c r="G408" s="329">
        <v>2432</v>
      </c>
      <c r="H408" s="329">
        <v>346</v>
      </c>
      <c r="I408" s="329">
        <v>2314</v>
      </c>
      <c r="J408" s="329">
        <v>2300</v>
      </c>
      <c r="K408" s="329">
        <v>7392</v>
      </c>
      <c r="L408" s="329"/>
      <c r="M408" s="329">
        <v>0</v>
      </c>
      <c r="N408" s="329">
        <v>0</v>
      </c>
      <c r="O408" s="329">
        <v>0</v>
      </c>
      <c r="P408" s="329">
        <v>0</v>
      </c>
      <c r="Q408" s="329"/>
      <c r="R408" s="329">
        <v>6326</v>
      </c>
      <c r="S408" s="329">
        <v>917</v>
      </c>
      <c r="T408" s="329">
        <v>7243</v>
      </c>
    </row>
    <row r="409" spans="1:20">
      <c r="A409" s="335">
        <v>94004</v>
      </c>
      <c r="B409" s="328" t="s">
        <v>1097</v>
      </c>
      <c r="C409" s="239">
        <v>7.4000000000000003E-6</v>
      </c>
      <c r="D409" s="239">
        <v>7.3000000000000004E-6</v>
      </c>
      <c r="E409" s="329">
        <v>20209</v>
      </c>
      <c r="F409" s="329"/>
      <c r="G409" s="329">
        <v>3460</v>
      </c>
      <c r="H409" s="329">
        <v>493</v>
      </c>
      <c r="I409" s="329">
        <v>3294</v>
      </c>
      <c r="J409" s="329">
        <v>3706</v>
      </c>
      <c r="K409" s="329">
        <v>10953</v>
      </c>
      <c r="L409" s="329"/>
      <c r="M409" s="329">
        <v>0</v>
      </c>
      <c r="N409" s="329">
        <v>0</v>
      </c>
      <c r="O409" s="329">
        <v>0</v>
      </c>
      <c r="P409" s="329">
        <v>0</v>
      </c>
      <c r="Q409" s="329"/>
      <c r="R409" s="329">
        <v>9002</v>
      </c>
      <c r="S409" s="329">
        <v>1706</v>
      </c>
      <c r="T409" s="329">
        <v>10708</v>
      </c>
    </row>
    <row r="410" spans="1:20">
      <c r="A410" s="335">
        <v>94005</v>
      </c>
      <c r="B410" s="328" t="s">
        <v>1098</v>
      </c>
      <c r="C410" s="239">
        <v>1.9E-6</v>
      </c>
      <c r="D410" s="239">
        <v>4.6999999999999999E-6</v>
      </c>
      <c r="E410" s="329">
        <v>5189</v>
      </c>
      <c r="F410" s="329"/>
      <c r="G410" s="329">
        <v>888</v>
      </c>
      <c r="H410" s="329">
        <v>127</v>
      </c>
      <c r="I410" s="329">
        <v>846</v>
      </c>
      <c r="J410" s="329">
        <v>2612</v>
      </c>
      <c r="K410" s="329">
        <v>4473</v>
      </c>
      <c r="L410" s="329"/>
      <c r="M410" s="329">
        <v>0</v>
      </c>
      <c r="N410" s="329">
        <v>0</v>
      </c>
      <c r="O410" s="329">
        <v>3483</v>
      </c>
      <c r="P410" s="329">
        <v>3483</v>
      </c>
      <c r="Q410" s="329"/>
      <c r="R410" s="329">
        <v>2311</v>
      </c>
      <c r="S410" s="329">
        <v>-1236</v>
      </c>
      <c r="T410" s="329">
        <v>1075</v>
      </c>
    </row>
    <row r="411" spans="1:20">
      <c r="A411" s="335">
        <v>94011</v>
      </c>
      <c r="B411" s="328" t="s">
        <v>1099</v>
      </c>
      <c r="C411" s="239">
        <v>2.6699999999999998E-5</v>
      </c>
      <c r="D411" s="239">
        <v>2.8399999999999999E-5</v>
      </c>
      <c r="E411" s="329">
        <v>72916</v>
      </c>
      <c r="F411" s="329"/>
      <c r="G411" s="329">
        <v>12485</v>
      </c>
      <c r="H411" s="329">
        <v>1778</v>
      </c>
      <c r="I411" s="329">
        <v>11884</v>
      </c>
      <c r="J411" s="329">
        <v>2318</v>
      </c>
      <c r="K411" s="329">
        <v>28465</v>
      </c>
      <c r="L411" s="329"/>
      <c r="M411" s="329">
        <v>0</v>
      </c>
      <c r="N411" s="329">
        <v>0</v>
      </c>
      <c r="O411" s="329">
        <v>3814</v>
      </c>
      <c r="P411" s="329">
        <v>3814</v>
      </c>
      <c r="Q411" s="329"/>
      <c r="R411" s="329">
        <v>32481</v>
      </c>
      <c r="S411" s="329">
        <v>240</v>
      </c>
      <c r="T411" s="329">
        <v>32721</v>
      </c>
    </row>
    <row r="412" spans="1:20">
      <c r="A412" s="335">
        <v>94021</v>
      </c>
      <c r="B412" s="328" t="s">
        <v>1100</v>
      </c>
      <c r="C412" s="239">
        <v>8.3300000000000005E-5</v>
      </c>
      <c r="D412" s="239">
        <v>8.8800000000000004E-5</v>
      </c>
      <c r="E412" s="329">
        <v>227486</v>
      </c>
      <c r="F412" s="329"/>
      <c r="G412" s="329">
        <v>38951</v>
      </c>
      <c r="H412" s="329">
        <v>5549</v>
      </c>
      <c r="I412" s="329">
        <v>37076</v>
      </c>
      <c r="J412" s="329">
        <v>11040</v>
      </c>
      <c r="K412" s="329">
        <v>92616</v>
      </c>
      <c r="L412" s="329"/>
      <c r="M412" s="329">
        <v>0</v>
      </c>
      <c r="N412" s="329">
        <v>0</v>
      </c>
      <c r="O412" s="329">
        <v>0</v>
      </c>
      <c r="P412" s="329">
        <v>0</v>
      </c>
      <c r="Q412" s="329"/>
      <c r="R412" s="329">
        <v>101336</v>
      </c>
      <c r="S412" s="329">
        <v>6131</v>
      </c>
      <c r="T412" s="329">
        <v>107467</v>
      </c>
    </row>
    <row r="413" spans="1:20">
      <c r="A413" s="335">
        <v>94031</v>
      </c>
      <c r="B413" s="328" t="s">
        <v>1101</v>
      </c>
      <c r="C413" s="239">
        <v>4.6E-6</v>
      </c>
      <c r="D413" s="239">
        <v>4.8999999999999997E-6</v>
      </c>
      <c r="E413" s="329">
        <v>12562</v>
      </c>
      <c r="F413" s="329"/>
      <c r="G413" s="329">
        <v>2151</v>
      </c>
      <c r="H413" s="329">
        <v>307</v>
      </c>
      <c r="I413" s="329">
        <v>2047</v>
      </c>
      <c r="J413" s="329">
        <v>8320</v>
      </c>
      <c r="K413" s="329">
        <v>12825</v>
      </c>
      <c r="L413" s="329"/>
      <c r="M413" s="329">
        <v>0</v>
      </c>
      <c r="N413" s="329">
        <v>0</v>
      </c>
      <c r="O413" s="329">
        <v>0</v>
      </c>
      <c r="P413" s="329">
        <v>0</v>
      </c>
      <c r="Q413" s="329"/>
      <c r="R413" s="329">
        <v>5596</v>
      </c>
      <c r="S413" s="329">
        <v>4476</v>
      </c>
      <c r="T413" s="329">
        <v>10072</v>
      </c>
    </row>
    <row r="414" spans="1:20">
      <c r="A414" s="335">
        <v>94101</v>
      </c>
      <c r="B414" s="328" t="s">
        <v>1102</v>
      </c>
      <c r="C414" s="239">
        <v>1.7750700000000001E-2</v>
      </c>
      <c r="D414" s="239">
        <v>1.8137199999999999E-2</v>
      </c>
      <c r="E414" s="329">
        <v>48475777</v>
      </c>
      <c r="F414" s="329"/>
      <c r="G414" s="329">
        <v>8300281</v>
      </c>
      <c r="H414" s="329">
        <v>1182392</v>
      </c>
      <c r="I414" s="329">
        <v>7900748</v>
      </c>
      <c r="J414" s="329">
        <v>25242</v>
      </c>
      <c r="K414" s="329">
        <v>17408663</v>
      </c>
      <c r="L414" s="329"/>
      <c r="M414" s="329">
        <v>0</v>
      </c>
      <c r="N414" s="329">
        <v>0</v>
      </c>
      <c r="O414" s="329">
        <v>298930</v>
      </c>
      <c r="P414" s="329">
        <v>298930</v>
      </c>
      <c r="Q414" s="329"/>
      <c r="R414" s="329">
        <v>21593957</v>
      </c>
      <c r="S414" s="329">
        <v>-65341</v>
      </c>
      <c r="T414" s="329">
        <v>21528616</v>
      </c>
    </row>
    <row r="415" spans="1:20">
      <c r="A415" s="335">
        <v>94102</v>
      </c>
      <c r="B415" s="328" t="s">
        <v>1103</v>
      </c>
      <c r="C415" s="239">
        <v>3.3849999999999999E-4</v>
      </c>
      <c r="D415" s="239">
        <v>2.8909999999999998E-4</v>
      </c>
      <c r="E415" s="329">
        <v>924417</v>
      </c>
      <c r="F415" s="329"/>
      <c r="G415" s="329">
        <v>158284</v>
      </c>
      <c r="H415" s="329">
        <v>22548</v>
      </c>
      <c r="I415" s="329">
        <v>150665</v>
      </c>
      <c r="J415" s="329">
        <v>8585</v>
      </c>
      <c r="K415" s="329">
        <v>340082</v>
      </c>
      <c r="L415" s="329"/>
      <c r="M415" s="329">
        <v>0</v>
      </c>
      <c r="N415" s="329">
        <v>0</v>
      </c>
      <c r="O415" s="329">
        <v>33062</v>
      </c>
      <c r="P415" s="329">
        <v>33062</v>
      </c>
      <c r="Q415" s="329"/>
      <c r="R415" s="329">
        <v>411790</v>
      </c>
      <c r="S415" s="329">
        <v>-18351</v>
      </c>
      <c r="T415" s="329">
        <v>393439</v>
      </c>
    </row>
    <row r="416" spans="1:20">
      <c r="A416" s="335">
        <v>94108</v>
      </c>
      <c r="B416" s="328" t="s">
        <v>3697</v>
      </c>
      <c r="C416" s="239">
        <v>3.8289999999999998E-4</v>
      </c>
      <c r="D416" s="239">
        <v>3.8549999999999999E-4</v>
      </c>
      <c r="E416" s="329">
        <v>1045670</v>
      </c>
      <c r="F416" s="329"/>
      <c r="G416" s="329">
        <v>179045</v>
      </c>
      <c r="H416" s="329">
        <v>25505</v>
      </c>
      <c r="I416" s="329">
        <v>170427</v>
      </c>
      <c r="J416" s="329">
        <v>10190</v>
      </c>
      <c r="K416" s="329">
        <v>385167</v>
      </c>
      <c r="L416" s="329"/>
      <c r="M416" s="329">
        <v>0</v>
      </c>
      <c r="N416" s="329">
        <v>0</v>
      </c>
      <c r="O416" s="329">
        <v>71880</v>
      </c>
      <c r="P416" s="329">
        <v>71880</v>
      </c>
      <c r="Q416" s="329"/>
      <c r="R416" s="329">
        <v>465803</v>
      </c>
      <c r="S416" s="329">
        <v>-39681</v>
      </c>
      <c r="T416" s="329">
        <v>426122</v>
      </c>
    </row>
    <row r="417" spans="1:20">
      <c r="A417" s="335">
        <v>94109</v>
      </c>
      <c r="B417" s="328" t="s">
        <v>3698</v>
      </c>
      <c r="C417" s="239">
        <v>1.048E-4</v>
      </c>
      <c r="D417" s="239">
        <v>9.8200000000000002E-5</v>
      </c>
      <c r="E417" s="329">
        <v>286201</v>
      </c>
      <c r="F417" s="329"/>
      <c r="G417" s="329">
        <v>49005</v>
      </c>
      <c r="H417" s="329">
        <v>6981</v>
      </c>
      <c r="I417" s="329">
        <v>46646</v>
      </c>
      <c r="J417" s="329">
        <v>0</v>
      </c>
      <c r="K417" s="329">
        <v>102632</v>
      </c>
      <c r="L417" s="329"/>
      <c r="M417" s="329">
        <v>0</v>
      </c>
      <c r="N417" s="329">
        <v>0</v>
      </c>
      <c r="O417" s="329">
        <v>25222</v>
      </c>
      <c r="P417" s="329">
        <v>25222</v>
      </c>
      <c r="Q417" s="329"/>
      <c r="R417" s="329">
        <v>127491</v>
      </c>
      <c r="S417" s="329">
        <v>-16308</v>
      </c>
      <c r="T417" s="329">
        <v>111183</v>
      </c>
    </row>
    <row r="418" spans="1:20">
      <c r="A418" s="335">
        <v>94111</v>
      </c>
      <c r="B418" s="328" t="s">
        <v>1106</v>
      </c>
      <c r="C418" s="239">
        <v>2.50095E-2</v>
      </c>
      <c r="D418" s="239">
        <v>2.4882899999999999E-2</v>
      </c>
      <c r="E418" s="329">
        <v>68298994</v>
      </c>
      <c r="F418" s="329"/>
      <c r="G418" s="329">
        <v>11694517</v>
      </c>
      <c r="H418" s="329">
        <v>1665908</v>
      </c>
      <c r="I418" s="329">
        <v>11131603</v>
      </c>
      <c r="J418" s="329">
        <v>0</v>
      </c>
      <c r="K418" s="329">
        <v>24492028</v>
      </c>
      <c r="L418" s="329"/>
      <c r="M418" s="329">
        <v>0</v>
      </c>
      <c r="N418" s="329">
        <v>0</v>
      </c>
      <c r="O418" s="329">
        <v>1033094</v>
      </c>
      <c r="P418" s="329">
        <v>1033094</v>
      </c>
      <c r="Q418" s="329"/>
      <c r="R418" s="329">
        <v>30424382</v>
      </c>
      <c r="S418" s="329">
        <v>-695656</v>
      </c>
      <c r="T418" s="329">
        <v>29728726</v>
      </c>
    </row>
    <row r="419" spans="1:20">
      <c r="A419" s="335">
        <v>94112</v>
      </c>
      <c r="B419" s="328" t="s">
        <v>3699</v>
      </c>
      <c r="C419" s="239">
        <v>1.6870000000000001E-4</v>
      </c>
      <c r="D419" s="239">
        <v>1.684E-4</v>
      </c>
      <c r="E419" s="329">
        <v>460707</v>
      </c>
      <c r="F419" s="329"/>
      <c r="G419" s="329">
        <v>78885</v>
      </c>
      <c r="H419" s="329">
        <v>11237</v>
      </c>
      <c r="I419" s="329">
        <v>75088</v>
      </c>
      <c r="J419" s="329">
        <v>0</v>
      </c>
      <c r="K419" s="329">
        <v>165210</v>
      </c>
      <c r="L419" s="329"/>
      <c r="M419" s="329">
        <v>0</v>
      </c>
      <c r="N419" s="329">
        <v>0</v>
      </c>
      <c r="O419" s="329">
        <v>12250</v>
      </c>
      <c r="P419" s="329">
        <v>12250</v>
      </c>
      <c r="Q419" s="329"/>
      <c r="R419" s="329">
        <v>205226</v>
      </c>
      <c r="S419" s="329">
        <v>-7816</v>
      </c>
      <c r="T419" s="329">
        <v>197410</v>
      </c>
    </row>
    <row r="420" spans="1:20">
      <c r="A420" s="335">
        <v>94117</v>
      </c>
      <c r="B420" s="328" t="s">
        <v>2814</v>
      </c>
      <c r="C420" s="239">
        <v>3.232E-4</v>
      </c>
      <c r="D420" s="239">
        <v>3.5429999999999999E-4</v>
      </c>
      <c r="E420" s="329">
        <v>882634</v>
      </c>
      <c r="F420" s="329"/>
      <c r="G420" s="329">
        <v>151129</v>
      </c>
      <c r="H420" s="329">
        <v>21528</v>
      </c>
      <c r="I420" s="329">
        <v>143855</v>
      </c>
      <c r="J420" s="329">
        <v>0</v>
      </c>
      <c r="K420" s="329">
        <v>316512</v>
      </c>
      <c r="L420" s="329"/>
      <c r="M420" s="329">
        <v>0</v>
      </c>
      <c r="N420" s="329">
        <v>0</v>
      </c>
      <c r="O420" s="329">
        <v>31793</v>
      </c>
      <c r="P420" s="329">
        <v>31793</v>
      </c>
      <c r="Q420" s="329"/>
      <c r="R420" s="329">
        <v>393177</v>
      </c>
      <c r="S420" s="329">
        <v>-8846</v>
      </c>
      <c r="T420" s="329">
        <v>384331</v>
      </c>
    </row>
    <row r="421" spans="1:20">
      <c r="A421" s="335">
        <v>94118</v>
      </c>
      <c r="B421" s="328" t="s">
        <v>1109</v>
      </c>
      <c r="C421" s="239">
        <v>1.6009999999999999E-4</v>
      </c>
      <c r="D421" s="239">
        <v>1.6009999999999999E-4</v>
      </c>
      <c r="E421" s="329">
        <v>437221</v>
      </c>
      <c r="F421" s="329"/>
      <c r="G421" s="329">
        <v>74863</v>
      </c>
      <c r="H421" s="329">
        <v>10665</v>
      </c>
      <c r="I421" s="329">
        <v>71260</v>
      </c>
      <c r="J421" s="329">
        <v>0</v>
      </c>
      <c r="K421" s="329">
        <v>156788</v>
      </c>
      <c r="L421" s="329"/>
      <c r="M421" s="329">
        <v>0</v>
      </c>
      <c r="N421" s="329">
        <v>0</v>
      </c>
      <c r="O421" s="329">
        <v>30819</v>
      </c>
      <c r="P421" s="329">
        <v>30819</v>
      </c>
      <c r="Q421" s="329"/>
      <c r="R421" s="329">
        <v>194764</v>
      </c>
      <c r="S421" s="329">
        <v>-21004</v>
      </c>
      <c r="T421" s="329">
        <v>173760</v>
      </c>
    </row>
    <row r="422" spans="1:20">
      <c r="A422" s="335">
        <v>94121</v>
      </c>
      <c r="B422" s="328" t="s">
        <v>1110</v>
      </c>
      <c r="C422" s="239">
        <v>1.1113E-2</v>
      </c>
      <c r="D422" s="239">
        <v>1.1314299999999999E-2</v>
      </c>
      <c r="E422" s="329">
        <v>30348736</v>
      </c>
      <c r="F422" s="329"/>
      <c r="G422" s="329">
        <v>5196472</v>
      </c>
      <c r="H422" s="329">
        <v>740248</v>
      </c>
      <c r="I422" s="329">
        <v>4946341</v>
      </c>
      <c r="J422" s="329">
        <v>130687</v>
      </c>
      <c r="K422" s="329">
        <v>11013748</v>
      </c>
      <c r="L422" s="329"/>
      <c r="M422" s="329">
        <v>0</v>
      </c>
      <c r="N422" s="329">
        <v>0</v>
      </c>
      <c r="O422" s="329">
        <v>57760</v>
      </c>
      <c r="P422" s="329">
        <v>57760</v>
      </c>
      <c r="Q422" s="329"/>
      <c r="R422" s="329">
        <v>13519109</v>
      </c>
      <c r="S422" s="329">
        <v>-8668</v>
      </c>
      <c r="T422" s="329">
        <v>13510441</v>
      </c>
    </row>
    <row r="423" spans="1:20">
      <c r="A423" s="335">
        <v>94127</v>
      </c>
      <c r="B423" s="328" t="s">
        <v>2812</v>
      </c>
      <c r="C423" s="239">
        <v>1.4310000000000001E-4</v>
      </c>
      <c r="D423" s="239">
        <v>1.5310000000000001E-4</v>
      </c>
      <c r="E423" s="329">
        <v>390795</v>
      </c>
      <c r="F423" s="329"/>
      <c r="G423" s="329">
        <v>66914</v>
      </c>
      <c r="H423" s="329">
        <v>9532</v>
      </c>
      <c r="I423" s="329">
        <v>63693</v>
      </c>
      <c r="J423" s="329">
        <v>3653</v>
      </c>
      <c r="K423" s="329">
        <v>143792</v>
      </c>
      <c r="L423" s="329"/>
      <c r="M423" s="329">
        <v>0</v>
      </c>
      <c r="N423" s="329">
        <v>0</v>
      </c>
      <c r="O423" s="329">
        <v>15283</v>
      </c>
      <c r="P423" s="329">
        <v>15283</v>
      </c>
      <c r="Q423" s="329"/>
      <c r="R423" s="329">
        <v>174083</v>
      </c>
      <c r="S423" s="329">
        <v>-2554</v>
      </c>
      <c r="T423" s="329">
        <v>171529</v>
      </c>
    </row>
    <row r="424" spans="1:20">
      <c r="A424" s="335">
        <v>94131</v>
      </c>
      <c r="B424" s="328" t="s">
        <v>1112</v>
      </c>
      <c r="C424" s="239">
        <v>2.1029999999999999E-4</v>
      </c>
      <c r="D424" s="239">
        <v>2.039E-4</v>
      </c>
      <c r="E424" s="329">
        <v>574313</v>
      </c>
      <c r="F424" s="329"/>
      <c r="G424" s="329">
        <v>98337</v>
      </c>
      <c r="H424" s="329">
        <v>14009</v>
      </c>
      <c r="I424" s="329">
        <v>93603</v>
      </c>
      <c r="J424" s="329">
        <v>24110</v>
      </c>
      <c r="K424" s="329">
        <v>230059</v>
      </c>
      <c r="L424" s="329"/>
      <c r="M424" s="329">
        <v>0</v>
      </c>
      <c r="N424" s="329">
        <v>0</v>
      </c>
      <c r="O424" s="329">
        <v>4253</v>
      </c>
      <c r="P424" s="329">
        <v>4253</v>
      </c>
      <c r="Q424" s="329"/>
      <c r="R424" s="329">
        <v>255833</v>
      </c>
      <c r="S424" s="329">
        <v>6700</v>
      </c>
      <c r="T424" s="329">
        <v>262533</v>
      </c>
    </row>
    <row r="425" spans="1:20">
      <c r="A425" s="335">
        <v>94151</v>
      </c>
      <c r="B425" s="328" t="s">
        <v>1113</v>
      </c>
      <c r="C425" s="239">
        <v>4.6660000000000001E-4</v>
      </c>
      <c r="D425" s="239">
        <v>4.6470000000000002E-4</v>
      </c>
      <c r="E425" s="329">
        <v>1274248</v>
      </c>
      <c r="F425" s="329"/>
      <c r="G425" s="329">
        <v>218184</v>
      </c>
      <c r="H425" s="329">
        <v>31081</v>
      </c>
      <c r="I425" s="329">
        <v>207681</v>
      </c>
      <c r="J425" s="329">
        <v>9104</v>
      </c>
      <c r="K425" s="329">
        <v>466050</v>
      </c>
      <c r="L425" s="329"/>
      <c r="M425" s="329">
        <v>0</v>
      </c>
      <c r="N425" s="329">
        <v>0</v>
      </c>
      <c r="O425" s="329">
        <v>32628</v>
      </c>
      <c r="P425" s="329">
        <v>32628</v>
      </c>
      <c r="Q425" s="329"/>
      <c r="R425" s="329">
        <v>567625</v>
      </c>
      <c r="S425" s="329">
        <v>-11523</v>
      </c>
      <c r="T425" s="329">
        <v>556102</v>
      </c>
    </row>
    <row r="426" spans="1:20">
      <c r="A426" s="335">
        <v>94157</v>
      </c>
      <c r="B426" s="328" t="s">
        <v>1114</v>
      </c>
      <c r="C426" s="239">
        <v>8.6000000000000007E-6</v>
      </c>
      <c r="D426" s="239">
        <v>8.4999999999999999E-6</v>
      </c>
      <c r="E426" s="329">
        <v>23486</v>
      </c>
      <c r="F426" s="329"/>
      <c r="G426" s="329">
        <v>4021</v>
      </c>
      <c r="H426" s="329">
        <v>573</v>
      </c>
      <c r="I426" s="329">
        <v>3828</v>
      </c>
      <c r="J426" s="329">
        <v>2393</v>
      </c>
      <c r="K426" s="329">
        <v>10815</v>
      </c>
      <c r="L426" s="329"/>
      <c r="M426" s="329">
        <v>0</v>
      </c>
      <c r="N426" s="329">
        <v>0</v>
      </c>
      <c r="O426" s="329">
        <v>0</v>
      </c>
      <c r="P426" s="329">
        <v>0</v>
      </c>
      <c r="Q426" s="329"/>
      <c r="R426" s="329">
        <v>10462</v>
      </c>
      <c r="S426" s="329">
        <v>1538</v>
      </c>
      <c r="T426" s="329">
        <v>12000</v>
      </c>
    </row>
    <row r="427" spans="1:20">
      <c r="A427" s="335">
        <v>94161</v>
      </c>
      <c r="B427" s="328" t="s">
        <v>1115</v>
      </c>
      <c r="C427" s="239">
        <v>4.8600000000000002E-5</v>
      </c>
      <c r="D427" s="239">
        <v>3.4999999999999997E-5</v>
      </c>
      <c r="E427" s="329">
        <v>132723</v>
      </c>
      <c r="F427" s="329"/>
      <c r="G427" s="329">
        <v>22726</v>
      </c>
      <c r="H427" s="329">
        <v>3237</v>
      </c>
      <c r="I427" s="329">
        <v>21632</v>
      </c>
      <c r="J427" s="329">
        <v>13179</v>
      </c>
      <c r="K427" s="329">
        <v>60774</v>
      </c>
      <c r="L427" s="329"/>
      <c r="M427" s="329">
        <v>0</v>
      </c>
      <c r="N427" s="329">
        <v>0</v>
      </c>
      <c r="O427" s="329">
        <v>7165</v>
      </c>
      <c r="P427" s="329">
        <v>7165</v>
      </c>
      <c r="Q427" s="329"/>
      <c r="R427" s="329">
        <v>59123</v>
      </c>
      <c r="S427" s="329">
        <v>2701</v>
      </c>
      <c r="T427" s="329">
        <v>61824</v>
      </c>
    </row>
    <row r="428" spans="1:20">
      <c r="A428" s="335">
        <v>94168</v>
      </c>
      <c r="B428" s="328" t="s">
        <v>1116</v>
      </c>
      <c r="C428" s="239">
        <v>5.5099999999999998E-5</v>
      </c>
      <c r="D428" s="239">
        <v>5.0800000000000002E-5</v>
      </c>
      <c r="E428" s="329">
        <v>150474</v>
      </c>
      <c r="F428" s="329"/>
      <c r="G428" s="329">
        <v>25765</v>
      </c>
      <c r="H428" s="329">
        <v>3670</v>
      </c>
      <c r="I428" s="329">
        <v>24525</v>
      </c>
      <c r="J428" s="329">
        <v>13506</v>
      </c>
      <c r="K428" s="329">
        <v>67466</v>
      </c>
      <c r="L428" s="329"/>
      <c r="M428" s="329">
        <v>0</v>
      </c>
      <c r="N428" s="329">
        <v>0</v>
      </c>
      <c r="O428" s="329">
        <v>2868</v>
      </c>
      <c r="P428" s="329">
        <v>2868</v>
      </c>
      <c r="Q428" s="329"/>
      <c r="R428" s="329">
        <v>67030</v>
      </c>
      <c r="S428" s="329">
        <v>1001</v>
      </c>
      <c r="T428" s="329">
        <v>68031</v>
      </c>
    </row>
    <row r="429" spans="1:20">
      <c r="A429" s="335">
        <v>94171</v>
      </c>
      <c r="B429" s="328" t="s">
        <v>1117</v>
      </c>
      <c r="C429" s="239">
        <v>6.1799999999999998E-5</v>
      </c>
      <c r="D429" s="239">
        <v>7.9800000000000002E-5</v>
      </c>
      <c r="E429" s="329">
        <v>168771</v>
      </c>
      <c r="F429" s="329"/>
      <c r="G429" s="329">
        <v>28898</v>
      </c>
      <c r="H429" s="329">
        <v>4116</v>
      </c>
      <c r="I429" s="329">
        <v>27507</v>
      </c>
      <c r="J429" s="329">
        <v>4442</v>
      </c>
      <c r="K429" s="329">
        <v>64963</v>
      </c>
      <c r="L429" s="329"/>
      <c r="M429" s="329">
        <v>0</v>
      </c>
      <c r="N429" s="329">
        <v>0</v>
      </c>
      <c r="O429" s="329">
        <v>16587</v>
      </c>
      <c r="P429" s="329">
        <v>16587</v>
      </c>
      <c r="Q429" s="329"/>
      <c r="R429" s="329">
        <v>75181</v>
      </c>
      <c r="S429" s="329">
        <v>-397</v>
      </c>
      <c r="T429" s="329">
        <v>74784</v>
      </c>
    </row>
    <row r="430" spans="1:20">
      <c r="A430" s="335">
        <v>94172</v>
      </c>
      <c r="B430" s="328" t="s">
        <v>1118</v>
      </c>
      <c r="C430" s="239">
        <v>2.8210000000000003E-4</v>
      </c>
      <c r="D430" s="239">
        <v>2.833E-4</v>
      </c>
      <c r="E430" s="329">
        <v>770393</v>
      </c>
      <c r="F430" s="329"/>
      <c r="G430" s="329">
        <v>131911</v>
      </c>
      <c r="H430" s="329">
        <v>18791</v>
      </c>
      <c r="I430" s="329">
        <v>125561</v>
      </c>
      <c r="J430" s="329">
        <v>0</v>
      </c>
      <c r="K430" s="329">
        <v>276263</v>
      </c>
      <c r="L430" s="329"/>
      <c r="M430" s="329">
        <v>0</v>
      </c>
      <c r="N430" s="329">
        <v>0</v>
      </c>
      <c r="O430" s="329">
        <v>60948</v>
      </c>
      <c r="P430" s="329">
        <v>60948</v>
      </c>
      <c r="Q430" s="329"/>
      <c r="R430" s="329">
        <v>343178</v>
      </c>
      <c r="S430" s="329">
        <v>-35345</v>
      </c>
      <c r="T430" s="329">
        <v>307833</v>
      </c>
    </row>
    <row r="431" spans="1:20">
      <c r="A431" s="335">
        <v>94201</v>
      </c>
      <c r="B431" s="328" t="s">
        <v>1119</v>
      </c>
      <c r="C431" s="239">
        <v>3.2504999999999999E-3</v>
      </c>
      <c r="D431" s="239">
        <v>3.2913999999999999E-3</v>
      </c>
      <c r="E431" s="329">
        <v>8876862</v>
      </c>
      <c r="F431" s="329"/>
      <c r="G431" s="329">
        <v>1519944</v>
      </c>
      <c r="H431" s="329">
        <v>216519</v>
      </c>
      <c r="I431" s="329">
        <v>1446781</v>
      </c>
      <c r="J431" s="329">
        <v>14622</v>
      </c>
      <c r="K431" s="329">
        <v>3197866</v>
      </c>
      <c r="L431" s="329"/>
      <c r="M431" s="329">
        <v>0</v>
      </c>
      <c r="N431" s="329">
        <v>0</v>
      </c>
      <c r="O431" s="329">
        <v>59411</v>
      </c>
      <c r="P431" s="329">
        <v>59411</v>
      </c>
      <c r="Q431" s="329"/>
      <c r="R431" s="329">
        <v>3954276</v>
      </c>
      <c r="S431" s="329">
        <v>-7209</v>
      </c>
      <c r="T431" s="329">
        <v>3947067</v>
      </c>
    </row>
    <row r="432" spans="1:20">
      <c r="A432" s="335">
        <v>94204</v>
      </c>
      <c r="B432" s="328" t="s">
        <v>1120</v>
      </c>
      <c r="C432" s="239">
        <v>2.97E-5</v>
      </c>
      <c r="D432" s="239">
        <v>2.73E-5</v>
      </c>
      <c r="E432" s="329">
        <v>81108</v>
      </c>
      <c r="F432" s="329"/>
      <c r="G432" s="329">
        <v>13888</v>
      </c>
      <c r="H432" s="329">
        <v>1978</v>
      </c>
      <c r="I432" s="329">
        <v>13219</v>
      </c>
      <c r="J432" s="329">
        <v>11627</v>
      </c>
      <c r="K432" s="329">
        <v>40712</v>
      </c>
      <c r="L432" s="329"/>
      <c r="M432" s="329">
        <v>0</v>
      </c>
      <c r="N432" s="329">
        <v>0</v>
      </c>
      <c r="O432" s="329">
        <v>0</v>
      </c>
      <c r="P432" s="329">
        <v>0</v>
      </c>
      <c r="Q432" s="329"/>
      <c r="R432" s="329">
        <v>36130</v>
      </c>
      <c r="S432" s="329">
        <v>5970</v>
      </c>
      <c r="T432" s="329">
        <v>42100</v>
      </c>
    </row>
    <row r="433" spans="1:20" ht="30">
      <c r="A433" s="335">
        <v>94205</v>
      </c>
      <c r="B433" s="328" t="s">
        <v>1121</v>
      </c>
      <c r="C433" s="239">
        <v>1.6200000000000001E-5</v>
      </c>
      <c r="D433" s="239">
        <v>1.8300000000000001E-5</v>
      </c>
      <c r="E433" s="329">
        <v>44241</v>
      </c>
      <c r="F433" s="329"/>
      <c r="G433" s="329">
        <v>7575</v>
      </c>
      <c r="H433" s="329">
        <v>1079</v>
      </c>
      <c r="I433" s="329">
        <v>7211</v>
      </c>
      <c r="J433" s="329">
        <v>1732</v>
      </c>
      <c r="K433" s="329">
        <v>17597</v>
      </c>
      <c r="L433" s="329"/>
      <c r="M433" s="329">
        <v>0</v>
      </c>
      <c r="N433" s="329">
        <v>0</v>
      </c>
      <c r="O433" s="329">
        <v>852</v>
      </c>
      <c r="P433" s="329">
        <v>852</v>
      </c>
      <c r="Q433" s="329"/>
      <c r="R433" s="329">
        <v>19708</v>
      </c>
      <c r="S433" s="329">
        <v>672</v>
      </c>
      <c r="T433" s="329">
        <v>20380</v>
      </c>
    </row>
    <row r="434" spans="1:20">
      <c r="A434" s="335">
        <v>94209</v>
      </c>
      <c r="B434" s="328" t="s">
        <v>1122</v>
      </c>
      <c r="C434" s="239">
        <v>3.2519999999999999E-4</v>
      </c>
      <c r="D434" s="239">
        <v>3.1700000000000001E-4</v>
      </c>
      <c r="E434" s="329">
        <v>888096</v>
      </c>
      <c r="F434" s="329"/>
      <c r="G434" s="329">
        <v>152064</v>
      </c>
      <c r="H434" s="329">
        <v>21662</v>
      </c>
      <c r="I434" s="329">
        <v>144745</v>
      </c>
      <c r="J434" s="329">
        <v>11428</v>
      </c>
      <c r="K434" s="329">
        <v>329899</v>
      </c>
      <c r="L434" s="329"/>
      <c r="M434" s="329">
        <v>0</v>
      </c>
      <c r="N434" s="329">
        <v>0</v>
      </c>
      <c r="O434" s="329">
        <v>14966</v>
      </c>
      <c r="P434" s="329">
        <v>14966</v>
      </c>
      <c r="Q434" s="329"/>
      <c r="R434" s="329">
        <v>395610</v>
      </c>
      <c r="S434" s="329">
        <v>2505</v>
      </c>
      <c r="T434" s="329">
        <v>398115</v>
      </c>
    </row>
    <row r="435" spans="1:20">
      <c r="A435" s="335">
        <v>94211</v>
      </c>
      <c r="B435" s="328" t="s">
        <v>1123</v>
      </c>
      <c r="C435" s="239">
        <v>1.5359999999999999E-4</v>
      </c>
      <c r="D435" s="239">
        <v>1.615E-4</v>
      </c>
      <c r="E435" s="329">
        <v>419470</v>
      </c>
      <c r="F435" s="329"/>
      <c r="G435" s="329">
        <v>71824</v>
      </c>
      <c r="H435" s="329">
        <v>10231</v>
      </c>
      <c r="I435" s="329">
        <v>68367</v>
      </c>
      <c r="J435" s="329">
        <v>8181</v>
      </c>
      <c r="K435" s="329">
        <v>158603</v>
      </c>
      <c r="L435" s="329"/>
      <c r="M435" s="329">
        <v>0</v>
      </c>
      <c r="N435" s="329">
        <v>0</v>
      </c>
      <c r="O435" s="329">
        <v>7173</v>
      </c>
      <c r="P435" s="329">
        <v>7173</v>
      </c>
      <c r="Q435" s="329"/>
      <c r="R435" s="329">
        <v>186856</v>
      </c>
      <c r="S435" s="329">
        <v>-2244</v>
      </c>
      <c r="T435" s="329">
        <v>184612</v>
      </c>
    </row>
    <row r="436" spans="1:20">
      <c r="A436" s="335">
        <v>94221</v>
      </c>
      <c r="B436" s="328" t="s">
        <v>1124</v>
      </c>
      <c r="C436" s="239">
        <v>9.8189999999999996E-4</v>
      </c>
      <c r="D436" s="239">
        <v>1.0311999999999999E-3</v>
      </c>
      <c r="E436" s="329">
        <v>2681492</v>
      </c>
      <c r="F436" s="329"/>
      <c r="G436" s="329">
        <v>459139</v>
      </c>
      <c r="H436" s="329">
        <v>65405</v>
      </c>
      <c r="I436" s="329">
        <v>437039</v>
      </c>
      <c r="J436" s="329">
        <v>0</v>
      </c>
      <c r="K436" s="329">
        <v>961583</v>
      </c>
      <c r="L436" s="329"/>
      <c r="M436" s="329">
        <v>0</v>
      </c>
      <c r="N436" s="329">
        <v>0</v>
      </c>
      <c r="O436" s="329">
        <v>108029</v>
      </c>
      <c r="P436" s="329">
        <v>108029</v>
      </c>
      <c r="Q436" s="329"/>
      <c r="R436" s="329">
        <v>1194494</v>
      </c>
      <c r="S436" s="329">
        <v>-19221</v>
      </c>
      <c r="T436" s="329">
        <v>1175273</v>
      </c>
    </row>
    <row r="437" spans="1:20" ht="14.25" customHeight="1">
      <c r="A437" s="335">
        <v>94231</v>
      </c>
      <c r="B437" s="328" t="s">
        <v>1125</v>
      </c>
      <c r="C437" s="239">
        <v>1.485E-4</v>
      </c>
      <c r="D437" s="239">
        <v>2.009E-4</v>
      </c>
      <c r="E437" s="329">
        <v>405542</v>
      </c>
      <c r="F437" s="329"/>
      <c r="G437" s="329">
        <v>69439</v>
      </c>
      <c r="H437" s="329">
        <v>9891</v>
      </c>
      <c r="I437" s="329">
        <v>66097</v>
      </c>
      <c r="J437" s="329">
        <v>3884</v>
      </c>
      <c r="K437" s="329">
        <v>149311</v>
      </c>
      <c r="L437" s="329"/>
      <c r="M437" s="329">
        <v>0</v>
      </c>
      <c r="N437" s="329">
        <v>0</v>
      </c>
      <c r="O437" s="329">
        <v>58586</v>
      </c>
      <c r="P437" s="329">
        <v>58586</v>
      </c>
      <c r="Q437" s="329"/>
      <c r="R437" s="329">
        <v>180652</v>
      </c>
      <c r="S437" s="329">
        <v>-15667</v>
      </c>
      <c r="T437" s="329">
        <v>164985</v>
      </c>
    </row>
    <row r="438" spans="1:20">
      <c r="A438" s="335">
        <v>94241</v>
      </c>
      <c r="B438" s="328" t="s">
        <v>1126</v>
      </c>
      <c r="C438" s="239">
        <v>1.106E-4</v>
      </c>
      <c r="D438" s="239">
        <v>1.227E-4</v>
      </c>
      <c r="E438" s="329">
        <v>302040</v>
      </c>
      <c r="F438" s="329"/>
      <c r="G438" s="329">
        <v>51717</v>
      </c>
      <c r="H438" s="329">
        <v>7367</v>
      </c>
      <c r="I438" s="329">
        <v>49228</v>
      </c>
      <c r="J438" s="329">
        <v>12758</v>
      </c>
      <c r="K438" s="329">
        <v>121070</v>
      </c>
      <c r="L438" s="329"/>
      <c r="M438" s="329">
        <v>0</v>
      </c>
      <c r="N438" s="329">
        <v>0</v>
      </c>
      <c r="O438" s="329">
        <v>14172</v>
      </c>
      <c r="P438" s="329">
        <v>14172</v>
      </c>
      <c r="Q438" s="329"/>
      <c r="R438" s="329">
        <v>134546</v>
      </c>
      <c r="S438" s="329">
        <v>2301</v>
      </c>
      <c r="T438" s="329">
        <v>136847</v>
      </c>
    </row>
    <row r="439" spans="1:20">
      <c r="A439" s="335">
        <v>94251</v>
      </c>
      <c r="B439" s="328" t="s">
        <v>1127</v>
      </c>
      <c r="C439" s="239">
        <v>1.7799999999999999E-5</v>
      </c>
      <c r="D439" s="239">
        <v>1.59E-5</v>
      </c>
      <c r="E439" s="329">
        <v>48610</v>
      </c>
      <c r="F439" s="329"/>
      <c r="G439" s="329">
        <v>8323</v>
      </c>
      <c r="H439" s="329">
        <v>1186</v>
      </c>
      <c r="I439" s="329">
        <v>7923</v>
      </c>
      <c r="J439" s="329">
        <v>3310</v>
      </c>
      <c r="K439" s="329">
        <v>20742</v>
      </c>
      <c r="L439" s="329"/>
      <c r="M439" s="329">
        <v>0</v>
      </c>
      <c r="N439" s="329">
        <v>0</v>
      </c>
      <c r="O439" s="329">
        <v>1725</v>
      </c>
      <c r="P439" s="329">
        <v>1725</v>
      </c>
      <c r="Q439" s="329"/>
      <c r="R439" s="329">
        <v>21654</v>
      </c>
      <c r="S439" s="329">
        <v>-1486</v>
      </c>
      <c r="T439" s="329">
        <v>20168</v>
      </c>
    </row>
    <row r="440" spans="1:20">
      <c r="A440" s="335">
        <v>94261</v>
      </c>
      <c r="B440" s="328" t="s">
        <v>1128</v>
      </c>
      <c r="C440" s="239">
        <v>4.6600000000000001E-5</v>
      </c>
      <c r="D440" s="239">
        <v>3.6199999999999999E-5</v>
      </c>
      <c r="E440" s="329">
        <v>127261</v>
      </c>
      <c r="F440" s="329"/>
      <c r="G440" s="329">
        <v>21790</v>
      </c>
      <c r="H440" s="329">
        <v>3104</v>
      </c>
      <c r="I440" s="329">
        <v>20741</v>
      </c>
      <c r="J440" s="329">
        <v>12126</v>
      </c>
      <c r="K440" s="329">
        <v>57761</v>
      </c>
      <c r="L440" s="329"/>
      <c r="M440" s="329">
        <v>0</v>
      </c>
      <c r="N440" s="329">
        <v>0</v>
      </c>
      <c r="O440" s="329">
        <v>592</v>
      </c>
      <c r="P440" s="329">
        <v>592</v>
      </c>
      <c r="Q440" s="329"/>
      <c r="R440" s="329">
        <v>56690</v>
      </c>
      <c r="S440" s="329">
        <v>6167</v>
      </c>
      <c r="T440" s="329">
        <v>62857</v>
      </c>
    </row>
    <row r="441" spans="1:20">
      <c r="A441" s="335">
        <v>94301</v>
      </c>
      <c r="B441" s="328" t="s">
        <v>1129</v>
      </c>
      <c r="C441" s="239">
        <v>6.3099000000000002E-3</v>
      </c>
      <c r="D441" s="239">
        <v>6.3552000000000001E-3</v>
      </c>
      <c r="E441" s="329">
        <v>17231845</v>
      </c>
      <c r="F441" s="329"/>
      <c r="G441" s="329">
        <v>2950528</v>
      </c>
      <c r="H441" s="329">
        <v>420308</v>
      </c>
      <c r="I441" s="329">
        <v>2808505</v>
      </c>
      <c r="J441" s="329">
        <v>41865</v>
      </c>
      <c r="K441" s="329">
        <v>6221206</v>
      </c>
      <c r="L441" s="329"/>
      <c r="M441" s="329">
        <v>0</v>
      </c>
      <c r="N441" s="329">
        <v>0</v>
      </c>
      <c r="O441" s="329">
        <v>133926</v>
      </c>
      <c r="P441" s="329">
        <v>133926</v>
      </c>
      <c r="Q441" s="329"/>
      <c r="R441" s="329">
        <v>7676075</v>
      </c>
      <c r="S441" s="329">
        <v>-54423</v>
      </c>
      <c r="T441" s="329">
        <v>7621652</v>
      </c>
    </row>
    <row r="442" spans="1:20">
      <c r="A442" s="335">
        <v>94311</v>
      </c>
      <c r="B442" s="328" t="s">
        <v>1130</v>
      </c>
      <c r="C442" s="239">
        <v>7.7700000000000002E-4</v>
      </c>
      <c r="D442" s="239">
        <v>7.4359999999999997E-4</v>
      </c>
      <c r="E442" s="329">
        <v>2121926</v>
      </c>
      <c r="F442" s="329"/>
      <c r="G442" s="329">
        <v>363328</v>
      </c>
      <c r="H442" s="329">
        <v>51756</v>
      </c>
      <c r="I442" s="329">
        <v>345839</v>
      </c>
      <c r="J442" s="329">
        <v>47222</v>
      </c>
      <c r="K442" s="329">
        <v>808145</v>
      </c>
      <c r="L442" s="329"/>
      <c r="M442" s="329">
        <v>0</v>
      </c>
      <c r="N442" s="329">
        <v>0</v>
      </c>
      <c r="O442" s="329">
        <v>27779</v>
      </c>
      <c r="P442" s="329">
        <v>27779</v>
      </c>
      <c r="Q442" s="329"/>
      <c r="R442" s="329">
        <v>945231</v>
      </c>
      <c r="S442" s="329">
        <v>-11350</v>
      </c>
      <c r="T442" s="329">
        <v>933881</v>
      </c>
    </row>
    <row r="443" spans="1:20">
      <c r="A443" s="335">
        <v>94313</v>
      </c>
      <c r="B443" s="328" t="s">
        <v>1131</v>
      </c>
      <c r="C443" s="239">
        <v>1.4399999999999999E-5</v>
      </c>
      <c r="D443" s="239">
        <v>2.1699999999999999E-5</v>
      </c>
      <c r="E443" s="329">
        <v>39325</v>
      </c>
      <c r="F443" s="329"/>
      <c r="G443" s="329">
        <v>6733</v>
      </c>
      <c r="H443" s="329">
        <v>959</v>
      </c>
      <c r="I443" s="329">
        <v>6409</v>
      </c>
      <c r="J443" s="329">
        <v>5810</v>
      </c>
      <c r="K443" s="329">
        <v>19911</v>
      </c>
      <c r="L443" s="329"/>
      <c r="M443" s="329">
        <v>0</v>
      </c>
      <c r="N443" s="329">
        <v>0</v>
      </c>
      <c r="O443" s="329">
        <v>407</v>
      </c>
      <c r="P443" s="329">
        <v>407</v>
      </c>
      <c r="Q443" s="329"/>
      <c r="R443" s="329">
        <v>17518</v>
      </c>
      <c r="S443" s="329">
        <v>3399</v>
      </c>
      <c r="T443" s="329">
        <v>20917</v>
      </c>
    </row>
    <row r="444" spans="1:20">
      <c r="A444" s="335">
        <v>94317</v>
      </c>
      <c r="B444" s="328" t="s">
        <v>1132</v>
      </c>
      <c r="C444" s="239">
        <v>1.0699999999999999E-5</v>
      </c>
      <c r="D444" s="239">
        <v>1.15E-5</v>
      </c>
      <c r="E444" s="329">
        <v>29221</v>
      </c>
      <c r="F444" s="329"/>
      <c r="G444" s="329">
        <v>5003</v>
      </c>
      <c r="H444" s="329">
        <v>713</v>
      </c>
      <c r="I444" s="329">
        <v>4763</v>
      </c>
      <c r="J444" s="329">
        <v>8780</v>
      </c>
      <c r="K444" s="329">
        <v>19259</v>
      </c>
      <c r="L444" s="329"/>
      <c r="M444" s="329">
        <v>0</v>
      </c>
      <c r="N444" s="329">
        <v>0</v>
      </c>
      <c r="O444" s="329">
        <v>0</v>
      </c>
      <c r="P444" s="329">
        <v>0</v>
      </c>
      <c r="Q444" s="329"/>
      <c r="R444" s="329">
        <v>13017</v>
      </c>
      <c r="S444" s="329">
        <v>4113</v>
      </c>
      <c r="T444" s="329">
        <v>17130</v>
      </c>
    </row>
    <row r="445" spans="1:20">
      <c r="A445" s="335">
        <v>94321</v>
      </c>
      <c r="B445" s="328" t="s">
        <v>1133</v>
      </c>
      <c r="C445" s="239">
        <v>2.8079999999999999E-4</v>
      </c>
      <c r="D445" s="239">
        <v>2.8160000000000001E-4</v>
      </c>
      <c r="E445" s="329">
        <v>766843</v>
      </c>
      <c r="F445" s="329"/>
      <c r="G445" s="329">
        <v>131303</v>
      </c>
      <c r="H445" s="329">
        <v>18704</v>
      </c>
      <c r="I445" s="329">
        <v>124983</v>
      </c>
      <c r="J445" s="329">
        <v>0</v>
      </c>
      <c r="K445" s="329">
        <v>274990</v>
      </c>
      <c r="L445" s="329"/>
      <c r="M445" s="329">
        <v>0</v>
      </c>
      <c r="N445" s="329">
        <v>0</v>
      </c>
      <c r="O445" s="329">
        <v>16865</v>
      </c>
      <c r="P445" s="329">
        <v>16865</v>
      </c>
      <c r="Q445" s="329"/>
      <c r="R445" s="329">
        <v>341597</v>
      </c>
      <c r="S445" s="329">
        <v>-10396</v>
      </c>
      <c r="T445" s="329">
        <v>331201</v>
      </c>
    </row>
    <row r="446" spans="1:20">
      <c r="A446" s="335">
        <v>94331</v>
      </c>
      <c r="B446" s="328" t="s">
        <v>1134</v>
      </c>
      <c r="C446" s="239">
        <v>1.5190000000000001E-4</v>
      </c>
      <c r="D446" s="239">
        <v>1.6090000000000001E-4</v>
      </c>
      <c r="E446" s="329">
        <v>414827</v>
      </c>
      <c r="F446" s="329"/>
      <c r="G446" s="329">
        <v>71029</v>
      </c>
      <c r="H446" s="329">
        <v>10119</v>
      </c>
      <c r="I446" s="329">
        <v>67610</v>
      </c>
      <c r="J446" s="329">
        <v>13781</v>
      </c>
      <c r="K446" s="329">
        <v>162539</v>
      </c>
      <c r="L446" s="329"/>
      <c r="M446" s="329">
        <v>0</v>
      </c>
      <c r="N446" s="329">
        <v>0</v>
      </c>
      <c r="O446" s="329">
        <v>11675</v>
      </c>
      <c r="P446" s="329">
        <v>11675</v>
      </c>
      <c r="Q446" s="329"/>
      <c r="R446" s="329">
        <v>184788</v>
      </c>
      <c r="S446" s="329">
        <v>1338</v>
      </c>
      <c r="T446" s="329">
        <v>186126</v>
      </c>
    </row>
    <row r="447" spans="1:20">
      <c r="A447" s="335">
        <v>94341</v>
      </c>
      <c r="B447" s="328" t="s">
        <v>1135</v>
      </c>
      <c r="C447" s="239">
        <v>9.8800000000000003E-5</v>
      </c>
      <c r="D447" s="239">
        <v>8.3300000000000005E-5</v>
      </c>
      <c r="E447" s="329">
        <v>269815</v>
      </c>
      <c r="F447" s="329"/>
      <c r="G447" s="329">
        <v>46199</v>
      </c>
      <c r="H447" s="329">
        <v>6581</v>
      </c>
      <c r="I447" s="329">
        <v>43975</v>
      </c>
      <c r="J447" s="329">
        <v>9215</v>
      </c>
      <c r="K447" s="329">
        <v>105970</v>
      </c>
      <c r="L447" s="329"/>
      <c r="M447" s="329">
        <v>0</v>
      </c>
      <c r="N447" s="329">
        <v>0</v>
      </c>
      <c r="O447" s="329">
        <v>8536</v>
      </c>
      <c r="P447" s="329">
        <v>8536</v>
      </c>
      <c r="Q447" s="329"/>
      <c r="R447" s="329">
        <v>120191</v>
      </c>
      <c r="S447" s="329">
        <v>-683</v>
      </c>
      <c r="T447" s="329">
        <v>119508</v>
      </c>
    </row>
    <row r="448" spans="1:20">
      <c r="A448" s="335">
        <v>94347</v>
      </c>
      <c r="B448" s="328" t="s">
        <v>1136</v>
      </c>
      <c r="C448" s="239">
        <v>1.17E-5</v>
      </c>
      <c r="D448" s="239">
        <v>7.9999999999999996E-6</v>
      </c>
      <c r="E448" s="329">
        <v>31952</v>
      </c>
      <c r="F448" s="329"/>
      <c r="G448" s="329">
        <v>5471</v>
      </c>
      <c r="H448" s="329">
        <v>779</v>
      </c>
      <c r="I448" s="329">
        <v>5208</v>
      </c>
      <c r="J448" s="329">
        <v>7356</v>
      </c>
      <c r="K448" s="329">
        <v>18814</v>
      </c>
      <c r="L448" s="329"/>
      <c r="M448" s="329">
        <v>0</v>
      </c>
      <c r="N448" s="329">
        <v>0</v>
      </c>
      <c r="O448" s="329">
        <v>711</v>
      </c>
      <c r="P448" s="329">
        <v>711</v>
      </c>
      <c r="Q448" s="329"/>
      <c r="R448" s="329">
        <v>14233</v>
      </c>
      <c r="S448" s="329">
        <v>2184</v>
      </c>
      <c r="T448" s="329">
        <v>16417</v>
      </c>
    </row>
    <row r="449" spans="1:20" ht="14.25" customHeight="1">
      <c r="A449" s="335">
        <v>94351</v>
      </c>
      <c r="B449" s="328" t="s">
        <v>1137</v>
      </c>
      <c r="C449" s="239">
        <v>2.2680000000000001E-4</v>
      </c>
      <c r="D449" s="239">
        <v>2.477E-4</v>
      </c>
      <c r="E449" s="329">
        <v>619373</v>
      </c>
      <c r="F449" s="329"/>
      <c r="G449" s="329">
        <v>106052</v>
      </c>
      <c r="H449" s="329">
        <v>15107</v>
      </c>
      <c r="I449" s="329">
        <v>100948</v>
      </c>
      <c r="J449" s="329">
        <v>0</v>
      </c>
      <c r="K449" s="329">
        <v>222107</v>
      </c>
      <c r="L449" s="329"/>
      <c r="M449" s="329">
        <v>0</v>
      </c>
      <c r="N449" s="329">
        <v>0</v>
      </c>
      <c r="O449" s="329">
        <v>21256</v>
      </c>
      <c r="P449" s="329">
        <v>21256</v>
      </c>
      <c r="Q449" s="329"/>
      <c r="R449" s="329">
        <v>275905</v>
      </c>
      <c r="S449" s="329">
        <v>-5433</v>
      </c>
      <c r="T449" s="329">
        <v>270472</v>
      </c>
    </row>
    <row r="450" spans="1:20">
      <c r="A450" s="335">
        <v>94401</v>
      </c>
      <c r="B450" s="328" t="s">
        <v>1138</v>
      </c>
      <c r="C450" s="239">
        <v>3.4440999999999999E-3</v>
      </c>
      <c r="D450" s="239">
        <v>3.2688999999999999E-3</v>
      </c>
      <c r="E450" s="329">
        <v>9405568</v>
      </c>
      <c r="F450" s="329"/>
      <c r="G450" s="329">
        <v>1610471</v>
      </c>
      <c r="H450" s="329">
        <v>229415</v>
      </c>
      <c r="I450" s="329">
        <v>1532952</v>
      </c>
      <c r="J450" s="329">
        <v>102722</v>
      </c>
      <c r="K450" s="329">
        <v>3475560</v>
      </c>
      <c r="L450" s="329"/>
      <c r="M450" s="329">
        <v>0</v>
      </c>
      <c r="N450" s="329">
        <v>0</v>
      </c>
      <c r="O450" s="329">
        <v>41729</v>
      </c>
      <c r="P450" s="329">
        <v>41729</v>
      </c>
      <c r="Q450" s="329"/>
      <c r="R450" s="329">
        <v>4189792</v>
      </c>
      <c r="S450" s="329">
        <v>13407</v>
      </c>
      <c r="T450" s="329">
        <v>4203199</v>
      </c>
    </row>
    <row r="451" spans="1:20" ht="30">
      <c r="A451" s="335">
        <v>94403</v>
      </c>
      <c r="B451" s="328" t="s">
        <v>1140</v>
      </c>
      <c r="C451" s="239">
        <v>3.7400000000000001E-5</v>
      </c>
      <c r="D451" s="239">
        <v>3.1900000000000003E-5</v>
      </c>
      <c r="E451" s="329">
        <v>102136</v>
      </c>
      <c r="F451" s="329"/>
      <c r="G451" s="329">
        <v>17488</v>
      </c>
      <c r="H451" s="329">
        <v>2491</v>
      </c>
      <c r="I451" s="329">
        <v>16647</v>
      </c>
      <c r="J451" s="329">
        <v>17346</v>
      </c>
      <c r="K451" s="329">
        <v>53972</v>
      </c>
      <c r="L451" s="329"/>
      <c r="M451" s="329">
        <v>0</v>
      </c>
      <c r="N451" s="329">
        <v>0</v>
      </c>
      <c r="O451" s="329">
        <v>0</v>
      </c>
      <c r="P451" s="329">
        <v>0</v>
      </c>
      <c r="Q451" s="329"/>
      <c r="R451" s="329">
        <v>45498</v>
      </c>
      <c r="S451" s="329">
        <v>6656</v>
      </c>
      <c r="T451" s="329">
        <v>52154</v>
      </c>
    </row>
    <row r="452" spans="1:20">
      <c r="A452" s="335">
        <v>94408</v>
      </c>
      <c r="B452" s="328" t="s">
        <v>1141</v>
      </c>
      <c r="C452" s="239">
        <v>6.2000000000000003E-5</v>
      </c>
      <c r="D452" s="239">
        <v>4.6E-5</v>
      </c>
      <c r="E452" s="329">
        <v>169317</v>
      </c>
      <c r="F452" s="329"/>
      <c r="G452" s="329">
        <v>28991</v>
      </c>
      <c r="H452" s="329">
        <v>4129</v>
      </c>
      <c r="I452" s="329">
        <v>27596</v>
      </c>
      <c r="J452" s="329">
        <v>11048</v>
      </c>
      <c r="K452" s="329">
        <v>71764</v>
      </c>
      <c r="L452" s="329"/>
      <c r="M452" s="329">
        <v>0</v>
      </c>
      <c r="N452" s="329">
        <v>0</v>
      </c>
      <c r="O452" s="329">
        <v>1930</v>
      </c>
      <c r="P452" s="329">
        <v>1930</v>
      </c>
      <c r="Q452" s="329"/>
      <c r="R452" s="329">
        <v>75424</v>
      </c>
      <c r="S452" s="329">
        <v>4138</v>
      </c>
      <c r="T452" s="329">
        <v>79562</v>
      </c>
    </row>
    <row r="453" spans="1:20">
      <c r="A453" s="335">
        <v>94411</v>
      </c>
      <c r="B453" s="328" t="s">
        <v>1142</v>
      </c>
      <c r="C453" s="239">
        <v>1.2472E-3</v>
      </c>
      <c r="D453" s="239">
        <v>1.2620000000000001E-3</v>
      </c>
      <c r="E453" s="329">
        <v>3406006</v>
      </c>
      <c r="F453" s="329"/>
      <c r="G453" s="329">
        <v>583194</v>
      </c>
      <c r="H453" s="329">
        <v>83078</v>
      </c>
      <c r="I453" s="329">
        <v>555122</v>
      </c>
      <c r="J453" s="329">
        <v>25546</v>
      </c>
      <c r="K453" s="329">
        <v>1246940</v>
      </c>
      <c r="L453" s="329"/>
      <c r="M453" s="329">
        <v>0</v>
      </c>
      <c r="N453" s="329">
        <v>0</v>
      </c>
      <c r="O453" s="329">
        <v>56694</v>
      </c>
      <c r="P453" s="329">
        <v>56694</v>
      </c>
      <c r="Q453" s="329"/>
      <c r="R453" s="329">
        <v>1517235</v>
      </c>
      <c r="S453" s="329">
        <v>1267</v>
      </c>
      <c r="T453" s="329">
        <v>1518502</v>
      </c>
    </row>
    <row r="454" spans="1:20">
      <c r="A454" s="335">
        <v>94412</v>
      </c>
      <c r="B454" s="328" t="s">
        <v>1143</v>
      </c>
      <c r="C454" s="239">
        <v>1.7E-5</v>
      </c>
      <c r="D454" s="239">
        <v>1.5500000000000001E-5</v>
      </c>
      <c r="E454" s="329">
        <v>46426</v>
      </c>
      <c r="F454" s="329"/>
      <c r="G454" s="329">
        <v>7949</v>
      </c>
      <c r="H454" s="329">
        <v>1132</v>
      </c>
      <c r="I454" s="329">
        <v>7567</v>
      </c>
      <c r="J454" s="329">
        <v>13227</v>
      </c>
      <c r="K454" s="329">
        <v>29875</v>
      </c>
      <c r="L454" s="329"/>
      <c r="M454" s="329">
        <v>0</v>
      </c>
      <c r="N454" s="329">
        <v>0</v>
      </c>
      <c r="O454" s="329">
        <v>0</v>
      </c>
      <c r="P454" s="329">
        <v>0</v>
      </c>
      <c r="Q454" s="329"/>
      <c r="R454" s="329">
        <v>20681</v>
      </c>
      <c r="S454" s="329">
        <v>6339</v>
      </c>
      <c r="T454" s="329">
        <v>27020</v>
      </c>
    </row>
    <row r="455" spans="1:20">
      <c r="A455" s="335">
        <v>94421</v>
      </c>
      <c r="B455" s="328" t="s">
        <v>1144</v>
      </c>
      <c r="C455" s="239">
        <v>1.4880000000000001E-4</v>
      </c>
      <c r="D455" s="239">
        <v>1.6080000000000001E-4</v>
      </c>
      <c r="E455" s="329">
        <v>406361</v>
      </c>
      <c r="F455" s="329"/>
      <c r="G455" s="329">
        <v>69579</v>
      </c>
      <c r="H455" s="329">
        <v>9911</v>
      </c>
      <c r="I455" s="329">
        <v>66230</v>
      </c>
      <c r="J455" s="329">
        <v>939</v>
      </c>
      <c r="K455" s="329">
        <v>146659</v>
      </c>
      <c r="L455" s="329"/>
      <c r="M455" s="329">
        <v>0</v>
      </c>
      <c r="N455" s="329">
        <v>0</v>
      </c>
      <c r="O455" s="329">
        <v>9690</v>
      </c>
      <c r="P455" s="329">
        <v>9690</v>
      </c>
      <c r="Q455" s="329"/>
      <c r="R455" s="329">
        <v>181017</v>
      </c>
      <c r="S455" s="329">
        <v>-1761</v>
      </c>
      <c r="T455" s="329">
        <v>179256</v>
      </c>
    </row>
    <row r="456" spans="1:20">
      <c r="A456" s="335">
        <v>94427</v>
      </c>
      <c r="B456" s="328" t="s">
        <v>1145</v>
      </c>
      <c r="C456" s="239">
        <v>2.7500000000000001E-5</v>
      </c>
      <c r="D456" s="239">
        <v>1.63E-5</v>
      </c>
      <c r="E456" s="329">
        <v>75100</v>
      </c>
      <c r="F456" s="329"/>
      <c r="G456" s="329">
        <v>12859</v>
      </c>
      <c r="H456" s="329">
        <v>1831</v>
      </c>
      <c r="I456" s="329">
        <v>12240</v>
      </c>
      <c r="J456" s="329">
        <v>15075</v>
      </c>
      <c r="K456" s="329">
        <v>42005</v>
      </c>
      <c r="L456" s="329"/>
      <c r="M456" s="329">
        <v>0</v>
      </c>
      <c r="N456" s="329">
        <v>0</v>
      </c>
      <c r="O456" s="329">
        <v>113</v>
      </c>
      <c r="P456" s="329">
        <v>113</v>
      </c>
      <c r="Q456" s="329"/>
      <c r="R456" s="329">
        <v>33454</v>
      </c>
      <c r="S456" s="329">
        <v>4477</v>
      </c>
      <c r="T456" s="329">
        <v>37931</v>
      </c>
    </row>
    <row r="457" spans="1:20">
      <c r="A457" s="335">
        <v>94428</v>
      </c>
      <c r="B457" s="328" t="s">
        <v>2803</v>
      </c>
      <c r="C457" s="239">
        <v>7.1400000000000001E-5</v>
      </c>
      <c r="D457" s="239">
        <v>7.2000000000000002E-5</v>
      </c>
      <c r="E457" s="329">
        <v>194988</v>
      </c>
      <c r="F457" s="329"/>
      <c r="G457" s="329">
        <v>33387</v>
      </c>
      <c r="H457" s="329">
        <v>4756</v>
      </c>
      <c r="I457" s="329">
        <v>31780</v>
      </c>
      <c r="J457" s="329">
        <v>5959</v>
      </c>
      <c r="K457" s="329">
        <v>75882</v>
      </c>
      <c r="L457" s="329"/>
      <c r="M457" s="329">
        <v>0</v>
      </c>
      <c r="N457" s="329">
        <v>0</v>
      </c>
      <c r="O457" s="329">
        <v>1674</v>
      </c>
      <c r="P457" s="329">
        <v>1674</v>
      </c>
      <c r="Q457" s="329"/>
      <c r="R457" s="329">
        <v>86859</v>
      </c>
      <c r="S457" s="329">
        <v>1930</v>
      </c>
      <c r="T457" s="329">
        <v>88789</v>
      </c>
    </row>
    <row r="458" spans="1:20">
      <c r="A458" s="335">
        <v>94431</v>
      </c>
      <c r="B458" s="328" t="s">
        <v>1147</v>
      </c>
      <c r="C458" s="239">
        <v>4.1829999999999998E-4</v>
      </c>
      <c r="D458" s="239">
        <v>3.882E-4</v>
      </c>
      <c r="E458" s="329">
        <v>1142345</v>
      </c>
      <c r="F458" s="329"/>
      <c r="G458" s="329">
        <v>195598</v>
      </c>
      <c r="H458" s="329">
        <v>27864</v>
      </c>
      <c r="I458" s="329">
        <v>186183</v>
      </c>
      <c r="J458" s="329">
        <v>234610</v>
      </c>
      <c r="K458" s="329">
        <v>644255</v>
      </c>
      <c r="L458" s="329"/>
      <c r="M458" s="329">
        <v>0</v>
      </c>
      <c r="N458" s="329">
        <v>0</v>
      </c>
      <c r="O458" s="329">
        <v>0</v>
      </c>
      <c r="P458" s="329">
        <v>0</v>
      </c>
      <c r="Q458" s="329"/>
      <c r="R458" s="329">
        <v>508867</v>
      </c>
      <c r="S458" s="329">
        <v>109540</v>
      </c>
      <c r="T458" s="329">
        <v>618407</v>
      </c>
    </row>
    <row r="459" spans="1:20">
      <c r="A459" s="335">
        <v>94437</v>
      </c>
      <c r="B459" s="328" t="s">
        <v>1148</v>
      </c>
      <c r="C459" s="239">
        <v>1.49E-5</v>
      </c>
      <c r="D459" s="239">
        <v>1.63E-5</v>
      </c>
      <c r="E459" s="329">
        <v>40691</v>
      </c>
      <c r="F459" s="329"/>
      <c r="G459" s="329">
        <v>6967</v>
      </c>
      <c r="H459" s="329">
        <v>993</v>
      </c>
      <c r="I459" s="329">
        <v>6632</v>
      </c>
      <c r="J459" s="329">
        <v>11402</v>
      </c>
      <c r="K459" s="329">
        <v>25994</v>
      </c>
      <c r="L459" s="329"/>
      <c r="M459" s="329">
        <v>0</v>
      </c>
      <c r="N459" s="329">
        <v>0</v>
      </c>
      <c r="O459" s="329">
        <v>0</v>
      </c>
      <c r="P459" s="329">
        <v>0</v>
      </c>
      <c r="Q459" s="329"/>
      <c r="R459" s="329">
        <v>18126</v>
      </c>
      <c r="S459" s="329">
        <v>6155</v>
      </c>
      <c r="T459" s="329">
        <v>24281</v>
      </c>
    </row>
    <row r="460" spans="1:20">
      <c r="A460" s="335">
        <v>94501</v>
      </c>
      <c r="B460" s="328" t="s">
        <v>1149</v>
      </c>
      <c r="C460" s="239">
        <v>5.9772999999999996E-3</v>
      </c>
      <c r="D460" s="239">
        <v>5.8639E-3</v>
      </c>
      <c r="E460" s="329">
        <v>16323540</v>
      </c>
      <c r="F460" s="329"/>
      <c r="G460" s="329">
        <v>2795003</v>
      </c>
      <c r="H460" s="329">
        <v>398154</v>
      </c>
      <c r="I460" s="329">
        <v>2660466</v>
      </c>
      <c r="J460" s="329">
        <v>155195</v>
      </c>
      <c r="K460" s="329">
        <v>6008818</v>
      </c>
      <c r="L460" s="329"/>
      <c r="M460" s="329">
        <v>0</v>
      </c>
      <c r="N460" s="329">
        <v>0</v>
      </c>
      <c r="O460" s="329">
        <v>5784</v>
      </c>
      <c r="P460" s="329">
        <v>5784</v>
      </c>
      <c r="Q460" s="329"/>
      <c r="R460" s="329">
        <v>7271463</v>
      </c>
      <c r="S460" s="329">
        <v>79086</v>
      </c>
      <c r="T460" s="329">
        <v>7350549</v>
      </c>
    </row>
    <row r="461" spans="1:20">
      <c r="A461" s="335">
        <v>94511</v>
      </c>
      <c r="B461" s="328" t="s">
        <v>1150</v>
      </c>
      <c r="C461" s="239">
        <v>2.0183000000000002E-3</v>
      </c>
      <c r="D461" s="239">
        <v>1.9548999999999999E-3</v>
      </c>
      <c r="E461" s="329">
        <v>5511820</v>
      </c>
      <c r="F461" s="329"/>
      <c r="G461" s="329">
        <v>943763</v>
      </c>
      <c r="H461" s="329">
        <v>134441</v>
      </c>
      <c r="I461" s="329">
        <v>898335</v>
      </c>
      <c r="J461" s="329">
        <v>20245</v>
      </c>
      <c r="K461" s="329">
        <v>1996784</v>
      </c>
      <c r="L461" s="329"/>
      <c r="M461" s="329">
        <v>0</v>
      </c>
      <c r="N461" s="329">
        <v>0</v>
      </c>
      <c r="O461" s="329">
        <v>27110</v>
      </c>
      <c r="P461" s="329">
        <v>27110</v>
      </c>
      <c r="Q461" s="329"/>
      <c r="R461" s="329">
        <v>2455288</v>
      </c>
      <c r="S461" s="329">
        <v>55059</v>
      </c>
      <c r="T461" s="329">
        <v>2510347</v>
      </c>
    </row>
    <row r="462" spans="1:20">
      <c r="A462" s="335">
        <v>94517</v>
      </c>
      <c r="B462" s="328" t="s">
        <v>2813</v>
      </c>
      <c r="C462" s="239">
        <v>5.4799999999999997E-5</v>
      </c>
      <c r="D462" s="239">
        <v>3.6199999999999999E-5</v>
      </c>
      <c r="E462" s="329">
        <v>149655</v>
      </c>
      <c r="F462" s="329"/>
      <c r="G462" s="329">
        <v>25625</v>
      </c>
      <c r="H462" s="329">
        <v>3651</v>
      </c>
      <c r="I462" s="329">
        <v>24391</v>
      </c>
      <c r="J462" s="329">
        <v>31190</v>
      </c>
      <c r="K462" s="329">
        <v>84857</v>
      </c>
      <c r="L462" s="329"/>
      <c r="M462" s="329">
        <v>0</v>
      </c>
      <c r="N462" s="329">
        <v>0</v>
      </c>
      <c r="O462" s="329">
        <v>0</v>
      </c>
      <c r="P462" s="329">
        <v>0</v>
      </c>
      <c r="Q462" s="329"/>
      <c r="R462" s="329">
        <v>66665</v>
      </c>
      <c r="S462" s="329">
        <v>11780</v>
      </c>
      <c r="T462" s="329">
        <v>78445</v>
      </c>
    </row>
    <row r="463" spans="1:20">
      <c r="A463" s="335">
        <v>94521</v>
      </c>
      <c r="B463" s="328" t="s">
        <v>1153</v>
      </c>
      <c r="C463" s="239">
        <v>1.4990000000000001E-4</v>
      </c>
      <c r="D463" s="239">
        <v>1.5880000000000001E-4</v>
      </c>
      <c r="E463" s="329">
        <v>409365</v>
      </c>
      <c r="F463" s="329"/>
      <c r="G463" s="329">
        <v>70094</v>
      </c>
      <c r="H463" s="329">
        <v>9985</v>
      </c>
      <c r="I463" s="329">
        <v>66720</v>
      </c>
      <c r="J463" s="329">
        <v>5912</v>
      </c>
      <c r="K463" s="329">
        <v>152711</v>
      </c>
      <c r="L463" s="329"/>
      <c r="M463" s="329">
        <v>0</v>
      </c>
      <c r="N463" s="329">
        <v>0</v>
      </c>
      <c r="O463" s="329">
        <v>26869</v>
      </c>
      <c r="P463" s="329">
        <v>26869</v>
      </c>
      <c r="Q463" s="329"/>
      <c r="R463" s="329">
        <v>182355</v>
      </c>
      <c r="S463" s="329">
        <v>-6674</v>
      </c>
      <c r="T463" s="329">
        <v>175681</v>
      </c>
    </row>
    <row r="464" spans="1:20">
      <c r="A464" s="335">
        <v>94527</v>
      </c>
      <c r="B464" s="328" t="s">
        <v>1154</v>
      </c>
      <c r="C464" s="239">
        <v>6.8000000000000001E-6</v>
      </c>
      <c r="D464" s="239">
        <v>6.6000000000000003E-6</v>
      </c>
      <c r="E464" s="329">
        <v>18570</v>
      </c>
      <c r="F464" s="329"/>
      <c r="G464" s="329">
        <v>3180</v>
      </c>
      <c r="H464" s="329">
        <v>453</v>
      </c>
      <c r="I464" s="329">
        <v>3027</v>
      </c>
      <c r="J464" s="329">
        <v>526</v>
      </c>
      <c r="K464" s="329">
        <v>7186</v>
      </c>
      <c r="L464" s="329"/>
      <c r="M464" s="329">
        <v>0</v>
      </c>
      <c r="N464" s="329">
        <v>0</v>
      </c>
      <c r="O464" s="329">
        <v>1154</v>
      </c>
      <c r="P464" s="329">
        <v>1154</v>
      </c>
      <c r="Q464" s="329"/>
      <c r="R464" s="329">
        <v>8272</v>
      </c>
      <c r="S464" s="329">
        <v>-781</v>
      </c>
      <c r="T464" s="329">
        <v>7491</v>
      </c>
    </row>
    <row r="465" spans="1:20">
      <c r="A465" s="335">
        <v>94531</v>
      </c>
      <c r="B465" s="328" t="s">
        <v>1155</v>
      </c>
      <c r="C465" s="239">
        <v>2.3099999999999999E-5</v>
      </c>
      <c r="D465" s="239">
        <v>1.4E-5</v>
      </c>
      <c r="E465" s="329">
        <v>63084</v>
      </c>
      <c r="F465" s="329"/>
      <c r="G465" s="329">
        <v>10802</v>
      </c>
      <c r="H465" s="329">
        <v>1539</v>
      </c>
      <c r="I465" s="329">
        <v>10282</v>
      </c>
      <c r="J465" s="329">
        <v>15853</v>
      </c>
      <c r="K465" s="329">
        <v>38476</v>
      </c>
      <c r="L465" s="329"/>
      <c r="M465" s="329">
        <v>0</v>
      </c>
      <c r="N465" s="329">
        <v>0</v>
      </c>
      <c r="O465" s="329">
        <v>0</v>
      </c>
      <c r="P465" s="329">
        <v>0</v>
      </c>
      <c r="Q465" s="329"/>
      <c r="R465" s="329">
        <v>28101</v>
      </c>
      <c r="S465" s="329">
        <v>5524</v>
      </c>
      <c r="T465" s="329">
        <v>33625</v>
      </c>
    </row>
    <row r="466" spans="1:20">
      <c r="A466" s="335">
        <v>94532</v>
      </c>
      <c r="B466" s="328" t="s">
        <v>1156</v>
      </c>
      <c r="C466" s="239">
        <v>1.0060000000000001E-4</v>
      </c>
      <c r="D466" s="239">
        <v>1.0280000000000001E-4</v>
      </c>
      <c r="E466" s="329">
        <v>274731</v>
      </c>
      <c r="F466" s="329"/>
      <c r="G466" s="329">
        <v>47041</v>
      </c>
      <c r="H466" s="329">
        <v>6701</v>
      </c>
      <c r="I466" s="329">
        <v>44777</v>
      </c>
      <c r="J466" s="329">
        <v>7730</v>
      </c>
      <c r="K466" s="329">
        <v>106249</v>
      </c>
      <c r="L466" s="329"/>
      <c r="M466" s="329">
        <v>0</v>
      </c>
      <c r="N466" s="329">
        <v>0</v>
      </c>
      <c r="O466" s="329">
        <v>2265</v>
      </c>
      <c r="P466" s="329">
        <v>2265</v>
      </c>
      <c r="Q466" s="329"/>
      <c r="R466" s="329">
        <v>122381</v>
      </c>
      <c r="S466" s="329">
        <v>-76</v>
      </c>
      <c r="T466" s="329">
        <v>122305</v>
      </c>
    </row>
    <row r="467" spans="1:20">
      <c r="A467" s="335">
        <v>94541</v>
      </c>
      <c r="B467" s="328" t="s">
        <v>1157</v>
      </c>
      <c r="C467" s="239">
        <v>2.7750000000000002E-4</v>
      </c>
      <c r="D467" s="239">
        <v>2.8219999999999997E-4</v>
      </c>
      <c r="E467" s="329">
        <v>757831</v>
      </c>
      <c r="F467" s="329"/>
      <c r="G467" s="329">
        <v>129760</v>
      </c>
      <c r="H467" s="329">
        <v>18484</v>
      </c>
      <c r="I467" s="329">
        <v>123514</v>
      </c>
      <c r="J467" s="329">
        <v>0</v>
      </c>
      <c r="K467" s="329">
        <v>271758</v>
      </c>
      <c r="L467" s="329"/>
      <c r="M467" s="329">
        <v>0</v>
      </c>
      <c r="N467" s="329">
        <v>0</v>
      </c>
      <c r="O467" s="329">
        <v>28230</v>
      </c>
      <c r="P467" s="329">
        <v>28230</v>
      </c>
      <c r="Q467" s="329"/>
      <c r="R467" s="329">
        <v>337582</v>
      </c>
      <c r="S467" s="329">
        <v>-15372</v>
      </c>
      <c r="T467" s="329">
        <v>322210</v>
      </c>
    </row>
    <row r="468" spans="1:20">
      <c r="A468" s="335">
        <v>94547</v>
      </c>
      <c r="B468" s="328" t="s">
        <v>1158</v>
      </c>
      <c r="C468" s="239">
        <v>1.1E-5</v>
      </c>
      <c r="D468" s="239">
        <v>1.01E-5</v>
      </c>
      <c r="E468" s="329">
        <v>30040</v>
      </c>
      <c r="F468" s="329"/>
      <c r="G468" s="329">
        <v>5144</v>
      </c>
      <c r="H468" s="329">
        <v>733</v>
      </c>
      <c r="I468" s="329">
        <v>4896</v>
      </c>
      <c r="J468" s="329">
        <v>8055</v>
      </c>
      <c r="K468" s="329">
        <v>18828</v>
      </c>
      <c r="L468" s="329"/>
      <c r="M468" s="329">
        <v>0</v>
      </c>
      <c r="N468" s="329">
        <v>0</v>
      </c>
      <c r="O468" s="329">
        <v>0</v>
      </c>
      <c r="P468" s="329">
        <v>0</v>
      </c>
      <c r="Q468" s="329"/>
      <c r="R468" s="329">
        <v>13382</v>
      </c>
      <c r="S468" s="329">
        <v>2846</v>
      </c>
      <c r="T468" s="329">
        <v>16228</v>
      </c>
    </row>
    <row r="469" spans="1:20">
      <c r="A469" s="335">
        <v>94551</v>
      </c>
      <c r="B469" s="328" t="s">
        <v>1159</v>
      </c>
      <c r="C469" s="239">
        <v>5.3000000000000001E-5</v>
      </c>
      <c r="D469" s="239">
        <v>4.9200000000000003E-5</v>
      </c>
      <c r="E469" s="329">
        <v>144739</v>
      </c>
      <c r="F469" s="329"/>
      <c r="G469" s="329">
        <v>24783</v>
      </c>
      <c r="H469" s="329">
        <v>3530</v>
      </c>
      <c r="I469" s="329">
        <v>23590</v>
      </c>
      <c r="J469" s="329">
        <v>11449</v>
      </c>
      <c r="K469" s="329">
        <v>63352</v>
      </c>
      <c r="L469" s="329"/>
      <c r="M469" s="329">
        <v>0</v>
      </c>
      <c r="N469" s="329">
        <v>0</v>
      </c>
      <c r="O469" s="329">
        <v>0</v>
      </c>
      <c r="P469" s="329">
        <v>0</v>
      </c>
      <c r="Q469" s="329"/>
      <c r="R469" s="329">
        <v>64475</v>
      </c>
      <c r="S469" s="329">
        <v>5002</v>
      </c>
      <c r="T469" s="329">
        <v>69477</v>
      </c>
    </row>
    <row r="470" spans="1:20">
      <c r="A470" s="335">
        <v>94601</v>
      </c>
      <c r="B470" s="328" t="s">
        <v>1160</v>
      </c>
      <c r="C470" s="239">
        <v>9.1859999999999999E-4</v>
      </c>
      <c r="D470" s="239">
        <v>1.0712E-3</v>
      </c>
      <c r="E470" s="329">
        <v>2508625</v>
      </c>
      <c r="F470" s="329"/>
      <c r="G470" s="329">
        <v>429540</v>
      </c>
      <c r="H470" s="329">
        <v>61189</v>
      </c>
      <c r="I470" s="329">
        <v>408864</v>
      </c>
      <c r="J470" s="329">
        <v>46666</v>
      </c>
      <c r="K470" s="329">
        <v>946259</v>
      </c>
      <c r="L470" s="329"/>
      <c r="M470" s="329">
        <v>0</v>
      </c>
      <c r="N470" s="329">
        <v>0</v>
      </c>
      <c r="O470" s="329">
        <v>103974</v>
      </c>
      <c r="P470" s="329">
        <v>103974</v>
      </c>
      <c r="Q470" s="329"/>
      <c r="R470" s="329">
        <v>1117489</v>
      </c>
      <c r="S470" s="329">
        <v>-966</v>
      </c>
      <c r="T470" s="329">
        <v>1116523</v>
      </c>
    </row>
    <row r="471" spans="1:20">
      <c r="A471" s="335">
        <v>94604</v>
      </c>
      <c r="B471" s="328" t="s">
        <v>1161</v>
      </c>
      <c r="C471" s="239">
        <v>2.6100000000000001E-5</v>
      </c>
      <c r="D471" s="239">
        <v>2.7699999999999999E-5</v>
      </c>
      <c r="E471" s="329">
        <v>71277</v>
      </c>
      <c r="F471" s="329"/>
      <c r="G471" s="329">
        <v>12204</v>
      </c>
      <c r="H471" s="329">
        <v>1739</v>
      </c>
      <c r="I471" s="329">
        <v>11617</v>
      </c>
      <c r="J471" s="329">
        <v>2425</v>
      </c>
      <c r="K471" s="329">
        <v>27985</v>
      </c>
      <c r="L471" s="329"/>
      <c r="M471" s="329">
        <v>0</v>
      </c>
      <c r="N471" s="329">
        <v>0</v>
      </c>
      <c r="O471" s="329">
        <v>0</v>
      </c>
      <c r="P471" s="329">
        <v>0</v>
      </c>
      <c r="Q471" s="329"/>
      <c r="R471" s="329">
        <v>31751</v>
      </c>
      <c r="S471" s="329">
        <v>1169</v>
      </c>
      <c r="T471" s="329">
        <v>32920</v>
      </c>
    </row>
    <row r="472" spans="1:20">
      <c r="A472" s="335">
        <v>94611</v>
      </c>
      <c r="B472" s="328" t="s">
        <v>1163</v>
      </c>
      <c r="C472" s="239">
        <v>3.4459999999999997E-4</v>
      </c>
      <c r="D472" s="239">
        <v>3.5149999999999998E-4</v>
      </c>
      <c r="E472" s="329">
        <v>941076</v>
      </c>
      <c r="F472" s="329"/>
      <c r="G472" s="329">
        <v>161136</v>
      </c>
      <c r="H472" s="329">
        <v>22955</v>
      </c>
      <c r="I472" s="329">
        <v>153380</v>
      </c>
      <c r="J472" s="329">
        <v>26</v>
      </c>
      <c r="K472" s="329">
        <v>337497</v>
      </c>
      <c r="L472" s="329"/>
      <c r="M472" s="329">
        <v>0</v>
      </c>
      <c r="N472" s="329">
        <v>0</v>
      </c>
      <c r="O472" s="329">
        <v>22451</v>
      </c>
      <c r="P472" s="329">
        <v>22451</v>
      </c>
      <c r="Q472" s="329"/>
      <c r="R472" s="329">
        <v>419210</v>
      </c>
      <c r="S472" s="329">
        <v>-8590</v>
      </c>
      <c r="T472" s="329">
        <v>410620</v>
      </c>
    </row>
    <row r="473" spans="1:20">
      <c r="A473" s="335">
        <v>94621</v>
      </c>
      <c r="B473" s="328" t="s">
        <v>1164</v>
      </c>
      <c r="C473" s="239">
        <v>1.3320000000000001E-4</v>
      </c>
      <c r="D473" s="239">
        <v>1.0450000000000001E-4</v>
      </c>
      <c r="E473" s="329">
        <v>363759</v>
      </c>
      <c r="F473" s="329"/>
      <c r="G473" s="329">
        <v>62285</v>
      </c>
      <c r="H473" s="329">
        <v>8872</v>
      </c>
      <c r="I473" s="329">
        <v>59287</v>
      </c>
      <c r="J473" s="329">
        <v>40874</v>
      </c>
      <c r="K473" s="329">
        <v>171318</v>
      </c>
      <c r="L473" s="329"/>
      <c r="M473" s="329">
        <v>0</v>
      </c>
      <c r="N473" s="329">
        <v>0</v>
      </c>
      <c r="O473" s="329">
        <v>3233</v>
      </c>
      <c r="P473" s="329">
        <v>3233</v>
      </c>
      <c r="Q473" s="329"/>
      <c r="R473" s="329">
        <v>162040</v>
      </c>
      <c r="S473" s="329">
        <v>4570</v>
      </c>
      <c r="T473" s="329">
        <v>166610</v>
      </c>
    </row>
    <row r="474" spans="1:20">
      <c r="A474" s="335">
        <v>94631</v>
      </c>
      <c r="B474" s="328" t="s">
        <v>1165</v>
      </c>
      <c r="C474" s="239">
        <v>4.2599999999999999E-5</v>
      </c>
      <c r="D474" s="239">
        <v>4.4799999999999998E-5</v>
      </c>
      <c r="E474" s="329">
        <v>116337</v>
      </c>
      <c r="F474" s="329"/>
      <c r="G474" s="329">
        <v>19920</v>
      </c>
      <c r="H474" s="329">
        <v>2837</v>
      </c>
      <c r="I474" s="329">
        <v>18961</v>
      </c>
      <c r="J474" s="329">
        <v>4362</v>
      </c>
      <c r="K474" s="329">
        <v>46080</v>
      </c>
      <c r="L474" s="329"/>
      <c r="M474" s="329">
        <v>0</v>
      </c>
      <c r="N474" s="329">
        <v>0</v>
      </c>
      <c r="O474" s="329">
        <v>2075</v>
      </c>
      <c r="P474" s="329">
        <v>2075</v>
      </c>
      <c r="Q474" s="329"/>
      <c r="R474" s="329">
        <v>51823</v>
      </c>
      <c r="S474" s="329">
        <v>2154</v>
      </c>
      <c r="T474" s="329">
        <v>53977</v>
      </c>
    </row>
    <row r="475" spans="1:20">
      <c r="A475" s="335">
        <v>94641</v>
      </c>
      <c r="B475" s="328" t="s">
        <v>1166</v>
      </c>
      <c r="C475" s="239">
        <v>1.04E-5</v>
      </c>
      <c r="D475" s="239">
        <v>3.5999999999999998E-6</v>
      </c>
      <c r="E475" s="329">
        <v>28402</v>
      </c>
      <c r="F475" s="329"/>
      <c r="G475" s="329">
        <v>4863</v>
      </c>
      <c r="H475" s="329">
        <v>693</v>
      </c>
      <c r="I475" s="329">
        <v>4629</v>
      </c>
      <c r="J475" s="329">
        <v>10921</v>
      </c>
      <c r="K475" s="329">
        <v>21106</v>
      </c>
      <c r="L475" s="329"/>
      <c r="M475" s="329">
        <v>0</v>
      </c>
      <c r="N475" s="329">
        <v>0</v>
      </c>
      <c r="O475" s="329">
        <v>0</v>
      </c>
      <c r="P475" s="329">
        <v>0</v>
      </c>
      <c r="Q475" s="329"/>
      <c r="R475" s="329">
        <v>12652</v>
      </c>
      <c r="S475" s="329">
        <v>3997</v>
      </c>
      <c r="T475" s="329">
        <v>16649</v>
      </c>
    </row>
    <row r="476" spans="1:20">
      <c r="A476" s="335">
        <v>94701</v>
      </c>
      <c r="B476" s="328" t="s">
        <v>1167</v>
      </c>
      <c r="C476" s="239">
        <v>2.4202999999999998E-3</v>
      </c>
      <c r="D476" s="239">
        <v>2.3993999999999999E-3</v>
      </c>
      <c r="E476" s="329">
        <v>6609651</v>
      </c>
      <c r="F476" s="329"/>
      <c r="G476" s="329">
        <v>1131740</v>
      </c>
      <c r="H476" s="329">
        <v>161218</v>
      </c>
      <c r="I476" s="329">
        <v>1077263</v>
      </c>
      <c r="J476" s="329">
        <v>41827</v>
      </c>
      <c r="K476" s="329">
        <v>2412048</v>
      </c>
      <c r="L476" s="329"/>
      <c r="M476" s="329">
        <v>0</v>
      </c>
      <c r="N476" s="329">
        <v>0</v>
      </c>
      <c r="O476" s="329">
        <v>125539</v>
      </c>
      <c r="P476" s="329">
        <v>125539</v>
      </c>
      <c r="Q476" s="329"/>
      <c r="R476" s="329">
        <v>2944326</v>
      </c>
      <c r="S476" s="329">
        <v>-37549</v>
      </c>
      <c r="T476" s="329">
        <v>2906777</v>
      </c>
    </row>
    <row r="477" spans="1:20">
      <c r="A477" s="335">
        <v>94704</v>
      </c>
      <c r="B477" s="328" t="s">
        <v>1168</v>
      </c>
      <c r="C477" s="239">
        <v>1.5299999999999999E-5</v>
      </c>
      <c r="D477" s="239">
        <v>1.63E-5</v>
      </c>
      <c r="E477" s="329">
        <v>41783</v>
      </c>
      <c r="F477" s="329"/>
      <c r="G477" s="329">
        <v>7154</v>
      </c>
      <c r="H477" s="329">
        <v>1019</v>
      </c>
      <c r="I477" s="329">
        <v>6810</v>
      </c>
      <c r="J477" s="329">
        <v>3695</v>
      </c>
      <c r="K477" s="329">
        <v>18678</v>
      </c>
      <c r="L477" s="329"/>
      <c r="M477" s="329">
        <v>0</v>
      </c>
      <c r="N477" s="329">
        <v>0</v>
      </c>
      <c r="O477" s="329">
        <v>79</v>
      </c>
      <c r="P477" s="329">
        <v>79</v>
      </c>
      <c r="Q477" s="329"/>
      <c r="R477" s="329">
        <v>18613</v>
      </c>
      <c r="S477" s="329">
        <v>1201</v>
      </c>
      <c r="T477" s="329">
        <v>19814</v>
      </c>
    </row>
    <row r="478" spans="1:20">
      <c r="A478" s="335">
        <v>94711</v>
      </c>
      <c r="B478" s="328" t="s">
        <v>1169</v>
      </c>
      <c r="C478" s="239">
        <v>3.3819999999999998E-4</v>
      </c>
      <c r="D478" s="239">
        <v>3.3589999999999998E-4</v>
      </c>
      <c r="E478" s="329">
        <v>923598</v>
      </c>
      <c r="F478" s="329"/>
      <c r="G478" s="329">
        <v>158143</v>
      </c>
      <c r="H478" s="329">
        <v>22528</v>
      </c>
      <c r="I478" s="329">
        <v>150531</v>
      </c>
      <c r="J478" s="329">
        <v>10964</v>
      </c>
      <c r="K478" s="329">
        <v>342166</v>
      </c>
      <c r="L478" s="329"/>
      <c r="M478" s="329">
        <v>0</v>
      </c>
      <c r="N478" s="329">
        <v>0</v>
      </c>
      <c r="O478" s="329">
        <v>1524</v>
      </c>
      <c r="P478" s="329">
        <v>1524</v>
      </c>
      <c r="Q478" s="329"/>
      <c r="R478" s="329">
        <v>411425</v>
      </c>
      <c r="S478" s="329">
        <v>5674</v>
      </c>
      <c r="T478" s="329">
        <v>417099</v>
      </c>
    </row>
    <row r="479" spans="1:20">
      <c r="A479" s="335">
        <v>94801</v>
      </c>
      <c r="B479" s="328" t="s">
        <v>1170</v>
      </c>
      <c r="C479" s="239">
        <v>6.8429999999999999E-4</v>
      </c>
      <c r="D479" s="239">
        <v>6.7719999999999998E-4</v>
      </c>
      <c r="E479" s="329">
        <v>1868770</v>
      </c>
      <c r="F479" s="329"/>
      <c r="G479" s="329">
        <v>319981</v>
      </c>
      <c r="H479" s="329">
        <v>45582</v>
      </c>
      <c r="I479" s="329">
        <v>304579</v>
      </c>
      <c r="J479" s="329">
        <v>12982</v>
      </c>
      <c r="K479" s="329">
        <v>683124</v>
      </c>
      <c r="L479" s="329"/>
      <c r="M479" s="329">
        <v>0</v>
      </c>
      <c r="N479" s="329">
        <v>0</v>
      </c>
      <c r="O479" s="329">
        <v>26499</v>
      </c>
      <c r="P479" s="329">
        <v>26499</v>
      </c>
      <c r="Q479" s="329"/>
      <c r="R479" s="329">
        <v>832460</v>
      </c>
      <c r="S479" s="329">
        <v>6924</v>
      </c>
      <c r="T479" s="329">
        <v>839384</v>
      </c>
    </row>
    <row r="480" spans="1:20">
      <c r="A480" s="335">
        <v>94804</v>
      </c>
      <c r="B480" s="328" t="s">
        <v>1171</v>
      </c>
      <c r="C480" s="239">
        <v>2.7999999999999999E-6</v>
      </c>
      <c r="D480" s="239">
        <v>3.3000000000000002E-6</v>
      </c>
      <c r="E480" s="329">
        <v>7647</v>
      </c>
      <c r="F480" s="329"/>
      <c r="G480" s="329">
        <v>1309</v>
      </c>
      <c r="H480" s="329">
        <v>186</v>
      </c>
      <c r="I480" s="329">
        <v>1246</v>
      </c>
      <c r="J480" s="329">
        <v>1736</v>
      </c>
      <c r="K480" s="329">
        <v>4477</v>
      </c>
      <c r="L480" s="329"/>
      <c r="M480" s="329">
        <v>0</v>
      </c>
      <c r="N480" s="329">
        <v>0</v>
      </c>
      <c r="O480" s="329">
        <v>66</v>
      </c>
      <c r="P480" s="329">
        <v>66</v>
      </c>
      <c r="Q480" s="329"/>
      <c r="R480" s="329">
        <v>3406</v>
      </c>
      <c r="S480" s="329">
        <v>512</v>
      </c>
      <c r="T480" s="329">
        <v>3918</v>
      </c>
    </row>
    <row r="481" spans="1:20">
      <c r="A481" s="335">
        <v>94812</v>
      </c>
      <c r="B481" s="328" t="s">
        <v>2797</v>
      </c>
      <c r="C481" s="239">
        <v>3.0000000000000001E-5</v>
      </c>
      <c r="D481" s="239">
        <v>3.2100000000000001E-5</v>
      </c>
      <c r="E481" s="329">
        <v>81928</v>
      </c>
      <c r="F481" s="329"/>
      <c r="G481" s="329">
        <v>14028</v>
      </c>
      <c r="H481" s="329">
        <v>1998</v>
      </c>
      <c r="I481" s="329">
        <v>13353</v>
      </c>
      <c r="J481" s="329">
        <v>8547</v>
      </c>
      <c r="K481" s="329">
        <v>37926</v>
      </c>
      <c r="L481" s="329"/>
      <c r="M481" s="329">
        <v>0</v>
      </c>
      <c r="N481" s="329">
        <v>0</v>
      </c>
      <c r="O481" s="329">
        <v>0</v>
      </c>
      <c r="P481" s="329">
        <v>0</v>
      </c>
      <c r="Q481" s="329"/>
      <c r="R481" s="329">
        <v>36495</v>
      </c>
      <c r="S481" s="329">
        <v>5057</v>
      </c>
      <c r="T481" s="329">
        <v>41552</v>
      </c>
    </row>
    <row r="482" spans="1:20">
      <c r="A482" s="335">
        <v>94901</v>
      </c>
      <c r="B482" s="328" t="s">
        <v>1173</v>
      </c>
      <c r="C482" s="239">
        <v>7.2372000000000001E-3</v>
      </c>
      <c r="D482" s="239">
        <v>7.1234000000000002E-3</v>
      </c>
      <c r="E482" s="329">
        <v>19764229</v>
      </c>
      <c r="F482" s="329"/>
      <c r="G482" s="329">
        <v>3384136</v>
      </c>
      <c r="H482" s="329">
        <v>482077</v>
      </c>
      <c r="I482" s="329">
        <v>3221242</v>
      </c>
      <c r="J482" s="329">
        <v>228436</v>
      </c>
      <c r="K482" s="329">
        <v>7315891</v>
      </c>
      <c r="L482" s="329"/>
      <c r="M482" s="329">
        <v>0</v>
      </c>
      <c r="N482" s="329">
        <v>0</v>
      </c>
      <c r="O482" s="329">
        <v>38214</v>
      </c>
      <c r="P482" s="329">
        <v>38214</v>
      </c>
      <c r="Q482" s="329"/>
      <c r="R482" s="329">
        <v>8804148</v>
      </c>
      <c r="S482" s="329">
        <v>29944</v>
      </c>
      <c r="T482" s="329">
        <v>8834092</v>
      </c>
    </row>
    <row r="483" spans="1:20" ht="30">
      <c r="A483" s="335">
        <v>94908</v>
      </c>
      <c r="B483" s="328" t="s">
        <v>3700</v>
      </c>
      <c r="C483" s="239">
        <v>5.9000000000000003E-6</v>
      </c>
      <c r="D483" s="239">
        <v>6.8000000000000001E-6</v>
      </c>
      <c r="E483" s="329">
        <v>16112</v>
      </c>
      <c r="F483" s="329"/>
      <c r="G483" s="329">
        <v>2759</v>
      </c>
      <c r="H483" s="329">
        <v>393</v>
      </c>
      <c r="I483" s="329">
        <v>2626</v>
      </c>
      <c r="J483" s="329">
        <v>9654</v>
      </c>
      <c r="K483" s="329">
        <v>15432</v>
      </c>
      <c r="L483" s="329"/>
      <c r="M483" s="329">
        <v>0</v>
      </c>
      <c r="N483" s="329">
        <v>0</v>
      </c>
      <c r="O483" s="329">
        <v>9694</v>
      </c>
      <c r="P483" s="329">
        <v>9694</v>
      </c>
      <c r="Q483" s="329"/>
      <c r="R483" s="329">
        <v>7177</v>
      </c>
      <c r="S483" s="329">
        <v>-3195</v>
      </c>
      <c r="T483" s="329">
        <v>3982</v>
      </c>
    </row>
    <row r="484" spans="1:20">
      <c r="A484" s="335">
        <v>94911</v>
      </c>
      <c r="B484" s="328" t="s">
        <v>1175</v>
      </c>
      <c r="C484" s="239">
        <v>2.8782E-3</v>
      </c>
      <c r="D484" s="239">
        <v>2.9845000000000002E-3</v>
      </c>
      <c r="E484" s="329">
        <v>7860140</v>
      </c>
      <c r="F484" s="329"/>
      <c r="G484" s="329">
        <v>1345855</v>
      </c>
      <c r="H484" s="329">
        <v>191720</v>
      </c>
      <c r="I484" s="329">
        <v>1281072</v>
      </c>
      <c r="J484" s="329">
        <v>85806</v>
      </c>
      <c r="K484" s="329">
        <v>2904453</v>
      </c>
      <c r="L484" s="329"/>
      <c r="M484" s="329">
        <v>0</v>
      </c>
      <c r="N484" s="329">
        <v>0</v>
      </c>
      <c r="O484" s="329">
        <v>96281</v>
      </c>
      <c r="P484" s="329">
        <v>96281</v>
      </c>
      <c r="Q484" s="329"/>
      <c r="R484" s="329">
        <v>3501368</v>
      </c>
      <c r="S484" s="329">
        <v>601</v>
      </c>
      <c r="T484" s="329">
        <v>3501969</v>
      </c>
    </row>
    <row r="485" spans="1:20">
      <c r="A485" s="335">
        <v>94917</v>
      </c>
      <c r="B485" s="328" t="s">
        <v>1176</v>
      </c>
      <c r="C485" s="239">
        <v>3.0700000000000001E-5</v>
      </c>
      <c r="D485" s="239">
        <v>3.0899999999999999E-5</v>
      </c>
      <c r="E485" s="329">
        <v>83839</v>
      </c>
      <c r="F485" s="329"/>
      <c r="G485" s="329">
        <v>14355</v>
      </c>
      <c r="H485" s="329">
        <v>2045</v>
      </c>
      <c r="I485" s="329">
        <v>13664</v>
      </c>
      <c r="J485" s="329">
        <v>21443</v>
      </c>
      <c r="K485" s="329">
        <v>51507</v>
      </c>
      <c r="L485" s="329"/>
      <c r="M485" s="329">
        <v>0</v>
      </c>
      <c r="N485" s="329">
        <v>0</v>
      </c>
      <c r="O485" s="329">
        <v>0</v>
      </c>
      <c r="P485" s="329">
        <v>0</v>
      </c>
      <c r="Q485" s="329"/>
      <c r="R485" s="329">
        <v>37347</v>
      </c>
      <c r="S485" s="329">
        <v>9267</v>
      </c>
      <c r="T485" s="329">
        <v>46614</v>
      </c>
    </row>
    <row r="486" spans="1:20">
      <c r="A486" s="335">
        <v>94921</v>
      </c>
      <c r="B486" s="328" t="s">
        <v>1177</v>
      </c>
      <c r="C486" s="239">
        <v>3.8489000000000002E-3</v>
      </c>
      <c r="D486" s="239">
        <v>3.9271000000000002E-3</v>
      </c>
      <c r="E486" s="329">
        <v>10511046</v>
      </c>
      <c r="F486" s="329"/>
      <c r="G486" s="329">
        <v>1799757</v>
      </c>
      <c r="H486" s="329">
        <v>256379</v>
      </c>
      <c r="I486" s="329">
        <v>1713126</v>
      </c>
      <c r="J486" s="329">
        <v>9601</v>
      </c>
      <c r="K486" s="329">
        <v>3778863</v>
      </c>
      <c r="L486" s="329"/>
      <c r="M486" s="329">
        <v>0</v>
      </c>
      <c r="N486" s="329">
        <v>0</v>
      </c>
      <c r="O486" s="329">
        <v>337008</v>
      </c>
      <c r="P486" s="329">
        <v>337008</v>
      </c>
      <c r="Q486" s="329"/>
      <c r="R486" s="329">
        <v>4682237</v>
      </c>
      <c r="S486" s="329">
        <v>-195151</v>
      </c>
      <c r="T486" s="329">
        <v>4487086</v>
      </c>
    </row>
    <row r="487" spans="1:20">
      <c r="A487" s="335">
        <v>94923</v>
      </c>
      <c r="B487" s="328" t="s">
        <v>1178</v>
      </c>
      <c r="C487" s="239">
        <v>2.7800000000000001E-5</v>
      </c>
      <c r="D487" s="239">
        <v>2.9099999999999999E-5</v>
      </c>
      <c r="E487" s="329">
        <v>75920</v>
      </c>
      <c r="F487" s="329"/>
      <c r="G487" s="329">
        <v>12999</v>
      </c>
      <c r="H487" s="329">
        <v>1852</v>
      </c>
      <c r="I487" s="329">
        <v>12374</v>
      </c>
      <c r="J487" s="329">
        <v>3692</v>
      </c>
      <c r="K487" s="329">
        <v>30917</v>
      </c>
      <c r="L487" s="329"/>
      <c r="M487" s="329">
        <v>0</v>
      </c>
      <c r="N487" s="329">
        <v>0</v>
      </c>
      <c r="O487" s="329">
        <v>0</v>
      </c>
      <c r="P487" s="329">
        <v>0</v>
      </c>
      <c r="Q487" s="329"/>
      <c r="R487" s="329">
        <v>33819</v>
      </c>
      <c r="S487" s="329">
        <v>1901</v>
      </c>
      <c r="T487" s="329">
        <v>35720</v>
      </c>
    </row>
    <row r="488" spans="1:20">
      <c r="A488" s="335">
        <v>94927</v>
      </c>
      <c r="B488" s="328" t="s">
        <v>1179</v>
      </c>
      <c r="C488" s="239">
        <v>2.5299999999999998E-5</v>
      </c>
      <c r="D488" s="239">
        <v>2.76E-5</v>
      </c>
      <c r="E488" s="329">
        <v>69092</v>
      </c>
      <c r="F488" s="329"/>
      <c r="G488" s="329">
        <v>11830</v>
      </c>
      <c r="H488" s="329">
        <v>1686</v>
      </c>
      <c r="I488" s="329">
        <v>11261</v>
      </c>
      <c r="J488" s="329">
        <v>8185</v>
      </c>
      <c r="K488" s="329">
        <v>32962</v>
      </c>
      <c r="L488" s="329"/>
      <c r="M488" s="329">
        <v>0</v>
      </c>
      <c r="N488" s="329">
        <v>0</v>
      </c>
      <c r="O488" s="329">
        <v>0</v>
      </c>
      <c r="P488" s="329">
        <v>0</v>
      </c>
      <c r="Q488" s="329"/>
      <c r="R488" s="329">
        <v>30778</v>
      </c>
      <c r="S488" s="329">
        <v>2949</v>
      </c>
      <c r="T488" s="329">
        <v>33727</v>
      </c>
    </row>
    <row r="489" spans="1:20">
      <c r="A489" s="335">
        <v>94931</v>
      </c>
      <c r="B489" s="328" t="s">
        <v>1180</v>
      </c>
      <c r="C489" s="239">
        <v>2.142E-4</v>
      </c>
      <c r="D489" s="239">
        <v>2.0350000000000001E-4</v>
      </c>
      <c r="E489" s="329">
        <v>584963</v>
      </c>
      <c r="F489" s="329"/>
      <c r="G489" s="329">
        <v>100161</v>
      </c>
      <c r="H489" s="329">
        <v>14268</v>
      </c>
      <c r="I489" s="329">
        <v>95339</v>
      </c>
      <c r="J489" s="329">
        <v>10308</v>
      </c>
      <c r="K489" s="329">
        <v>220076</v>
      </c>
      <c r="L489" s="329"/>
      <c r="M489" s="329">
        <v>0</v>
      </c>
      <c r="N489" s="329">
        <v>0</v>
      </c>
      <c r="O489" s="329">
        <v>9256</v>
      </c>
      <c r="P489" s="329">
        <v>9256</v>
      </c>
      <c r="Q489" s="329"/>
      <c r="R489" s="329">
        <v>260577</v>
      </c>
      <c r="S489" s="329">
        <v>-3682</v>
      </c>
      <c r="T489" s="329">
        <v>256895</v>
      </c>
    </row>
    <row r="490" spans="1:20">
      <c r="A490" s="335">
        <v>94937</v>
      </c>
      <c r="B490" s="328" t="s">
        <v>1933</v>
      </c>
      <c r="C490" s="239">
        <v>6.9E-6</v>
      </c>
      <c r="D490" s="239">
        <v>0</v>
      </c>
      <c r="E490" s="329">
        <v>18843</v>
      </c>
      <c r="F490" s="329"/>
      <c r="G490" s="329">
        <v>3226</v>
      </c>
      <c r="H490" s="329">
        <v>460</v>
      </c>
      <c r="I490" s="329">
        <v>3071</v>
      </c>
      <c r="J490" s="329">
        <v>5936</v>
      </c>
      <c r="K490" s="329">
        <v>12693</v>
      </c>
      <c r="L490" s="329"/>
      <c r="M490" s="329">
        <v>0</v>
      </c>
      <c r="N490" s="329">
        <v>0</v>
      </c>
      <c r="O490" s="329">
        <v>0</v>
      </c>
      <c r="P490" s="329">
        <v>0</v>
      </c>
      <c r="Q490" s="329"/>
      <c r="R490" s="329">
        <v>8394</v>
      </c>
      <c r="S490" s="329">
        <v>1484</v>
      </c>
      <c r="T490" s="329">
        <v>9878</v>
      </c>
    </row>
    <row r="491" spans="1:20">
      <c r="A491" s="335">
        <v>94941</v>
      </c>
      <c r="B491" s="328" t="s">
        <v>1181</v>
      </c>
      <c r="C491" s="239">
        <v>5.865E-4</v>
      </c>
      <c r="D491" s="239">
        <v>5.4239999999999996E-4</v>
      </c>
      <c r="E491" s="329">
        <v>1601686</v>
      </c>
      <c r="F491" s="329"/>
      <c r="G491" s="329">
        <v>274249</v>
      </c>
      <c r="H491" s="329">
        <v>39067</v>
      </c>
      <c r="I491" s="329">
        <v>261048</v>
      </c>
      <c r="J491" s="329">
        <v>22301</v>
      </c>
      <c r="K491" s="329">
        <v>596665</v>
      </c>
      <c r="L491" s="329"/>
      <c r="M491" s="329">
        <v>0</v>
      </c>
      <c r="N491" s="329">
        <v>0</v>
      </c>
      <c r="O491" s="329">
        <v>29495</v>
      </c>
      <c r="P491" s="329">
        <v>29495</v>
      </c>
      <c r="Q491" s="329"/>
      <c r="R491" s="329">
        <v>713485</v>
      </c>
      <c r="S491" s="329">
        <v>9271</v>
      </c>
      <c r="T491" s="329">
        <v>722756</v>
      </c>
    </row>
    <row r="492" spans="1:20">
      <c r="A492" s="335">
        <v>94947</v>
      </c>
      <c r="B492" s="328" t="s">
        <v>1934</v>
      </c>
      <c r="C492" s="239">
        <v>5.9000000000000003E-6</v>
      </c>
      <c r="D492" s="239">
        <v>0</v>
      </c>
      <c r="E492" s="329">
        <v>16112</v>
      </c>
      <c r="F492" s="329"/>
      <c r="G492" s="329">
        <v>2759</v>
      </c>
      <c r="H492" s="329">
        <v>393</v>
      </c>
      <c r="I492" s="329">
        <v>2626</v>
      </c>
      <c r="J492" s="329">
        <v>6305</v>
      </c>
      <c r="K492" s="329">
        <v>12083</v>
      </c>
      <c r="L492" s="329"/>
      <c r="M492" s="329">
        <v>0</v>
      </c>
      <c r="N492" s="329">
        <v>0</v>
      </c>
      <c r="O492" s="329">
        <v>0</v>
      </c>
      <c r="P492" s="329">
        <v>0</v>
      </c>
      <c r="Q492" s="329"/>
      <c r="R492" s="329">
        <v>7177</v>
      </c>
      <c r="S492" s="329">
        <v>1576</v>
      </c>
      <c r="T492" s="329">
        <v>8753</v>
      </c>
    </row>
    <row r="493" spans="1:20">
      <c r="A493" s="335">
        <v>95001</v>
      </c>
      <c r="B493" s="328" t="s">
        <v>1182</v>
      </c>
      <c r="C493" s="239">
        <v>2.2818999999999999E-3</v>
      </c>
      <c r="D493" s="239">
        <v>2.3002999999999999E-3</v>
      </c>
      <c r="E493" s="329">
        <v>6231691</v>
      </c>
      <c r="F493" s="329"/>
      <c r="G493" s="329">
        <v>1067023</v>
      </c>
      <c r="H493" s="329">
        <v>152000</v>
      </c>
      <c r="I493" s="329">
        <v>1015662</v>
      </c>
      <c r="J493" s="329">
        <v>155309</v>
      </c>
      <c r="K493" s="329">
        <v>2389994</v>
      </c>
      <c r="L493" s="329"/>
      <c r="M493" s="329">
        <v>0</v>
      </c>
      <c r="N493" s="329">
        <v>0</v>
      </c>
      <c r="O493" s="329">
        <v>37098</v>
      </c>
      <c r="P493" s="329">
        <v>37098</v>
      </c>
      <c r="Q493" s="329"/>
      <c r="R493" s="329">
        <v>2775961</v>
      </c>
      <c r="S493" s="329">
        <v>62392</v>
      </c>
      <c r="T493" s="329">
        <v>2838353</v>
      </c>
    </row>
    <row r="494" spans="1:20">
      <c r="A494" s="335">
        <v>95002</v>
      </c>
      <c r="B494" s="328" t="s">
        <v>1183</v>
      </c>
      <c r="C494" s="239">
        <v>1.805E-4</v>
      </c>
      <c r="D494" s="239">
        <v>1.8589999999999999E-4</v>
      </c>
      <c r="E494" s="329">
        <v>492931</v>
      </c>
      <c r="F494" s="329"/>
      <c r="G494" s="329">
        <v>84402</v>
      </c>
      <c r="H494" s="329">
        <v>12023</v>
      </c>
      <c r="I494" s="329">
        <v>80340</v>
      </c>
      <c r="J494" s="329">
        <v>26348</v>
      </c>
      <c r="K494" s="329">
        <v>203113</v>
      </c>
      <c r="L494" s="329"/>
      <c r="M494" s="329">
        <v>0</v>
      </c>
      <c r="N494" s="329">
        <v>0</v>
      </c>
      <c r="O494" s="329">
        <v>0</v>
      </c>
      <c r="P494" s="329">
        <v>0</v>
      </c>
      <c r="Q494" s="329"/>
      <c r="R494" s="329">
        <v>219581</v>
      </c>
      <c r="S494" s="329">
        <v>10886</v>
      </c>
      <c r="T494" s="329">
        <v>230467</v>
      </c>
    </row>
    <row r="495" spans="1:20">
      <c r="A495" s="335">
        <v>95005</v>
      </c>
      <c r="B495" s="328" t="s">
        <v>1184</v>
      </c>
      <c r="C495" s="239">
        <v>1.8819999999999999E-4</v>
      </c>
      <c r="D495" s="239">
        <v>2.131E-4</v>
      </c>
      <c r="E495" s="329">
        <v>513960</v>
      </c>
      <c r="F495" s="329"/>
      <c r="G495" s="329">
        <v>88003</v>
      </c>
      <c r="H495" s="329">
        <v>12536</v>
      </c>
      <c r="I495" s="329">
        <v>83767</v>
      </c>
      <c r="J495" s="329">
        <v>0</v>
      </c>
      <c r="K495" s="329">
        <v>184306</v>
      </c>
      <c r="L495" s="329"/>
      <c r="M495" s="329">
        <v>0</v>
      </c>
      <c r="N495" s="329">
        <v>0</v>
      </c>
      <c r="O495" s="329">
        <v>10481</v>
      </c>
      <c r="P495" s="329">
        <v>10481</v>
      </c>
      <c r="Q495" s="329"/>
      <c r="R495" s="329">
        <v>228948</v>
      </c>
      <c r="S495" s="329">
        <v>1247</v>
      </c>
      <c r="T495" s="329">
        <v>230195</v>
      </c>
    </row>
    <row r="496" spans="1:20" ht="30">
      <c r="A496" s="335">
        <v>95008</v>
      </c>
      <c r="B496" s="328" t="s">
        <v>3701</v>
      </c>
      <c r="C496" s="239">
        <v>1.193E-4</v>
      </c>
      <c r="D496" s="239">
        <v>1.188E-4</v>
      </c>
      <c r="E496" s="329">
        <v>325799</v>
      </c>
      <c r="F496" s="329"/>
      <c r="G496" s="329">
        <v>55785</v>
      </c>
      <c r="H496" s="329">
        <v>7946</v>
      </c>
      <c r="I496" s="329">
        <v>53100</v>
      </c>
      <c r="J496" s="329">
        <v>19310</v>
      </c>
      <c r="K496" s="329">
        <v>136141</v>
      </c>
      <c r="L496" s="329"/>
      <c r="M496" s="329">
        <v>0</v>
      </c>
      <c r="N496" s="329">
        <v>0</v>
      </c>
      <c r="O496" s="329">
        <v>1877</v>
      </c>
      <c r="P496" s="329">
        <v>1877</v>
      </c>
      <c r="Q496" s="329"/>
      <c r="R496" s="329">
        <v>145130</v>
      </c>
      <c r="S496" s="329">
        <v>7016</v>
      </c>
      <c r="T496" s="329">
        <v>152146</v>
      </c>
    </row>
    <row r="497" spans="1:20">
      <c r="A497" s="335">
        <v>95009</v>
      </c>
      <c r="B497" s="328" t="s">
        <v>1186</v>
      </c>
      <c r="C497" s="239">
        <v>4.0723000000000001E-3</v>
      </c>
      <c r="D497" s="239">
        <v>4.0277999999999998E-3</v>
      </c>
      <c r="E497" s="329">
        <v>11121134</v>
      </c>
      <c r="F497" s="329"/>
      <c r="G497" s="329">
        <v>1904220</v>
      </c>
      <c r="H497" s="329">
        <v>271260</v>
      </c>
      <c r="I497" s="329">
        <v>1812560</v>
      </c>
      <c r="J497" s="329">
        <v>116692</v>
      </c>
      <c r="K497" s="329">
        <v>4104732</v>
      </c>
      <c r="L497" s="329"/>
      <c r="M497" s="329">
        <v>0</v>
      </c>
      <c r="N497" s="329">
        <v>0</v>
      </c>
      <c r="O497" s="329">
        <v>144383</v>
      </c>
      <c r="P497" s="329">
        <v>144383</v>
      </c>
      <c r="Q497" s="329"/>
      <c r="R497" s="329">
        <v>4954006</v>
      </c>
      <c r="S497" s="329">
        <v>159013</v>
      </c>
      <c r="T497" s="329">
        <v>5113019</v>
      </c>
    </row>
    <row r="498" spans="1:20">
      <c r="A498" s="335">
        <v>95011</v>
      </c>
      <c r="B498" s="328" t="s">
        <v>1187</v>
      </c>
      <c r="C498" s="239">
        <v>1.9230000000000001E-4</v>
      </c>
      <c r="D498" s="239">
        <v>1.8760000000000001E-4</v>
      </c>
      <c r="E498" s="329">
        <v>525156</v>
      </c>
      <c r="F498" s="329"/>
      <c r="G498" s="329">
        <v>89920</v>
      </c>
      <c r="H498" s="329">
        <v>12809</v>
      </c>
      <c r="I498" s="329">
        <v>85592</v>
      </c>
      <c r="J498" s="329">
        <v>5134</v>
      </c>
      <c r="K498" s="329">
        <v>193455</v>
      </c>
      <c r="L498" s="329"/>
      <c r="M498" s="329">
        <v>0</v>
      </c>
      <c r="N498" s="329">
        <v>0</v>
      </c>
      <c r="O498" s="329">
        <v>1730</v>
      </c>
      <c r="P498" s="329">
        <v>1730</v>
      </c>
      <c r="Q498" s="329"/>
      <c r="R498" s="329">
        <v>233935</v>
      </c>
      <c r="S498" s="329">
        <v>-643</v>
      </c>
      <c r="T498" s="329">
        <v>233292</v>
      </c>
    </row>
    <row r="499" spans="1:20">
      <c r="A499" s="335">
        <v>95017</v>
      </c>
      <c r="B499" s="328" t="s">
        <v>1188</v>
      </c>
      <c r="C499" s="239">
        <v>5.1E-5</v>
      </c>
      <c r="D499" s="239">
        <v>4.5500000000000001E-5</v>
      </c>
      <c r="E499" s="329">
        <v>139277</v>
      </c>
      <c r="F499" s="329"/>
      <c r="G499" s="329">
        <v>23848</v>
      </c>
      <c r="H499" s="329">
        <v>3397</v>
      </c>
      <c r="I499" s="329">
        <v>22700</v>
      </c>
      <c r="J499" s="329">
        <v>1599</v>
      </c>
      <c r="K499" s="329">
        <v>51544</v>
      </c>
      <c r="L499" s="329"/>
      <c r="M499" s="329">
        <v>0</v>
      </c>
      <c r="N499" s="329">
        <v>0</v>
      </c>
      <c r="O499" s="329">
        <v>0</v>
      </c>
      <c r="P499" s="329">
        <v>0</v>
      </c>
      <c r="Q499" s="329"/>
      <c r="R499" s="329">
        <v>62042</v>
      </c>
      <c r="S499" s="329">
        <v>5238</v>
      </c>
      <c r="T499" s="329">
        <v>67280</v>
      </c>
    </row>
    <row r="500" spans="1:20">
      <c r="A500" s="335">
        <v>95101</v>
      </c>
      <c r="B500" s="328" t="s">
        <v>1189</v>
      </c>
      <c r="C500" s="239">
        <v>8.8515E-3</v>
      </c>
      <c r="D500" s="239">
        <v>8.5109999999999995E-3</v>
      </c>
      <c r="E500" s="329">
        <v>24172756</v>
      </c>
      <c r="F500" s="329"/>
      <c r="G500" s="329">
        <v>4138988</v>
      </c>
      <c r="H500" s="329">
        <v>589608</v>
      </c>
      <c r="I500" s="329">
        <v>3939758</v>
      </c>
      <c r="J500" s="329">
        <v>42722</v>
      </c>
      <c r="K500" s="329">
        <v>8711076</v>
      </c>
      <c r="L500" s="329"/>
      <c r="M500" s="329">
        <v>0</v>
      </c>
      <c r="N500" s="329">
        <v>0</v>
      </c>
      <c r="O500" s="329">
        <v>98844</v>
      </c>
      <c r="P500" s="329">
        <v>98844</v>
      </c>
      <c r="Q500" s="329"/>
      <c r="R500" s="329">
        <v>10767965</v>
      </c>
      <c r="S500" s="329">
        <v>-40899</v>
      </c>
      <c r="T500" s="329">
        <v>10727066</v>
      </c>
    </row>
    <row r="501" spans="1:20">
      <c r="A501" s="335">
        <v>95103</v>
      </c>
      <c r="B501" s="328" t="s">
        <v>1190</v>
      </c>
      <c r="C501" s="239">
        <v>5.0599999999999997E-5</v>
      </c>
      <c r="D501" s="239">
        <v>4.4400000000000002E-5</v>
      </c>
      <c r="E501" s="329">
        <v>138185</v>
      </c>
      <c r="F501" s="329"/>
      <c r="G501" s="329">
        <v>23661</v>
      </c>
      <c r="H501" s="329">
        <v>3370</v>
      </c>
      <c r="I501" s="329">
        <v>22522</v>
      </c>
      <c r="J501" s="329">
        <v>17200</v>
      </c>
      <c r="K501" s="329">
        <v>66753</v>
      </c>
      <c r="L501" s="329"/>
      <c r="M501" s="329">
        <v>0</v>
      </c>
      <c r="N501" s="329">
        <v>0</v>
      </c>
      <c r="O501" s="329">
        <v>0</v>
      </c>
      <c r="P501" s="329">
        <v>0</v>
      </c>
      <c r="Q501" s="329"/>
      <c r="R501" s="329">
        <v>61556</v>
      </c>
      <c r="S501" s="329">
        <v>7975</v>
      </c>
      <c r="T501" s="329">
        <v>69531</v>
      </c>
    </row>
    <row r="502" spans="1:20">
      <c r="A502" s="335">
        <v>95104</v>
      </c>
      <c r="B502" s="328" t="s">
        <v>1191</v>
      </c>
      <c r="C502" s="239">
        <v>1.149E-4</v>
      </c>
      <c r="D502" s="239">
        <v>9.8300000000000004E-5</v>
      </c>
      <c r="E502" s="329">
        <v>313783</v>
      </c>
      <c r="F502" s="329"/>
      <c r="G502" s="329">
        <v>53728</v>
      </c>
      <c r="H502" s="329">
        <v>7654</v>
      </c>
      <c r="I502" s="329">
        <v>51141</v>
      </c>
      <c r="J502" s="329">
        <v>38997</v>
      </c>
      <c r="K502" s="329">
        <v>151520</v>
      </c>
      <c r="L502" s="329"/>
      <c r="M502" s="329">
        <v>0</v>
      </c>
      <c r="N502" s="329">
        <v>0</v>
      </c>
      <c r="O502" s="329">
        <v>0</v>
      </c>
      <c r="P502" s="329">
        <v>0</v>
      </c>
      <c r="Q502" s="329"/>
      <c r="R502" s="329">
        <v>139777</v>
      </c>
      <c r="S502" s="329">
        <v>15329</v>
      </c>
      <c r="T502" s="329">
        <v>155106</v>
      </c>
    </row>
    <row r="503" spans="1:20" ht="30">
      <c r="A503" s="335">
        <v>95105</v>
      </c>
      <c r="B503" s="328" t="s">
        <v>3702</v>
      </c>
      <c r="C503" s="239">
        <v>7.1500000000000003E-5</v>
      </c>
      <c r="D503" s="239">
        <v>6.5900000000000003E-5</v>
      </c>
      <c r="E503" s="329">
        <v>195261</v>
      </c>
      <c r="F503" s="329"/>
      <c r="G503" s="329">
        <v>33434</v>
      </c>
      <c r="H503" s="329">
        <v>4763</v>
      </c>
      <c r="I503" s="329">
        <v>31824</v>
      </c>
      <c r="J503" s="329">
        <v>12840</v>
      </c>
      <c r="K503" s="329">
        <v>82861</v>
      </c>
      <c r="L503" s="329"/>
      <c r="M503" s="329">
        <v>0</v>
      </c>
      <c r="N503" s="329">
        <v>0</v>
      </c>
      <c r="O503" s="329">
        <v>0</v>
      </c>
      <c r="P503" s="329">
        <v>0</v>
      </c>
      <c r="Q503" s="329"/>
      <c r="R503" s="329">
        <v>86981</v>
      </c>
      <c r="S503" s="329">
        <v>5370</v>
      </c>
      <c r="T503" s="329">
        <v>92351</v>
      </c>
    </row>
    <row r="504" spans="1:20">
      <c r="A504" s="335">
        <v>95106</v>
      </c>
      <c r="B504" s="328" t="s">
        <v>1193</v>
      </c>
      <c r="C504" s="239">
        <v>1.29E-5</v>
      </c>
      <c r="D504" s="239">
        <v>1.3900000000000001E-5</v>
      </c>
      <c r="E504" s="329">
        <v>35229</v>
      </c>
      <c r="F504" s="329"/>
      <c r="G504" s="329">
        <v>6032</v>
      </c>
      <c r="H504" s="329">
        <v>859</v>
      </c>
      <c r="I504" s="329">
        <v>5742</v>
      </c>
      <c r="J504" s="329">
        <v>3315</v>
      </c>
      <c r="K504" s="329">
        <v>15948</v>
      </c>
      <c r="L504" s="329"/>
      <c r="M504" s="329">
        <v>0</v>
      </c>
      <c r="N504" s="329">
        <v>0</v>
      </c>
      <c r="O504" s="329">
        <v>718</v>
      </c>
      <c r="P504" s="329">
        <v>718</v>
      </c>
      <c r="Q504" s="329"/>
      <c r="R504" s="329">
        <v>15693</v>
      </c>
      <c r="S504" s="329">
        <v>2074</v>
      </c>
      <c r="T504" s="329">
        <v>17767</v>
      </c>
    </row>
    <row r="505" spans="1:20">
      <c r="A505" s="335">
        <v>95110</v>
      </c>
      <c r="B505" s="328" t="s">
        <v>1194</v>
      </c>
      <c r="C505" s="239">
        <v>3.1538E-3</v>
      </c>
      <c r="D505" s="239">
        <v>3.5975E-3</v>
      </c>
      <c r="E505" s="329">
        <v>8612782</v>
      </c>
      <c r="F505" s="329"/>
      <c r="G505" s="329">
        <v>1474726</v>
      </c>
      <c r="H505" s="329">
        <v>210077</v>
      </c>
      <c r="I505" s="329">
        <v>1403741</v>
      </c>
      <c r="J505" s="329">
        <v>0</v>
      </c>
      <c r="K505" s="329">
        <v>3088544</v>
      </c>
      <c r="L505" s="329"/>
      <c r="M505" s="329">
        <v>0</v>
      </c>
      <c r="N505" s="329">
        <v>0</v>
      </c>
      <c r="O505" s="329">
        <v>657900</v>
      </c>
      <c r="P505" s="329">
        <v>657900</v>
      </c>
      <c r="Q505" s="329"/>
      <c r="R505" s="329">
        <v>3836639</v>
      </c>
      <c r="S505" s="329">
        <v>-425151</v>
      </c>
      <c r="T505" s="329">
        <v>3411488</v>
      </c>
    </row>
    <row r="506" spans="1:20">
      <c r="A506" s="335">
        <v>95111</v>
      </c>
      <c r="B506" s="328" t="s">
        <v>1195</v>
      </c>
      <c r="C506" s="239">
        <v>1.0529000000000001E-3</v>
      </c>
      <c r="D506" s="239">
        <v>1.1188999999999999E-3</v>
      </c>
      <c r="E506" s="329">
        <v>2875388</v>
      </c>
      <c r="F506" s="329"/>
      <c r="G506" s="329">
        <v>492339</v>
      </c>
      <c r="H506" s="329">
        <v>70135</v>
      </c>
      <c r="I506" s="329">
        <v>468641</v>
      </c>
      <c r="J506" s="329">
        <v>0</v>
      </c>
      <c r="K506" s="329">
        <v>1031115</v>
      </c>
      <c r="L506" s="329"/>
      <c r="M506" s="329">
        <v>0</v>
      </c>
      <c r="N506" s="329">
        <v>0</v>
      </c>
      <c r="O506" s="329">
        <v>111110</v>
      </c>
      <c r="P506" s="329">
        <v>111110</v>
      </c>
      <c r="Q506" s="329"/>
      <c r="R506" s="329">
        <v>1280867</v>
      </c>
      <c r="S506" s="329">
        <v>-58821</v>
      </c>
      <c r="T506" s="329">
        <v>1222046</v>
      </c>
    </row>
    <row r="507" spans="1:20">
      <c r="A507" s="335">
        <v>95113</v>
      </c>
      <c r="B507" s="328" t="s">
        <v>1196</v>
      </c>
      <c r="C507" s="239">
        <v>4.5300000000000003E-5</v>
      </c>
      <c r="D507" s="239">
        <v>4.49E-5</v>
      </c>
      <c r="E507" s="329">
        <v>123711</v>
      </c>
      <c r="F507" s="329"/>
      <c r="G507" s="329">
        <v>21182</v>
      </c>
      <c r="H507" s="329">
        <v>3017</v>
      </c>
      <c r="I507" s="329">
        <v>20163</v>
      </c>
      <c r="J507" s="329">
        <v>101740</v>
      </c>
      <c r="K507" s="329">
        <v>146102</v>
      </c>
      <c r="L507" s="329"/>
      <c r="M507" s="329">
        <v>0</v>
      </c>
      <c r="N507" s="329">
        <v>0</v>
      </c>
      <c r="O507" s="329">
        <v>0</v>
      </c>
      <c r="P507" s="329">
        <v>0</v>
      </c>
      <c r="Q507" s="329"/>
      <c r="R507" s="329">
        <v>55108</v>
      </c>
      <c r="S507" s="329">
        <v>47235</v>
      </c>
      <c r="T507" s="329">
        <v>102343</v>
      </c>
    </row>
    <row r="508" spans="1:20">
      <c r="A508" s="335">
        <v>95121</v>
      </c>
      <c r="B508" s="328" t="s">
        <v>1197</v>
      </c>
      <c r="C508" s="239">
        <v>4.6769999999999998E-4</v>
      </c>
      <c r="D508" s="239">
        <v>5.2059999999999997E-4</v>
      </c>
      <c r="E508" s="329">
        <v>1277252</v>
      </c>
      <c r="F508" s="329"/>
      <c r="G508" s="329">
        <v>218698</v>
      </c>
      <c r="H508" s="329">
        <v>31154</v>
      </c>
      <c r="I508" s="329">
        <v>208171</v>
      </c>
      <c r="J508" s="329">
        <v>6851</v>
      </c>
      <c r="K508" s="329">
        <v>464874</v>
      </c>
      <c r="L508" s="329"/>
      <c r="M508" s="329">
        <v>0</v>
      </c>
      <c r="N508" s="329">
        <v>0</v>
      </c>
      <c r="O508" s="329">
        <v>42071</v>
      </c>
      <c r="P508" s="329">
        <v>42071</v>
      </c>
      <c r="Q508" s="329"/>
      <c r="R508" s="329">
        <v>568963</v>
      </c>
      <c r="S508" s="329">
        <v>-4120</v>
      </c>
      <c r="T508" s="329">
        <v>564843</v>
      </c>
    </row>
    <row r="509" spans="1:20">
      <c r="A509" s="335">
        <v>95122</v>
      </c>
      <c r="B509" s="328" t="s">
        <v>1198</v>
      </c>
      <c r="C509" s="239">
        <v>1.5400000000000002E-5</v>
      </c>
      <c r="D509" s="239">
        <v>6.6000000000000003E-6</v>
      </c>
      <c r="E509" s="329">
        <v>42056</v>
      </c>
      <c r="F509" s="329"/>
      <c r="G509" s="329">
        <v>7201</v>
      </c>
      <c r="H509" s="329">
        <v>1026</v>
      </c>
      <c r="I509" s="329">
        <v>6854</v>
      </c>
      <c r="J509" s="329">
        <v>11248</v>
      </c>
      <c r="K509" s="329">
        <v>26329</v>
      </c>
      <c r="L509" s="329"/>
      <c r="M509" s="329">
        <v>0</v>
      </c>
      <c r="N509" s="329">
        <v>0</v>
      </c>
      <c r="O509" s="329">
        <v>0</v>
      </c>
      <c r="P509" s="329">
        <v>0</v>
      </c>
      <c r="Q509" s="329"/>
      <c r="R509" s="329">
        <v>18734</v>
      </c>
      <c r="S509" s="329">
        <v>3572</v>
      </c>
      <c r="T509" s="329">
        <v>22306</v>
      </c>
    </row>
    <row r="510" spans="1:20">
      <c r="A510" s="335">
        <v>95123</v>
      </c>
      <c r="B510" s="328" t="s">
        <v>1199</v>
      </c>
      <c r="C510" s="239">
        <v>4.8999999999999998E-5</v>
      </c>
      <c r="D510" s="239">
        <v>5.41E-5</v>
      </c>
      <c r="E510" s="329">
        <v>133815</v>
      </c>
      <c r="F510" s="329"/>
      <c r="G510" s="329">
        <v>22913</v>
      </c>
      <c r="H510" s="329">
        <v>3264</v>
      </c>
      <c r="I510" s="329">
        <v>21810</v>
      </c>
      <c r="J510" s="329">
        <v>2564</v>
      </c>
      <c r="K510" s="329">
        <v>50551</v>
      </c>
      <c r="L510" s="329"/>
      <c r="M510" s="329">
        <v>0</v>
      </c>
      <c r="N510" s="329">
        <v>0</v>
      </c>
      <c r="O510" s="329">
        <v>1651</v>
      </c>
      <c r="P510" s="329">
        <v>1651</v>
      </c>
      <c r="Q510" s="329"/>
      <c r="R510" s="329">
        <v>59609</v>
      </c>
      <c r="S510" s="329">
        <v>2683</v>
      </c>
      <c r="T510" s="329">
        <v>62292</v>
      </c>
    </row>
    <row r="511" spans="1:20">
      <c r="A511" s="335">
        <v>95131</v>
      </c>
      <c r="B511" s="328" t="s">
        <v>1200</v>
      </c>
      <c r="C511" s="239">
        <v>1.7905E-3</v>
      </c>
      <c r="D511" s="239">
        <v>1.7581000000000001E-3</v>
      </c>
      <c r="E511" s="329">
        <v>4889716</v>
      </c>
      <c r="F511" s="329"/>
      <c r="G511" s="329">
        <v>837243</v>
      </c>
      <c r="H511" s="329">
        <v>119267</v>
      </c>
      <c r="I511" s="329">
        <v>796943</v>
      </c>
      <c r="J511" s="329">
        <v>67539</v>
      </c>
      <c r="K511" s="329">
        <v>1820992</v>
      </c>
      <c r="L511" s="329"/>
      <c r="M511" s="329">
        <v>0</v>
      </c>
      <c r="N511" s="329">
        <v>0</v>
      </c>
      <c r="O511" s="329">
        <v>0</v>
      </c>
      <c r="P511" s="329">
        <v>0</v>
      </c>
      <c r="Q511" s="329"/>
      <c r="R511" s="329">
        <v>2178167</v>
      </c>
      <c r="S511" s="329">
        <v>41149</v>
      </c>
      <c r="T511" s="329">
        <v>2219316</v>
      </c>
    </row>
    <row r="512" spans="1:20">
      <c r="A512" s="335">
        <v>95141</v>
      </c>
      <c r="B512" s="328" t="s">
        <v>1201</v>
      </c>
      <c r="C512" s="239">
        <v>3.6099999999999999E-4</v>
      </c>
      <c r="D512" s="239">
        <v>3.2400000000000001E-4</v>
      </c>
      <c r="E512" s="329">
        <v>985863</v>
      </c>
      <c r="F512" s="329"/>
      <c r="G512" s="329">
        <v>168805</v>
      </c>
      <c r="H512" s="329">
        <v>24047</v>
      </c>
      <c r="I512" s="329">
        <v>160679</v>
      </c>
      <c r="J512" s="329">
        <v>20356</v>
      </c>
      <c r="K512" s="329">
        <v>373887</v>
      </c>
      <c r="L512" s="329"/>
      <c r="M512" s="329">
        <v>0</v>
      </c>
      <c r="N512" s="329">
        <v>0</v>
      </c>
      <c r="O512" s="329">
        <v>10967</v>
      </c>
      <c r="P512" s="329">
        <v>10967</v>
      </c>
      <c r="Q512" s="329"/>
      <c r="R512" s="329">
        <v>439161</v>
      </c>
      <c r="S512" s="329">
        <v>-7446</v>
      </c>
      <c r="T512" s="329">
        <v>431715</v>
      </c>
    </row>
    <row r="513" spans="1:20">
      <c r="A513" s="335">
        <v>95151</v>
      </c>
      <c r="B513" s="328" t="s">
        <v>1202</v>
      </c>
      <c r="C513" s="239">
        <v>1.1010000000000001E-4</v>
      </c>
      <c r="D513" s="239">
        <v>1.159E-4</v>
      </c>
      <c r="E513" s="329">
        <v>300675</v>
      </c>
      <c r="F513" s="329"/>
      <c r="G513" s="329">
        <v>51483</v>
      </c>
      <c r="H513" s="329">
        <v>7334</v>
      </c>
      <c r="I513" s="329">
        <v>49005</v>
      </c>
      <c r="J513" s="329">
        <v>187</v>
      </c>
      <c r="K513" s="329">
        <v>108009</v>
      </c>
      <c r="L513" s="329"/>
      <c r="M513" s="329">
        <v>0</v>
      </c>
      <c r="N513" s="329">
        <v>0</v>
      </c>
      <c r="O513" s="329">
        <v>10229</v>
      </c>
      <c r="P513" s="329">
        <v>10229</v>
      </c>
      <c r="Q513" s="329"/>
      <c r="R513" s="329">
        <v>133938</v>
      </c>
      <c r="S513" s="329">
        <v>-4950</v>
      </c>
      <c r="T513" s="329">
        <v>128988</v>
      </c>
    </row>
    <row r="514" spans="1:20">
      <c r="A514" s="335">
        <v>95161</v>
      </c>
      <c r="B514" s="328" t="s">
        <v>1203</v>
      </c>
      <c r="C514" s="239">
        <v>7.1199999999999996E-5</v>
      </c>
      <c r="D514" s="239">
        <v>6.9200000000000002E-5</v>
      </c>
      <c r="E514" s="329">
        <v>194442</v>
      </c>
      <c r="F514" s="329"/>
      <c r="G514" s="329">
        <v>33293</v>
      </c>
      <c r="H514" s="329">
        <v>4743</v>
      </c>
      <c r="I514" s="329">
        <v>31691</v>
      </c>
      <c r="J514" s="329">
        <v>11881</v>
      </c>
      <c r="K514" s="329">
        <v>81608</v>
      </c>
      <c r="L514" s="329"/>
      <c r="M514" s="329">
        <v>0</v>
      </c>
      <c r="N514" s="329">
        <v>0</v>
      </c>
      <c r="O514" s="329">
        <v>0</v>
      </c>
      <c r="P514" s="329">
        <v>0</v>
      </c>
      <c r="Q514" s="329"/>
      <c r="R514" s="329">
        <v>86616</v>
      </c>
      <c r="S514" s="329">
        <v>4042</v>
      </c>
      <c r="T514" s="329">
        <v>90658</v>
      </c>
    </row>
    <row r="515" spans="1:20">
      <c r="A515" s="335">
        <v>95171</v>
      </c>
      <c r="B515" s="328" t="s">
        <v>1204</v>
      </c>
      <c r="C515" s="239">
        <v>1.089E-4</v>
      </c>
      <c r="D515" s="239">
        <v>8.8599999999999999E-5</v>
      </c>
      <c r="E515" s="329">
        <v>297397</v>
      </c>
      <c r="F515" s="329"/>
      <c r="G515" s="329">
        <v>50922</v>
      </c>
      <c r="H515" s="329">
        <v>7254</v>
      </c>
      <c r="I515" s="329">
        <v>48471</v>
      </c>
      <c r="J515" s="329">
        <v>19879</v>
      </c>
      <c r="K515" s="329">
        <v>126526</v>
      </c>
      <c r="L515" s="329"/>
      <c r="M515" s="329">
        <v>0</v>
      </c>
      <c r="N515" s="329">
        <v>0</v>
      </c>
      <c r="O515" s="329">
        <v>10913</v>
      </c>
      <c r="P515" s="329">
        <v>10913</v>
      </c>
      <c r="Q515" s="329"/>
      <c r="R515" s="329">
        <v>132478</v>
      </c>
      <c r="S515" s="329">
        <v>2957</v>
      </c>
      <c r="T515" s="329">
        <v>135435</v>
      </c>
    </row>
    <row r="516" spans="1:20">
      <c r="A516" s="335">
        <v>95181</v>
      </c>
      <c r="B516" s="328" t="s">
        <v>1205</v>
      </c>
      <c r="C516" s="239">
        <v>5.9700000000000001E-5</v>
      </c>
      <c r="D516" s="239">
        <v>7.7899999999999996E-5</v>
      </c>
      <c r="E516" s="329">
        <v>163036</v>
      </c>
      <c r="F516" s="329"/>
      <c r="G516" s="329">
        <v>27916</v>
      </c>
      <c r="H516" s="329">
        <v>3977</v>
      </c>
      <c r="I516" s="329">
        <v>26572</v>
      </c>
      <c r="J516" s="329">
        <v>0</v>
      </c>
      <c r="K516" s="329">
        <v>58465</v>
      </c>
      <c r="L516" s="329"/>
      <c r="M516" s="329">
        <v>0</v>
      </c>
      <c r="N516" s="329">
        <v>0</v>
      </c>
      <c r="O516" s="329">
        <v>18867</v>
      </c>
      <c r="P516" s="329">
        <v>18867</v>
      </c>
      <c r="Q516" s="329"/>
      <c r="R516" s="329">
        <v>72626</v>
      </c>
      <c r="S516" s="329">
        <v>-6273</v>
      </c>
      <c r="T516" s="329">
        <v>66353</v>
      </c>
    </row>
    <row r="517" spans="1:20">
      <c r="A517" s="335">
        <v>95191</v>
      </c>
      <c r="B517" s="328" t="s">
        <v>1206</v>
      </c>
      <c r="C517" s="239">
        <v>7.3800000000000005E-5</v>
      </c>
      <c r="D517" s="239">
        <v>4.2599999999999999E-5</v>
      </c>
      <c r="E517" s="329">
        <v>201542</v>
      </c>
      <c r="F517" s="329"/>
      <c r="G517" s="329">
        <v>34509</v>
      </c>
      <c r="H517" s="329">
        <v>4916</v>
      </c>
      <c r="I517" s="329">
        <v>32848</v>
      </c>
      <c r="J517" s="329">
        <v>37441</v>
      </c>
      <c r="K517" s="329">
        <v>109714</v>
      </c>
      <c r="L517" s="329"/>
      <c r="M517" s="329">
        <v>0</v>
      </c>
      <c r="N517" s="329">
        <v>0</v>
      </c>
      <c r="O517" s="329">
        <v>1591</v>
      </c>
      <c r="P517" s="329">
        <v>1591</v>
      </c>
      <c r="Q517" s="329"/>
      <c r="R517" s="329">
        <v>89779</v>
      </c>
      <c r="S517" s="329">
        <v>10708</v>
      </c>
      <c r="T517" s="329">
        <v>100487</v>
      </c>
    </row>
    <row r="518" spans="1:20">
      <c r="A518" s="335">
        <v>95201</v>
      </c>
      <c r="B518" s="328" t="s">
        <v>1207</v>
      </c>
      <c r="C518" s="239">
        <v>6.5070000000000004E-4</v>
      </c>
      <c r="D518" s="239">
        <v>7.0259999999999995E-4</v>
      </c>
      <c r="E518" s="329">
        <v>1777011</v>
      </c>
      <c r="F518" s="329"/>
      <c r="G518" s="329">
        <v>304269</v>
      </c>
      <c r="H518" s="329">
        <v>43344</v>
      </c>
      <c r="I518" s="329">
        <v>289623</v>
      </c>
      <c r="J518" s="329">
        <v>1991</v>
      </c>
      <c r="K518" s="329">
        <v>639227</v>
      </c>
      <c r="L518" s="329"/>
      <c r="M518" s="329">
        <v>0</v>
      </c>
      <c r="N518" s="329">
        <v>0</v>
      </c>
      <c r="O518" s="329">
        <v>57108</v>
      </c>
      <c r="P518" s="329">
        <v>57108</v>
      </c>
      <c r="Q518" s="329"/>
      <c r="R518" s="329">
        <v>791585</v>
      </c>
      <c r="S518" s="329">
        <v>-22583</v>
      </c>
      <c r="T518" s="329">
        <v>769002</v>
      </c>
    </row>
    <row r="519" spans="1:20" ht="14.25" customHeight="1">
      <c r="A519" s="335">
        <v>95204</v>
      </c>
      <c r="B519" s="328" t="s">
        <v>1208</v>
      </c>
      <c r="C519" s="239">
        <v>5.6999999999999996E-6</v>
      </c>
      <c r="D519" s="239">
        <v>1.06E-5</v>
      </c>
      <c r="E519" s="329">
        <v>15566</v>
      </c>
      <c r="F519" s="329"/>
      <c r="G519" s="329">
        <v>2665</v>
      </c>
      <c r="H519" s="329">
        <v>380</v>
      </c>
      <c r="I519" s="329">
        <v>2537</v>
      </c>
      <c r="J519" s="329">
        <v>912</v>
      </c>
      <c r="K519" s="329">
        <v>6494</v>
      </c>
      <c r="L519" s="329"/>
      <c r="M519" s="329">
        <v>0</v>
      </c>
      <c r="N519" s="329">
        <v>0</v>
      </c>
      <c r="O519" s="329">
        <v>2255</v>
      </c>
      <c r="P519" s="329">
        <v>2255</v>
      </c>
      <c r="Q519" s="329"/>
      <c r="R519" s="329">
        <v>6934</v>
      </c>
      <c r="S519" s="329">
        <v>-402</v>
      </c>
      <c r="T519" s="329">
        <v>6532</v>
      </c>
    </row>
    <row r="520" spans="1:20" ht="14.25" customHeight="1">
      <c r="A520" s="335">
        <v>95205</v>
      </c>
      <c r="B520" s="328" t="s">
        <v>1209</v>
      </c>
      <c r="C520" s="239">
        <v>2.7E-6</v>
      </c>
      <c r="D520" s="239">
        <v>1.7E-6</v>
      </c>
      <c r="E520" s="329">
        <v>7373</v>
      </c>
      <c r="F520" s="329"/>
      <c r="G520" s="329">
        <v>1263</v>
      </c>
      <c r="H520" s="329">
        <v>180</v>
      </c>
      <c r="I520" s="329">
        <v>1202</v>
      </c>
      <c r="J520" s="329">
        <v>1922</v>
      </c>
      <c r="K520" s="329">
        <v>4567</v>
      </c>
      <c r="L520" s="329"/>
      <c r="M520" s="329">
        <v>0</v>
      </c>
      <c r="N520" s="329">
        <v>0</v>
      </c>
      <c r="O520" s="329">
        <v>712</v>
      </c>
      <c r="P520" s="329">
        <v>712</v>
      </c>
      <c r="Q520" s="329"/>
      <c r="R520" s="329">
        <v>3285</v>
      </c>
      <c r="S520" s="329">
        <v>396</v>
      </c>
      <c r="T520" s="329">
        <v>3681</v>
      </c>
    </row>
    <row r="521" spans="1:20">
      <c r="A521" s="335">
        <v>95211</v>
      </c>
      <c r="B521" s="328" t="s">
        <v>1210</v>
      </c>
      <c r="C521" s="239">
        <v>5.1000000000000003E-6</v>
      </c>
      <c r="D521" s="239">
        <v>5.4999999999999999E-6</v>
      </c>
      <c r="E521" s="329">
        <v>13928</v>
      </c>
      <c r="F521" s="329"/>
      <c r="G521" s="329">
        <v>2385</v>
      </c>
      <c r="H521" s="329">
        <v>340</v>
      </c>
      <c r="I521" s="329">
        <v>2270</v>
      </c>
      <c r="J521" s="329">
        <v>506</v>
      </c>
      <c r="K521" s="329">
        <v>5501</v>
      </c>
      <c r="L521" s="329"/>
      <c r="M521" s="329">
        <v>0</v>
      </c>
      <c r="N521" s="329">
        <v>0</v>
      </c>
      <c r="O521" s="329">
        <v>1284</v>
      </c>
      <c r="P521" s="329">
        <v>1284</v>
      </c>
      <c r="Q521" s="329"/>
      <c r="R521" s="329">
        <v>6204</v>
      </c>
      <c r="S521" s="329">
        <v>52</v>
      </c>
      <c r="T521" s="329">
        <v>6256</v>
      </c>
    </row>
    <row r="522" spans="1:20">
      <c r="A522" s="335">
        <v>95221</v>
      </c>
      <c r="B522" s="328" t="s">
        <v>1211</v>
      </c>
      <c r="C522" s="239">
        <v>5.4400000000000001E-5</v>
      </c>
      <c r="D522" s="239">
        <v>5.7000000000000003E-5</v>
      </c>
      <c r="E522" s="329">
        <v>148562</v>
      </c>
      <c r="F522" s="329"/>
      <c r="G522" s="329">
        <v>25438</v>
      </c>
      <c r="H522" s="329">
        <v>3624</v>
      </c>
      <c r="I522" s="329">
        <v>24213</v>
      </c>
      <c r="J522" s="329">
        <v>14008</v>
      </c>
      <c r="K522" s="329">
        <v>67283</v>
      </c>
      <c r="L522" s="329"/>
      <c r="M522" s="329">
        <v>0</v>
      </c>
      <c r="N522" s="329">
        <v>0</v>
      </c>
      <c r="O522" s="329">
        <v>8634</v>
      </c>
      <c r="P522" s="329">
        <v>8634</v>
      </c>
      <c r="Q522" s="329"/>
      <c r="R522" s="329">
        <v>66178</v>
      </c>
      <c r="S522" s="329">
        <v>204</v>
      </c>
      <c r="T522" s="329">
        <v>66382</v>
      </c>
    </row>
    <row r="523" spans="1:20">
      <c r="A523" s="335">
        <v>95301</v>
      </c>
      <c r="B523" s="328" t="s">
        <v>1212</v>
      </c>
      <c r="C523" s="239">
        <v>2.1561000000000002E-3</v>
      </c>
      <c r="D523" s="239">
        <v>2.3362000000000001E-3</v>
      </c>
      <c r="E523" s="329">
        <v>5888141</v>
      </c>
      <c r="F523" s="329"/>
      <c r="G523" s="329">
        <v>1008199</v>
      </c>
      <c r="H523" s="329">
        <v>143620</v>
      </c>
      <c r="I523" s="329">
        <v>959669</v>
      </c>
      <c r="J523" s="329">
        <v>15791</v>
      </c>
      <c r="K523" s="329">
        <v>2127279</v>
      </c>
      <c r="L523" s="329"/>
      <c r="M523" s="329">
        <v>0</v>
      </c>
      <c r="N523" s="329">
        <v>0</v>
      </c>
      <c r="O523" s="329">
        <v>104311</v>
      </c>
      <c r="P523" s="329">
        <v>104311</v>
      </c>
      <c r="Q523" s="329"/>
      <c r="R523" s="329">
        <v>2622924</v>
      </c>
      <c r="S523" s="329">
        <v>-674</v>
      </c>
      <c r="T523" s="329">
        <v>2622250</v>
      </c>
    </row>
    <row r="524" spans="1:20">
      <c r="A524" s="335">
        <v>95311</v>
      </c>
      <c r="B524" s="328" t="s">
        <v>1213</v>
      </c>
      <c r="C524" s="239">
        <v>2.578E-3</v>
      </c>
      <c r="D524" s="239">
        <v>2.6302999999999999E-3</v>
      </c>
      <c r="E524" s="329">
        <v>7040317</v>
      </c>
      <c r="F524" s="329"/>
      <c r="G524" s="329">
        <v>1205481</v>
      </c>
      <c r="H524" s="329">
        <v>171723</v>
      </c>
      <c r="I524" s="329">
        <v>1147455</v>
      </c>
      <c r="J524" s="329">
        <v>27137</v>
      </c>
      <c r="K524" s="329">
        <v>2551796</v>
      </c>
      <c r="L524" s="329"/>
      <c r="M524" s="329">
        <v>0</v>
      </c>
      <c r="N524" s="329">
        <v>0</v>
      </c>
      <c r="O524" s="329">
        <v>27206</v>
      </c>
      <c r="P524" s="329">
        <v>27206</v>
      </c>
      <c r="Q524" s="329"/>
      <c r="R524" s="329">
        <v>3136171</v>
      </c>
      <c r="S524" s="329">
        <v>-17181</v>
      </c>
      <c r="T524" s="329">
        <v>3118990</v>
      </c>
    </row>
    <row r="525" spans="1:20">
      <c r="A525" s="335">
        <v>95317</v>
      </c>
      <c r="B525" s="328" t="s">
        <v>1214</v>
      </c>
      <c r="C525" s="239">
        <v>4.1999999999999998E-5</v>
      </c>
      <c r="D525" s="239">
        <v>4.32E-5</v>
      </c>
      <c r="E525" s="329">
        <v>114699</v>
      </c>
      <c r="F525" s="329"/>
      <c r="G525" s="329">
        <v>19639</v>
      </c>
      <c r="H525" s="329">
        <v>2798</v>
      </c>
      <c r="I525" s="329">
        <v>18694</v>
      </c>
      <c r="J525" s="329">
        <v>7683</v>
      </c>
      <c r="K525" s="329">
        <v>48814</v>
      </c>
      <c r="L525" s="329"/>
      <c r="M525" s="329">
        <v>0</v>
      </c>
      <c r="N525" s="329">
        <v>0</v>
      </c>
      <c r="O525" s="329">
        <v>0</v>
      </c>
      <c r="P525" s="329">
        <v>0</v>
      </c>
      <c r="Q525" s="329"/>
      <c r="R525" s="329">
        <v>51094</v>
      </c>
      <c r="S525" s="329">
        <v>3839</v>
      </c>
      <c r="T525" s="329">
        <v>54933</v>
      </c>
    </row>
    <row r="526" spans="1:20">
      <c r="A526" s="335">
        <v>95321</v>
      </c>
      <c r="B526" s="328" t="s">
        <v>1215</v>
      </c>
      <c r="C526" s="239">
        <v>4.85E-5</v>
      </c>
      <c r="D526" s="239">
        <v>5.1999999999999997E-5</v>
      </c>
      <c r="E526" s="329">
        <v>132450</v>
      </c>
      <c r="F526" s="329"/>
      <c r="G526" s="329">
        <v>22679</v>
      </c>
      <c r="H526" s="329">
        <v>3230</v>
      </c>
      <c r="I526" s="329">
        <v>21587</v>
      </c>
      <c r="J526" s="329">
        <v>4906</v>
      </c>
      <c r="K526" s="329">
        <v>52402</v>
      </c>
      <c r="L526" s="329"/>
      <c r="M526" s="329">
        <v>0</v>
      </c>
      <c r="N526" s="329">
        <v>0</v>
      </c>
      <c r="O526" s="329">
        <v>1078</v>
      </c>
      <c r="P526" s="329">
        <v>1078</v>
      </c>
      <c r="Q526" s="329"/>
      <c r="R526" s="329">
        <v>59001</v>
      </c>
      <c r="S526" s="329">
        <v>2205</v>
      </c>
      <c r="T526" s="329">
        <v>61206</v>
      </c>
    </row>
    <row r="527" spans="1:20">
      <c r="A527" s="335">
        <v>95401</v>
      </c>
      <c r="B527" s="328" t="s">
        <v>1216</v>
      </c>
      <c r="C527" s="239">
        <v>2.9023E-3</v>
      </c>
      <c r="D527" s="239">
        <v>2.8792000000000002E-3</v>
      </c>
      <c r="E527" s="329">
        <v>7925955</v>
      </c>
      <c r="F527" s="329"/>
      <c r="G527" s="329">
        <v>1357124</v>
      </c>
      <c r="H527" s="329">
        <v>193325</v>
      </c>
      <c r="I527" s="329">
        <v>1291799</v>
      </c>
      <c r="J527" s="329">
        <v>4785</v>
      </c>
      <c r="K527" s="329">
        <v>2847033</v>
      </c>
      <c r="L527" s="329"/>
      <c r="M527" s="329">
        <v>0</v>
      </c>
      <c r="N527" s="329">
        <v>0</v>
      </c>
      <c r="O527" s="329">
        <v>103111</v>
      </c>
      <c r="P527" s="329">
        <v>103111</v>
      </c>
      <c r="Q527" s="329"/>
      <c r="R527" s="329">
        <v>3530686</v>
      </c>
      <c r="S527" s="329">
        <v>-27716</v>
      </c>
      <c r="T527" s="329">
        <v>3502970</v>
      </c>
    </row>
    <row r="528" spans="1:20">
      <c r="A528" s="335">
        <v>95404</v>
      </c>
      <c r="B528" s="328" t="s">
        <v>1217</v>
      </c>
      <c r="C528" s="239">
        <v>4.4799999999999998E-5</v>
      </c>
      <c r="D528" s="239">
        <v>5.0000000000000002E-5</v>
      </c>
      <c r="E528" s="329">
        <v>122345</v>
      </c>
      <c r="F528" s="329"/>
      <c r="G528" s="329">
        <v>20949</v>
      </c>
      <c r="H528" s="329">
        <v>2984</v>
      </c>
      <c r="I528" s="329">
        <v>19940</v>
      </c>
      <c r="J528" s="329">
        <v>1478</v>
      </c>
      <c r="K528" s="329">
        <v>45351</v>
      </c>
      <c r="L528" s="329"/>
      <c r="M528" s="329">
        <v>0</v>
      </c>
      <c r="N528" s="329">
        <v>0</v>
      </c>
      <c r="O528" s="329">
        <v>6508</v>
      </c>
      <c r="P528" s="329">
        <v>6508</v>
      </c>
      <c r="Q528" s="329"/>
      <c r="R528" s="329">
        <v>54500</v>
      </c>
      <c r="S528" s="329">
        <v>-102</v>
      </c>
      <c r="T528" s="329">
        <v>54398</v>
      </c>
    </row>
    <row r="529" spans="1:20">
      <c r="A529" s="335">
        <v>95405</v>
      </c>
      <c r="B529" s="328" t="s">
        <v>1218</v>
      </c>
      <c r="C529" s="239">
        <v>3.3399999999999999E-5</v>
      </c>
      <c r="D529" s="239">
        <v>1.7600000000000001E-5</v>
      </c>
      <c r="E529" s="329">
        <v>91213</v>
      </c>
      <c r="F529" s="329"/>
      <c r="G529" s="329">
        <v>15618</v>
      </c>
      <c r="H529" s="329">
        <v>2225</v>
      </c>
      <c r="I529" s="329">
        <v>14866</v>
      </c>
      <c r="J529" s="329">
        <v>25766</v>
      </c>
      <c r="K529" s="329">
        <v>58475</v>
      </c>
      <c r="L529" s="329"/>
      <c r="M529" s="329">
        <v>0</v>
      </c>
      <c r="N529" s="329">
        <v>0</v>
      </c>
      <c r="O529" s="329">
        <v>0</v>
      </c>
      <c r="P529" s="329">
        <v>0</v>
      </c>
      <c r="Q529" s="329"/>
      <c r="R529" s="329">
        <v>40632</v>
      </c>
      <c r="S529" s="329">
        <v>10805</v>
      </c>
      <c r="T529" s="329">
        <v>51437</v>
      </c>
    </row>
    <row r="530" spans="1:20">
      <c r="A530" s="335">
        <v>95411</v>
      </c>
      <c r="B530" s="328" t="s">
        <v>1219</v>
      </c>
      <c r="C530" s="239">
        <v>2.0365000000000001E-3</v>
      </c>
      <c r="D530" s="239">
        <v>2.1646E-3</v>
      </c>
      <c r="E530" s="329">
        <v>5561523</v>
      </c>
      <c r="F530" s="329"/>
      <c r="G530" s="329">
        <v>952274</v>
      </c>
      <c r="H530" s="329">
        <v>135653</v>
      </c>
      <c r="I530" s="329">
        <v>906436</v>
      </c>
      <c r="J530" s="329">
        <v>3600</v>
      </c>
      <c r="K530" s="329">
        <v>1997963</v>
      </c>
      <c r="L530" s="329"/>
      <c r="M530" s="329">
        <v>0</v>
      </c>
      <c r="N530" s="329">
        <v>0</v>
      </c>
      <c r="O530" s="329">
        <v>80802</v>
      </c>
      <c r="P530" s="329">
        <v>80802</v>
      </c>
      <c r="Q530" s="329"/>
      <c r="R530" s="329">
        <v>2477429</v>
      </c>
      <c r="S530" s="329">
        <v>-20706</v>
      </c>
      <c r="T530" s="329">
        <v>2456723</v>
      </c>
    </row>
    <row r="531" spans="1:20">
      <c r="A531" s="335">
        <v>95413</v>
      </c>
      <c r="B531" s="328" t="s">
        <v>3703</v>
      </c>
      <c r="C531" s="239">
        <v>2.4610000000000002E-4</v>
      </c>
      <c r="D531" s="239">
        <v>2.6879999999999997E-4</v>
      </c>
      <c r="E531" s="329">
        <v>672080</v>
      </c>
      <c r="F531" s="329"/>
      <c r="G531" s="329">
        <v>115077</v>
      </c>
      <c r="H531" s="329">
        <v>16393</v>
      </c>
      <c r="I531" s="329">
        <v>109538</v>
      </c>
      <c r="J531" s="329">
        <v>84779</v>
      </c>
      <c r="K531" s="329">
        <v>325787</v>
      </c>
      <c r="L531" s="329"/>
      <c r="M531" s="329">
        <v>0</v>
      </c>
      <c r="N531" s="329">
        <v>0</v>
      </c>
      <c r="O531" s="329">
        <v>13714</v>
      </c>
      <c r="P531" s="329">
        <v>13714</v>
      </c>
      <c r="Q531" s="329"/>
      <c r="R531" s="329">
        <v>299384</v>
      </c>
      <c r="S531" s="329">
        <v>79665</v>
      </c>
      <c r="T531" s="329">
        <v>379049</v>
      </c>
    </row>
    <row r="532" spans="1:20">
      <c r="A532" s="335">
        <v>95415</v>
      </c>
      <c r="B532" s="328" t="s">
        <v>3704</v>
      </c>
      <c r="C532" s="239">
        <v>5.7599999999999997E-5</v>
      </c>
      <c r="D532" s="239">
        <v>7.1099999999999994E-5</v>
      </c>
      <c r="E532" s="329">
        <v>157301</v>
      </c>
      <c r="F532" s="329"/>
      <c r="G532" s="329">
        <v>26934</v>
      </c>
      <c r="H532" s="329">
        <v>3837</v>
      </c>
      <c r="I532" s="329">
        <v>25637</v>
      </c>
      <c r="J532" s="329">
        <v>2357</v>
      </c>
      <c r="K532" s="329">
        <v>58765</v>
      </c>
      <c r="L532" s="329"/>
      <c r="M532" s="329">
        <v>0</v>
      </c>
      <c r="N532" s="329">
        <v>0</v>
      </c>
      <c r="O532" s="329">
        <v>16202</v>
      </c>
      <c r="P532" s="329">
        <v>16202</v>
      </c>
      <c r="Q532" s="329"/>
      <c r="R532" s="329">
        <v>70071</v>
      </c>
      <c r="S532" s="329">
        <v>-6841</v>
      </c>
      <c r="T532" s="329">
        <v>63230</v>
      </c>
    </row>
    <row r="533" spans="1:20">
      <c r="A533" s="335">
        <v>95421</v>
      </c>
      <c r="B533" s="328" t="s">
        <v>1223</v>
      </c>
      <c r="C533" s="239">
        <v>3.6699999999999998E-5</v>
      </c>
      <c r="D533" s="239">
        <v>3.8300000000000003E-5</v>
      </c>
      <c r="E533" s="329">
        <v>100225</v>
      </c>
      <c r="F533" s="329"/>
      <c r="G533" s="329">
        <v>17161</v>
      </c>
      <c r="H533" s="329">
        <v>2445</v>
      </c>
      <c r="I533" s="329">
        <v>16335</v>
      </c>
      <c r="J533" s="329">
        <v>788</v>
      </c>
      <c r="K533" s="329">
        <v>36729</v>
      </c>
      <c r="L533" s="329"/>
      <c r="M533" s="329">
        <v>0</v>
      </c>
      <c r="N533" s="329">
        <v>0</v>
      </c>
      <c r="O533" s="329">
        <v>1512</v>
      </c>
      <c r="P533" s="329">
        <v>1512</v>
      </c>
      <c r="Q533" s="329"/>
      <c r="R533" s="329">
        <v>44646</v>
      </c>
      <c r="S533" s="329">
        <v>-2640</v>
      </c>
      <c r="T533" s="329">
        <v>42006</v>
      </c>
    </row>
    <row r="534" spans="1:20">
      <c r="A534" s="335">
        <v>95431</v>
      </c>
      <c r="B534" s="328" t="s">
        <v>1224</v>
      </c>
      <c r="C534" s="239">
        <v>1.3689999999999999E-4</v>
      </c>
      <c r="D534" s="239">
        <v>1.4630000000000001E-4</v>
      </c>
      <c r="E534" s="329">
        <v>373863</v>
      </c>
      <c r="F534" s="329"/>
      <c r="G534" s="329">
        <v>64015</v>
      </c>
      <c r="H534" s="329">
        <v>9119</v>
      </c>
      <c r="I534" s="329">
        <v>60934</v>
      </c>
      <c r="J534" s="329">
        <v>0</v>
      </c>
      <c r="K534" s="329">
        <v>134068</v>
      </c>
      <c r="L534" s="329"/>
      <c r="M534" s="329">
        <v>0</v>
      </c>
      <c r="N534" s="329">
        <v>0</v>
      </c>
      <c r="O534" s="329">
        <v>31578</v>
      </c>
      <c r="P534" s="329">
        <v>31578</v>
      </c>
      <c r="Q534" s="329"/>
      <c r="R534" s="329">
        <v>166541</v>
      </c>
      <c r="S534" s="329">
        <v>-14732</v>
      </c>
      <c r="T534" s="329">
        <v>151809</v>
      </c>
    </row>
    <row r="535" spans="1:20">
      <c r="A535" s="335">
        <v>95501</v>
      </c>
      <c r="B535" s="328" t="s">
        <v>1225</v>
      </c>
      <c r="C535" s="239">
        <v>5.0283999999999997E-3</v>
      </c>
      <c r="D535" s="239">
        <v>4.8900999999999997E-3</v>
      </c>
      <c r="E535" s="329">
        <v>13732168</v>
      </c>
      <c r="F535" s="329"/>
      <c r="G535" s="329">
        <v>2351295</v>
      </c>
      <c r="H535" s="329">
        <v>334947</v>
      </c>
      <c r="I535" s="329">
        <v>2238116</v>
      </c>
      <c r="J535" s="329">
        <v>116158</v>
      </c>
      <c r="K535" s="329">
        <v>5040516</v>
      </c>
      <c r="L535" s="329"/>
      <c r="M535" s="329">
        <v>0</v>
      </c>
      <c r="N535" s="329">
        <v>0</v>
      </c>
      <c r="O535" s="329">
        <v>87326</v>
      </c>
      <c r="P535" s="329">
        <v>87326</v>
      </c>
      <c r="Q535" s="329"/>
      <c r="R535" s="329">
        <v>6117114</v>
      </c>
      <c r="S535" s="329">
        <v>-24913</v>
      </c>
      <c r="T535" s="329">
        <v>6092201</v>
      </c>
    </row>
    <row r="536" spans="1:20">
      <c r="A536" s="335">
        <v>95504</v>
      </c>
      <c r="B536" s="328" t="s">
        <v>1226</v>
      </c>
      <c r="C536" s="239">
        <v>1.49E-5</v>
      </c>
      <c r="D536" s="239">
        <v>8.8000000000000004E-6</v>
      </c>
      <c r="E536" s="329">
        <v>40691</v>
      </c>
      <c r="F536" s="329"/>
      <c r="G536" s="329">
        <v>6967</v>
      </c>
      <c r="H536" s="329">
        <v>993</v>
      </c>
      <c r="I536" s="329">
        <v>6632</v>
      </c>
      <c r="J536" s="329">
        <v>16771</v>
      </c>
      <c r="K536" s="329">
        <v>31363</v>
      </c>
      <c r="L536" s="329"/>
      <c r="M536" s="329">
        <v>0</v>
      </c>
      <c r="N536" s="329">
        <v>0</v>
      </c>
      <c r="O536" s="329">
        <v>0</v>
      </c>
      <c r="P536" s="329">
        <v>0</v>
      </c>
      <c r="Q536" s="329"/>
      <c r="R536" s="329">
        <v>18126</v>
      </c>
      <c r="S536" s="329">
        <v>6430</v>
      </c>
      <c r="T536" s="329">
        <v>24556</v>
      </c>
    </row>
    <row r="537" spans="1:20">
      <c r="A537" s="335">
        <v>95511</v>
      </c>
      <c r="B537" s="328" t="s">
        <v>1227</v>
      </c>
      <c r="C537" s="239">
        <v>9.4910000000000003E-4</v>
      </c>
      <c r="D537" s="239">
        <v>9.5339999999999997E-4</v>
      </c>
      <c r="E537" s="329">
        <v>2591918</v>
      </c>
      <c r="F537" s="329"/>
      <c r="G537" s="329">
        <v>443802</v>
      </c>
      <c r="H537" s="329">
        <v>63221</v>
      </c>
      <c r="I537" s="329">
        <v>422440</v>
      </c>
      <c r="J537" s="329">
        <v>69230</v>
      </c>
      <c r="K537" s="329">
        <v>998693</v>
      </c>
      <c r="L537" s="329"/>
      <c r="M537" s="329">
        <v>0</v>
      </c>
      <c r="N537" s="329">
        <v>0</v>
      </c>
      <c r="O537" s="329">
        <v>13397</v>
      </c>
      <c r="P537" s="329">
        <v>13397</v>
      </c>
      <c r="Q537" s="329"/>
      <c r="R537" s="329">
        <v>1154592</v>
      </c>
      <c r="S537" s="329">
        <v>4354</v>
      </c>
      <c r="T537" s="329">
        <v>1158946</v>
      </c>
    </row>
    <row r="538" spans="1:20">
      <c r="A538" s="335">
        <v>95513</v>
      </c>
      <c r="B538" s="328" t="s">
        <v>1228</v>
      </c>
      <c r="C538" s="239">
        <v>3.9700000000000003E-5</v>
      </c>
      <c r="D538" s="239">
        <v>4.5399999999999999E-5</v>
      </c>
      <c r="E538" s="329">
        <v>108418</v>
      </c>
      <c r="F538" s="329"/>
      <c r="G538" s="329">
        <v>18564</v>
      </c>
      <c r="H538" s="329">
        <v>2644</v>
      </c>
      <c r="I538" s="329">
        <v>17670</v>
      </c>
      <c r="J538" s="329">
        <v>19335</v>
      </c>
      <c r="K538" s="329">
        <v>58213</v>
      </c>
      <c r="L538" s="329"/>
      <c r="M538" s="329">
        <v>0</v>
      </c>
      <c r="N538" s="329">
        <v>0</v>
      </c>
      <c r="O538" s="329">
        <v>0</v>
      </c>
      <c r="P538" s="329">
        <v>0</v>
      </c>
      <c r="Q538" s="329"/>
      <c r="R538" s="329">
        <v>48296</v>
      </c>
      <c r="S538" s="329">
        <v>10130</v>
      </c>
      <c r="T538" s="329">
        <v>58426</v>
      </c>
    </row>
    <row r="539" spans="1:20">
      <c r="A539" s="335">
        <v>95517</v>
      </c>
      <c r="B539" s="328" t="s">
        <v>1229</v>
      </c>
      <c r="C539" s="239">
        <v>1.84E-5</v>
      </c>
      <c r="D539" s="239">
        <v>1.88E-5</v>
      </c>
      <c r="E539" s="329">
        <v>50249</v>
      </c>
      <c r="F539" s="329"/>
      <c r="G539" s="329">
        <v>8604</v>
      </c>
      <c r="H539" s="329">
        <v>1226</v>
      </c>
      <c r="I539" s="329">
        <v>8190</v>
      </c>
      <c r="J539" s="329">
        <v>6177</v>
      </c>
      <c r="K539" s="329">
        <v>24197</v>
      </c>
      <c r="L539" s="329"/>
      <c r="M539" s="329">
        <v>0</v>
      </c>
      <c r="N539" s="329">
        <v>0</v>
      </c>
      <c r="O539" s="329">
        <v>1931</v>
      </c>
      <c r="P539" s="329">
        <v>1931</v>
      </c>
      <c r="Q539" s="329"/>
      <c r="R539" s="329">
        <v>22384</v>
      </c>
      <c r="S539" s="329">
        <v>4635</v>
      </c>
      <c r="T539" s="329">
        <v>27019</v>
      </c>
    </row>
    <row r="540" spans="1:20">
      <c r="A540" s="335">
        <v>95601</v>
      </c>
      <c r="B540" s="328" t="s">
        <v>1230</v>
      </c>
      <c r="C540" s="239">
        <v>2.4459999999999998E-3</v>
      </c>
      <c r="D540" s="239">
        <v>2.6251999999999998E-3</v>
      </c>
      <c r="E540" s="329">
        <v>6679835</v>
      </c>
      <c r="F540" s="329"/>
      <c r="G540" s="329">
        <v>1143757</v>
      </c>
      <c r="H540" s="329">
        <v>162930</v>
      </c>
      <c r="I540" s="329">
        <v>1088702</v>
      </c>
      <c r="J540" s="329">
        <v>10163</v>
      </c>
      <c r="K540" s="329">
        <v>2405552</v>
      </c>
      <c r="L540" s="329"/>
      <c r="M540" s="329">
        <v>0</v>
      </c>
      <c r="N540" s="329">
        <v>0</v>
      </c>
      <c r="O540" s="329">
        <v>172897</v>
      </c>
      <c r="P540" s="329">
        <v>172897</v>
      </c>
      <c r="Q540" s="329"/>
      <c r="R540" s="329">
        <v>2975591</v>
      </c>
      <c r="S540" s="329">
        <v>-23590</v>
      </c>
      <c r="T540" s="329">
        <v>2952001</v>
      </c>
    </row>
    <row r="541" spans="1:20">
      <c r="A541" s="335">
        <v>95611</v>
      </c>
      <c r="B541" s="328" t="s">
        <v>1231</v>
      </c>
      <c r="C541" s="239">
        <v>3.7889999999999999E-4</v>
      </c>
      <c r="D541" s="239">
        <v>3.8440000000000002E-4</v>
      </c>
      <c r="E541" s="329">
        <v>1034746</v>
      </c>
      <c r="F541" s="329"/>
      <c r="G541" s="329">
        <v>177175</v>
      </c>
      <c r="H541" s="329">
        <v>25239</v>
      </c>
      <c r="I541" s="329">
        <v>168646</v>
      </c>
      <c r="J541" s="329">
        <v>6982</v>
      </c>
      <c r="K541" s="329">
        <v>378042</v>
      </c>
      <c r="L541" s="329"/>
      <c r="M541" s="329">
        <v>0</v>
      </c>
      <c r="N541" s="329">
        <v>0</v>
      </c>
      <c r="O541" s="329">
        <v>2022</v>
      </c>
      <c r="P541" s="329">
        <v>2022</v>
      </c>
      <c r="Q541" s="329"/>
      <c r="R541" s="329">
        <v>460937</v>
      </c>
      <c r="S541" s="329">
        <v>351</v>
      </c>
      <c r="T541" s="329">
        <v>461288</v>
      </c>
    </row>
    <row r="542" spans="1:20">
      <c r="A542" s="335">
        <v>95617</v>
      </c>
      <c r="B542" s="328" t="s">
        <v>1232</v>
      </c>
      <c r="C542" s="239">
        <v>1.49E-5</v>
      </c>
      <c r="D542" s="239">
        <v>1.59E-5</v>
      </c>
      <c r="E542" s="329">
        <v>40691</v>
      </c>
      <c r="F542" s="329"/>
      <c r="G542" s="329">
        <v>6967</v>
      </c>
      <c r="H542" s="329">
        <v>993</v>
      </c>
      <c r="I542" s="329">
        <v>6632</v>
      </c>
      <c r="J542" s="329">
        <v>986</v>
      </c>
      <c r="K542" s="329">
        <v>15578</v>
      </c>
      <c r="L542" s="329"/>
      <c r="M542" s="329">
        <v>0</v>
      </c>
      <c r="N542" s="329">
        <v>0</v>
      </c>
      <c r="O542" s="329">
        <v>0</v>
      </c>
      <c r="P542" s="329">
        <v>0</v>
      </c>
      <c r="Q542" s="329"/>
      <c r="R542" s="329">
        <v>18126</v>
      </c>
      <c r="S542" s="329">
        <v>-17</v>
      </c>
      <c r="T542" s="329">
        <v>18109</v>
      </c>
    </row>
    <row r="543" spans="1:20">
      <c r="A543" s="335">
        <v>95621</v>
      </c>
      <c r="B543" s="328" t="s">
        <v>1233</v>
      </c>
      <c r="C543" s="239">
        <v>4.5750000000000001E-4</v>
      </c>
      <c r="D543" s="239">
        <v>4.9019999999999999E-4</v>
      </c>
      <c r="E543" s="329">
        <v>1249397</v>
      </c>
      <c r="F543" s="329"/>
      <c r="G543" s="329">
        <v>213928</v>
      </c>
      <c r="H543" s="329">
        <v>30474</v>
      </c>
      <c r="I543" s="329">
        <v>203631</v>
      </c>
      <c r="J543" s="329">
        <v>31778</v>
      </c>
      <c r="K543" s="329">
        <v>479811</v>
      </c>
      <c r="L543" s="329"/>
      <c r="M543" s="329">
        <v>0</v>
      </c>
      <c r="N543" s="329">
        <v>0</v>
      </c>
      <c r="O543" s="329">
        <v>23030</v>
      </c>
      <c r="P543" s="329">
        <v>23030</v>
      </c>
      <c r="Q543" s="329"/>
      <c r="R543" s="329">
        <v>556555</v>
      </c>
      <c r="S543" s="329">
        <v>3606</v>
      </c>
      <c r="T543" s="329">
        <v>560161</v>
      </c>
    </row>
    <row r="544" spans="1:20">
      <c r="A544" s="335">
        <v>95701</v>
      </c>
      <c r="B544" s="328" t="s">
        <v>1234</v>
      </c>
      <c r="C544" s="239">
        <v>1.2156000000000001E-3</v>
      </c>
      <c r="D544" s="239">
        <v>1.3044E-3</v>
      </c>
      <c r="E544" s="329">
        <v>3319709</v>
      </c>
      <c r="F544" s="329"/>
      <c r="G544" s="329">
        <v>568418</v>
      </c>
      <c r="H544" s="329">
        <v>80973</v>
      </c>
      <c r="I544" s="329">
        <v>541057</v>
      </c>
      <c r="J544" s="329">
        <v>19199</v>
      </c>
      <c r="K544" s="329">
        <v>1209647</v>
      </c>
      <c r="L544" s="329"/>
      <c r="M544" s="329">
        <v>0</v>
      </c>
      <c r="N544" s="329">
        <v>0</v>
      </c>
      <c r="O544" s="329">
        <v>149768</v>
      </c>
      <c r="P544" s="329">
        <v>149768</v>
      </c>
      <c r="Q544" s="329"/>
      <c r="R544" s="329">
        <v>1478793</v>
      </c>
      <c r="S544" s="329">
        <v>-27093</v>
      </c>
      <c r="T544" s="329">
        <v>1451700</v>
      </c>
    </row>
    <row r="545" spans="1:20">
      <c r="A545" s="335">
        <v>95711</v>
      </c>
      <c r="B545" s="328" t="s">
        <v>1235</v>
      </c>
      <c r="C545" s="239">
        <v>1.4320000000000001E-4</v>
      </c>
      <c r="D545" s="239">
        <v>1.4349999999999999E-4</v>
      </c>
      <c r="E545" s="329">
        <v>391068</v>
      </c>
      <c r="F545" s="329"/>
      <c r="G545" s="329">
        <v>66961</v>
      </c>
      <c r="H545" s="329">
        <v>9538</v>
      </c>
      <c r="I545" s="329">
        <v>63738</v>
      </c>
      <c r="J545" s="329">
        <v>227</v>
      </c>
      <c r="K545" s="329">
        <v>140464</v>
      </c>
      <c r="L545" s="329"/>
      <c r="M545" s="329">
        <v>0</v>
      </c>
      <c r="N545" s="329">
        <v>0</v>
      </c>
      <c r="O545" s="329">
        <v>13477</v>
      </c>
      <c r="P545" s="329">
        <v>13477</v>
      </c>
      <c r="Q545" s="329"/>
      <c r="R545" s="329">
        <v>174205</v>
      </c>
      <c r="S545" s="329">
        <v>-1737</v>
      </c>
      <c r="T545" s="329">
        <v>172468</v>
      </c>
    </row>
    <row r="546" spans="1:20">
      <c r="A546" s="335">
        <v>95721</v>
      </c>
      <c r="B546" s="328" t="s">
        <v>1236</v>
      </c>
      <c r="C546" s="239">
        <v>6.58E-5</v>
      </c>
      <c r="D546" s="239">
        <v>6.7799999999999995E-5</v>
      </c>
      <c r="E546" s="329">
        <v>179695</v>
      </c>
      <c r="F546" s="329"/>
      <c r="G546" s="329">
        <v>30768</v>
      </c>
      <c r="H546" s="329">
        <v>4383</v>
      </c>
      <c r="I546" s="329">
        <v>29287</v>
      </c>
      <c r="J546" s="329">
        <v>0</v>
      </c>
      <c r="K546" s="329">
        <v>64438</v>
      </c>
      <c r="L546" s="329"/>
      <c r="M546" s="329">
        <v>0</v>
      </c>
      <c r="N546" s="329">
        <v>0</v>
      </c>
      <c r="O546" s="329">
        <v>7182</v>
      </c>
      <c r="P546" s="329">
        <v>7182</v>
      </c>
      <c r="Q546" s="329"/>
      <c r="R546" s="329">
        <v>80047</v>
      </c>
      <c r="S546" s="329">
        <v>-3340</v>
      </c>
      <c r="T546" s="329">
        <v>76707</v>
      </c>
    </row>
    <row r="547" spans="1:20">
      <c r="A547" s="335">
        <v>95733</v>
      </c>
      <c r="B547" s="328" t="s">
        <v>1237</v>
      </c>
      <c r="C547" s="239">
        <v>1.43E-5</v>
      </c>
      <c r="D547" s="239">
        <v>1.5500000000000001E-5</v>
      </c>
      <c r="E547" s="329">
        <v>39052</v>
      </c>
      <c r="F547" s="329"/>
      <c r="G547" s="329">
        <v>6687</v>
      </c>
      <c r="H547" s="329">
        <v>952</v>
      </c>
      <c r="I547" s="329">
        <v>6365</v>
      </c>
      <c r="J547" s="329">
        <v>41</v>
      </c>
      <c r="K547" s="329">
        <v>14045</v>
      </c>
      <c r="L547" s="329"/>
      <c r="M547" s="329">
        <v>0</v>
      </c>
      <c r="N547" s="329">
        <v>0</v>
      </c>
      <c r="O547" s="329">
        <v>1037</v>
      </c>
      <c r="P547" s="329">
        <v>1037</v>
      </c>
      <c r="Q547" s="329"/>
      <c r="R547" s="329">
        <v>17396</v>
      </c>
      <c r="S547" s="329">
        <v>-94</v>
      </c>
      <c r="T547" s="329">
        <v>17302</v>
      </c>
    </row>
    <row r="548" spans="1:20">
      <c r="A548" s="335">
        <v>95801</v>
      </c>
      <c r="B548" s="328" t="s">
        <v>1238</v>
      </c>
      <c r="C548" s="239">
        <v>9.5739999999999996E-4</v>
      </c>
      <c r="D548" s="239">
        <v>9.7999999999999997E-4</v>
      </c>
      <c r="E548" s="329">
        <v>2614585</v>
      </c>
      <c r="F548" s="329"/>
      <c r="G548" s="329">
        <v>447683</v>
      </c>
      <c r="H548" s="329">
        <v>63774</v>
      </c>
      <c r="I548" s="329">
        <v>426134</v>
      </c>
      <c r="J548" s="329">
        <v>43286</v>
      </c>
      <c r="K548" s="329">
        <v>980877</v>
      </c>
      <c r="L548" s="329"/>
      <c r="M548" s="329">
        <v>0</v>
      </c>
      <c r="N548" s="329">
        <v>0</v>
      </c>
      <c r="O548" s="329">
        <v>3919</v>
      </c>
      <c r="P548" s="329">
        <v>3919</v>
      </c>
      <c r="Q548" s="329"/>
      <c r="R548" s="329">
        <v>1164690</v>
      </c>
      <c r="S548" s="329">
        <v>22024</v>
      </c>
      <c r="T548" s="329">
        <v>1186714</v>
      </c>
    </row>
    <row r="549" spans="1:20">
      <c r="A549" s="335">
        <v>95802</v>
      </c>
      <c r="B549" s="328" t="s">
        <v>3705</v>
      </c>
      <c r="C549" s="239">
        <v>4.5000000000000001E-6</v>
      </c>
      <c r="D549" s="239">
        <v>5.4E-6</v>
      </c>
      <c r="E549" s="329">
        <v>12289</v>
      </c>
      <c r="F549" s="329"/>
      <c r="G549" s="329">
        <v>2104</v>
      </c>
      <c r="H549" s="329">
        <v>300</v>
      </c>
      <c r="I549" s="329">
        <v>2003</v>
      </c>
      <c r="J549" s="329">
        <v>4669</v>
      </c>
      <c r="K549" s="329">
        <v>9076</v>
      </c>
      <c r="L549" s="329"/>
      <c r="M549" s="329">
        <v>0</v>
      </c>
      <c r="N549" s="329">
        <v>0</v>
      </c>
      <c r="O549" s="329">
        <v>0</v>
      </c>
      <c r="P549" s="329">
        <v>0</v>
      </c>
      <c r="Q549" s="329"/>
      <c r="R549" s="329">
        <v>5474</v>
      </c>
      <c r="S549" s="329">
        <v>2138</v>
      </c>
      <c r="T549" s="329">
        <v>7612</v>
      </c>
    </row>
    <row r="550" spans="1:20">
      <c r="A550" s="335">
        <v>95804</v>
      </c>
      <c r="B550" s="328" t="s">
        <v>1240</v>
      </c>
      <c r="C550" s="239">
        <v>2.5999999999999998E-5</v>
      </c>
      <c r="D550" s="239">
        <v>2.1699999999999999E-5</v>
      </c>
      <c r="E550" s="329">
        <v>71004</v>
      </c>
      <c r="F550" s="329"/>
      <c r="G550" s="329">
        <v>12158</v>
      </c>
      <c r="H550" s="329">
        <v>1732</v>
      </c>
      <c r="I550" s="329">
        <v>11572</v>
      </c>
      <c r="J550" s="329">
        <v>1841</v>
      </c>
      <c r="K550" s="329">
        <v>27303</v>
      </c>
      <c r="L550" s="329"/>
      <c r="M550" s="329">
        <v>0</v>
      </c>
      <c r="N550" s="329">
        <v>0</v>
      </c>
      <c r="O550" s="329">
        <v>1765</v>
      </c>
      <c r="P550" s="329">
        <v>1765</v>
      </c>
      <c r="Q550" s="329"/>
      <c r="R550" s="329">
        <v>31629</v>
      </c>
      <c r="S550" s="329">
        <v>641</v>
      </c>
      <c r="T550" s="329">
        <v>32270</v>
      </c>
    </row>
    <row r="551" spans="1:20">
      <c r="A551" s="335">
        <v>95811</v>
      </c>
      <c r="B551" s="328" t="s">
        <v>1241</v>
      </c>
      <c r="C551" s="239">
        <v>5.287E-4</v>
      </c>
      <c r="D551" s="239">
        <v>5.2729999999999997E-4</v>
      </c>
      <c r="E551" s="329">
        <v>1443838</v>
      </c>
      <c r="F551" s="329"/>
      <c r="G551" s="329">
        <v>247222</v>
      </c>
      <c r="H551" s="329">
        <v>35217</v>
      </c>
      <c r="I551" s="329">
        <v>235322</v>
      </c>
      <c r="J551" s="329">
        <v>2826</v>
      </c>
      <c r="K551" s="329">
        <v>520587</v>
      </c>
      <c r="L551" s="329"/>
      <c r="M551" s="329">
        <v>0</v>
      </c>
      <c r="N551" s="329">
        <v>0</v>
      </c>
      <c r="O551" s="329">
        <v>939</v>
      </c>
      <c r="P551" s="329">
        <v>939</v>
      </c>
      <c r="Q551" s="329"/>
      <c r="R551" s="329">
        <v>643170</v>
      </c>
      <c r="S551" s="329">
        <v>-922</v>
      </c>
      <c r="T551" s="329">
        <v>642248</v>
      </c>
    </row>
    <row r="552" spans="1:20">
      <c r="A552" s="335">
        <v>95813</v>
      </c>
      <c r="B552" s="328" t="s">
        <v>1242</v>
      </c>
      <c r="C552" s="239">
        <v>4.4100000000000001E-5</v>
      </c>
      <c r="D552" s="239">
        <v>5.0699999999999999E-5</v>
      </c>
      <c r="E552" s="329">
        <v>120434</v>
      </c>
      <c r="F552" s="329"/>
      <c r="G552" s="329">
        <v>20621</v>
      </c>
      <c r="H552" s="329">
        <v>2938</v>
      </c>
      <c r="I552" s="329">
        <v>19629</v>
      </c>
      <c r="J552" s="329">
        <v>79656</v>
      </c>
      <c r="K552" s="329">
        <v>122844</v>
      </c>
      <c r="L552" s="329"/>
      <c r="M552" s="329">
        <v>0</v>
      </c>
      <c r="N552" s="329">
        <v>0</v>
      </c>
      <c r="O552" s="329">
        <v>0</v>
      </c>
      <c r="P552" s="329">
        <v>0</v>
      </c>
      <c r="Q552" s="329"/>
      <c r="R552" s="329">
        <v>53648</v>
      </c>
      <c r="S552" s="329">
        <v>38959</v>
      </c>
      <c r="T552" s="329">
        <v>92607</v>
      </c>
    </row>
    <row r="553" spans="1:20">
      <c r="A553" s="335">
        <v>95821</v>
      </c>
      <c r="B553" s="328" t="s">
        <v>1243</v>
      </c>
      <c r="C553" s="239">
        <v>6.3999999999999997E-6</v>
      </c>
      <c r="D553" s="239">
        <v>0</v>
      </c>
      <c r="E553" s="329">
        <v>17478</v>
      </c>
      <c r="F553" s="329"/>
      <c r="G553" s="329">
        <v>2993</v>
      </c>
      <c r="H553" s="329">
        <v>426</v>
      </c>
      <c r="I553" s="329">
        <v>2849</v>
      </c>
      <c r="J553" s="329">
        <v>6306</v>
      </c>
      <c r="K553" s="329">
        <v>12574</v>
      </c>
      <c r="L553" s="329"/>
      <c r="M553" s="329">
        <v>0</v>
      </c>
      <c r="N553" s="329">
        <v>0</v>
      </c>
      <c r="O553" s="329">
        <v>326</v>
      </c>
      <c r="P553" s="329">
        <v>326</v>
      </c>
      <c r="Q553" s="329"/>
      <c r="R553" s="329">
        <v>7786</v>
      </c>
      <c r="S553" s="329">
        <v>1901</v>
      </c>
      <c r="T553" s="329">
        <v>9687</v>
      </c>
    </row>
    <row r="554" spans="1:20">
      <c r="A554" s="335">
        <v>95831</v>
      </c>
      <c r="B554" s="328" t="s">
        <v>1244</v>
      </c>
      <c r="C554" s="239">
        <v>1.9899999999999999E-5</v>
      </c>
      <c r="D554" s="239">
        <v>1.8E-5</v>
      </c>
      <c r="E554" s="329">
        <v>54345</v>
      </c>
      <c r="F554" s="329"/>
      <c r="G554" s="329">
        <v>9305</v>
      </c>
      <c r="H554" s="329">
        <v>1326</v>
      </c>
      <c r="I554" s="329">
        <v>8857</v>
      </c>
      <c r="J554" s="329">
        <v>21775</v>
      </c>
      <c r="K554" s="329">
        <v>41263</v>
      </c>
      <c r="L554" s="329"/>
      <c r="M554" s="329">
        <v>0</v>
      </c>
      <c r="N554" s="329">
        <v>0</v>
      </c>
      <c r="O554" s="329">
        <v>0</v>
      </c>
      <c r="P554" s="329">
        <v>0</v>
      </c>
      <c r="Q554" s="329"/>
      <c r="R554" s="329">
        <v>24209</v>
      </c>
      <c r="S554" s="329">
        <v>11381</v>
      </c>
      <c r="T554" s="329">
        <v>35590</v>
      </c>
    </row>
    <row r="555" spans="1:20">
      <c r="A555" s="335">
        <v>95841</v>
      </c>
      <c r="B555" s="328" t="s">
        <v>1245</v>
      </c>
      <c r="C555" s="239">
        <v>2.58E-5</v>
      </c>
      <c r="D555" s="239">
        <v>2.0000000000000002E-5</v>
      </c>
      <c r="E555" s="329">
        <v>70458</v>
      </c>
      <c r="F555" s="329"/>
      <c r="G555" s="329">
        <v>12064</v>
      </c>
      <c r="H555" s="329">
        <v>1719</v>
      </c>
      <c r="I555" s="329">
        <v>11483</v>
      </c>
      <c r="J555" s="329">
        <v>5942</v>
      </c>
      <c r="K555" s="329">
        <v>31208</v>
      </c>
      <c r="L555" s="329"/>
      <c r="M555" s="329">
        <v>0</v>
      </c>
      <c r="N555" s="329">
        <v>0</v>
      </c>
      <c r="O555" s="329">
        <v>0</v>
      </c>
      <c r="P555" s="329">
        <v>0</v>
      </c>
      <c r="Q555" s="329"/>
      <c r="R555" s="329">
        <v>31386</v>
      </c>
      <c r="S555" s="329">
        <v>2072</v>
      </c>
      <c r="T555" s="329">
        <v>33458</v>
      </c>
    </row>
    <row r="556" spans="1:20">
      <c r="A556" s="335">
        <v>95851</v>
      </c>
      <c r="B556" s="328" t="s">
        <v>1246</v>
      </c>
      <c r="C556" s="239">
        <v>1.26E-4</v>
      </c>
      <c r="D556" s="239">
        <v>1.403E-4</v>
      </c>
      <c r="E556" s="329">
        <v>344096</v>
      </c>
      <c r="F556" s="329"/>
      <c r="G556" s="329">
        <v>58918</v>
      </c>
      <c r="H556" s="329">
        <v>8393</v>
      </c>
      <c r="I556" s="329">
        <v>56082</v>
      </c>
      <c r="J556" s="329">
        <v>141070</v>
      </c>
      <c r="K556" s="329">
        <v>264463</v>
      </c>
      <c r="L556" s="329"/>
      <c r="M556" s="329">
        <v>0</v>
      </c>
      <c r="N556" s="329">
        <v>0</v>
      </c>
      <c r="O556" s="329">
        <v>0</v>
      </c>
      <c r="P556" s="329">
        <v>0</v>
      </c>
      <c r="Q556" s="329"/>
      <c r="R556" s="329">
        <v>153281</v>
      </c>
      <c r="S556" s="329">
        <v>69620</v>
      </c>
      <c r="T556" s="329">
        <v>222901</v>
      </c>
    </row>
    <row r="557" spans="1:20">
      <c r="A557" s="335">
        <v>95853</v>
      </c>
      <c r="B557" s="328" t="s">
        <v>1247</v>
      </c>
      <c r="C557" s="239">
        <v>3.0300000000000001E-5</v>
      </c>
      <c r="D557" s="239">
        <v>3.1300000000000002E-5</v>
      </c>
      <c r="E557" s="329">
        <v>82747</v>
      </c>
      <c r="F557" s="329"/>
      <c r="G557" s="329">
        <v>14168</v>
      </c>
      <c r="H557" s="329">
        <v>2018</v>
      </c>
      <c r="I557" s="329">
        <v>13486</v>
      </c>
      <c r="J557" s="329">
        <v>5360</v>
      </c>
      <c r="K557" s="329">
        <v>35032</v>
      </c>
      <c r="L557" s="329"/>
      <c r="M557" s="329">
        <v>0</v>
      </c>
      <c r="N557" s="329">
        <v>0</v>
      </c>
      <c r="O557" s="329">
        <v>587</v>
      </c>
      <c r="P557" s="329">
        <v>587</v>
      </c>
      <c r="Q557" s="329"/>
      <c r="R557" s="329">
        <v>36860</v>
      </c>
      <c r="S557" s="329">
        <v>3279</v>
      </c>
      <c r="T557" s="329">
        <v>40139</v>
      </c>
    </row>
    <row r="558" spans="1:20">
      <c r="A558" s="335">
        <v>95901</v>
      </c>
      <c r="B558" s="328" t="s">
        <v>1248</v>
      </c>
      <c r="C558" s="239">
        <v>1.9935E-3</v>
      </c>
      <c r="D558" s="239">
        <v>1.9158000000000001E-3</v>
      </c>
      <c r="E558" s="329">
        <v>5444093</v>
      </c>
      <c r="F558" s="329"/>
      <c r="G558" s="329">
        <v>932167</v>
      </c>
      <c r="H558" s="329">
        <v>132789</v>
      </c>
      <c r="I558" s="329">
        <v>887297</v>
      </c>
      <c r="J558" s="329">
        <v>0</v>
      </c>
      <c r="K558" s="329">
        <v>1952253</v>
      </c>
      <c r="L558" s="329"/>
      <c r="M558" s="329">
        <v>0</v>
      </c>
      <c r="N558" s="329">
        <v>0</v>
      </c>
      <c r="O558" s="329">
        <v>9248</v>
      </c>
      <c r="P558" s="329">
        <v>9248</v>
      </c>
      <c r="Q558" s="329"/>
      <c r="R558" s="329">
        <v>2425119</v>
      </c>
      <c r="S558" s="329">
        <v>-1062</v>
      </c>
      <c r="T558" s="329">
        <v>2424057</v>
      </c>
    </row>
    <row r="559" spans="1:20">
      <c r="A559" s="335">
        <v>95908</v>
      </c>
      <c r="B559" s="328" t="s">
        <v>3706</v>
      </c>
      <c r="C559" s="239">
        <v>7.1500000000000003E-5</v>
      </c>
      <c r="D559" s="239">
        <v>6.1099999999999994E-5</v>
      </c>
      <c r="E559" s="329">
        <v>195261</v>
      </c>
      <c r="F559" s="329"/>
      <c r="G559" s="329">
        <v>33434</v>
      </c>
      <c r="H559" s="329">
        <v>4763</v>
      </c>
      <c r="I559" s="329">
        <v>31824</v>
      </c>
      <c r="J559" s="329">
        <v>2130</v>
      </c>
      <c r="K559" s="329">
        <v>72151</v>
      </c>
      <c r="L559" s="329"/>
      <c r="M559" s="329">
        <v>0</v>
      </c>
      <c r="N559" s="329">
        <v>0</v>
      </c>
      <c r="O559" s="329">
        <v>12079</v>
      </c>
      <c r="P559" s="329">
        <v>12079</v>
      </c>
      <c r="Q559" s="329"/>
      <c r="R559" s="329">
        <v>86981</v>
      </c>
      <c r="S559" s="329">
        <v>-9339</v>
      </c>
      <c r="T559" s="329">
        <v>77642</v>
      </c>
    </row>
    <row r="560" spans="1:20">
      <c r="A560" s="335">
        <v>95911</v>
      </c>
      <c r="B560" s="328" t="s">
        <v>1250</v>
      </c>
      <c r="C560" s="239">
        <v>5.6829999999999999E-4</v>
      </c>
      <c r="D560" s="239">
        <v>5.576E-4</v>
      </c>
      <c r="E560" s="329">
        <v>1551983</v>
      </c>
      <c r="F560" s="329"/>
      <c r="G560" s="329">
        <v>265739</v>
      </c>
      <c r="H560" s="329">
        <v>37855</v>
      </c>
      <c r="I560" s="329">
        <v>252947</v>
      </c>
      <c r="J560" s="329">
        <v>0</v>
      </c>
      <c r="K560" s="329">
        <v>556541</v>
      </c>
      <c r="L560" s="329"/>
      <c r="M560" s="329">
        <v>0</v>
      </c>
      <c r="N560" s="329">
        <v>0</v>
      </c>
      <c r="O560" s="329">
        <v>37793</v>
      </c>
      <c r="P560" s="329">
        <v>37793</v>
      </c>
      <c r="Q560" s="329"/>
      <c r="R560" s="329">
        <v>691344</v>
      </c>
      <c r="S560" s="329">
        <v>-18101</v>
      </c>
      <c r="T560" s="329">
        <v>673243</v>
      </c>
    </row>
    <row r="561" spans="1:20">
      <c r="A561" s="335">
        <v>95917</v>
      </c>
      <c r="B561" s="328" t="s">
        <v>1251</v>
      </c>
      <c r="C561" s="239">
        <v>1.8600000000000001E-5</v>
      </c>
      <c r="D561" s="239">
        <v>2.05E-5</v>
      </c>
      <c r="E561" s="329">
        <v>50795</v>
      </c>
      <c r="F561" s="329"/>
      <c r="G561" s="329">
        <v>8697</v>
      </c>
      <c r="H561" s="329">
        <v>1239</v>
      </c>
      <c r="I561" s="329">
        <v>8279</v>
      </c>
      <c r="J561" s="329">
        <v>1449</v>
      </c>
      <c r="K561" s="329">
        <v>19664</v>
      </c>
      <c r="L561" s="329"/>
      <c r="M561" s="329">
        <v>0</v>
      </c>
      <c r="N561" s="329">
        <v>0</v>
      </c>
      <c r="O561" s="329">
        <v>2540</v>
      </c>
      <c r="P561" s="329">
        <v>2540</v>
      </c>
      <c r="Q561" s="329"/>
      <c r="R561" s="329">
        <v>22627</v>
      </c>
      <c r="S561" s="329">
        <v>214</v>
      </c>
      <c r="T561" s="329">
        <v>22841</v>
      </c>
    </row>
    <row r="562" spans="1:20">
      <c r="A562" s="335">
        <v>95921</v>
      </c>
      <c r="B562" s="328" t="s">
        <v>1252</v>
      </c>
      <c r="C562" s="239">
        <v>5.4200000000000003E-5</v>
      </c>
      <c r="D562" s="239">
        <v>4.9799999999999998E-5</v>
      </c>
      <c r="E562" s="329">
        <v>148016</v>
      </c>
      <c r="F562" s="329"/>
      <c r="G562" s="329">
        <v>25344</v>
      </c>
      <c r="H562" s="329">
        <v>3611</v>
      </c>
      <c r="I562" s="329">
        <v>24124</v>
      </c>
      <c r="J562" s="329">
        <v>7363</v>
      </c>
      <c r="K562" s="329">
        <v>60442</v>
      </c>
      <c r="L562" s="329"/>
      <c r="M562" s="329">
        <v>0</v>
      </c>
      <c r="N562" s="329">
        <v>0</v>
      </c>
      <c r="O562" s="329">
        <v>0</v>
      </c>
      <c r="P562" s="329">
        <v>0</v>
      </c>
      <c r="Q562" s="329"/>
      <c r="R562" s="329">
        <v>65935</v>
      </c>
      <c r="S562" s="329">
        <v>3136</v>
      </c>
      <c r="T562" s="329">
        <v>69071</v>
      </c>
    </row>
    <row r="563" spans="1:20">
      <c r="A563" s="335">
        <v>96001</v>
      </c>
      <c r="B563" s="328" t="s">
        <v>1253</v>
      </c>
      <c r="C563" s="239">
        <v>4.3367500000000003E-2</v>
      </c>
      <c r="D563" s="239">
        <v>4.3840400000000002E-2</v>
      </c>
      <c r="E563" s="329">
        <v>118433260</v>
      </c>
      <c r="F563" s="329"/>
      <c r="G563" s="329">
        <v>20278773</v>
      </c>
      <c r="H563" s="329">
        <v>2888752</v>
      </c>
      <c r="I563" s="329">
        <v>19302657</v>
      </c>
      <c r="J563" s="329">
        <v>0</v>
      </c>
      <c r="K563" s="329">
        <v>42470182</v>
      </c>
      <c r="L563" s="329"/>
      <c r="M563" s="329">
        <v>0</v>
      </c>
      <c r="N563" s="329">
        <v>0</v>
      </c>
      <c r="O563" s="329">
        <v>672724</v>
      </c>
      <c r="P563" s="329">
        <v>672724</v>
      </c>
      <c r="Q563" s="329"/>
      <c r="R563" s="329">
        <v>52757128</v>
      </c>
      <c r="S563" s="329">
        <v>-161384</v>
      </c>
      <c r="T563" s="329">
        <v>52595744</v>
      </c>
    </row>
    <row r="564" spans="1:20">
      <c r="A564" s="335">
        <v>96003</v>
      </c>
      <c r="B564" s="328" t="s">
        <v>1254</v>
      </c>
      <c r="C564" s="239">
        <v>1.6620000000000001E-3</v>
      </c>
      <c r="D564" s="239">
        <v>1.6191999999999999E-3</v>
      </c>
      <c r="E564" s="329">
        <v>4538792</v>
      </c>
      <c r="F564" s="329"/>
      <c r="G564" s="329">
        <v>777156</v>
      </c>
      <c r="H564" s="329">
        <v>110708</v>
      </c>
      <c r="I564" s="329">
        <v>739748</v>
      </c>
      <c r="J564" s="329">
        <v>41167</v>
      </c>
      <c r="K564" s="329">
        <v>1668779</v>
      </c>
      <c r="L564" s="329"/>
      <c r="M564" s="329">
        <v>0</v>
      </c>
      <c r="N564" s="329">
        <v>0</v>
      </c>
      <c r="O564" s="329">
        <v>108882</v>
      </c>
      <c r="P564" s="329">
        <v>108882</v>
      </c>
      <c r="Q564" s="329"/>
      <c r="R564" s="329">
        <v>2021845</v>
      </c>
      <c r="S564" s="329">
        <v>-41472</v>
      </c>
      <c r="T564" s="329">
        <v>1980373</v>
      </c>
    </row>
    <row r="565" spans="1:20">
      <c r="A565" s="335">
        <v>96004</v>
      </c>
      <c r="B565" s="328" t="s">
        <v>1255</v>
      </c>
      <c r="C565" s="239">
        <v>9.3959999999999996E-4</v>
      </c>
      <c r="D565" s="239">
        <v>9.0419999999999997E-4</v>
      </c>
      <c r="E565" s="329">
        <v>2565974</v>
      </c>
      <c r="F565" s="329"/>
      <c r="G565" s="329">
        <v>439360</v>
      </c>
      <c r="H565" s="329">
        <v>62588</v>
      </c>
      <c r="I565" s="329">
        <v>418211</v>
      </c>
      <c r="J565" s="329">
        <v>151395</v>
      </c>
      <c r="K565" s="329">
        <v>1071554</v>
      </c>
      <c r="L565" s="329"/>
      <c r="M565" s="329">
        <v>0</v>
      </c>
      <c r="N565" s="329">
        <v>0</v>
      </c>
      <c r="O565" s="329">
        <v>0</v>
      </c>
      <c r="P565" s="329">
        <v>0</v>
      </c>
      <c r="Q565" s="329"/>
      <c r="R565" s="329">
        <v>1143036</v>
      </c>
      <c r="S565" s="329">
        <v>74968</v>
      </c>
      <c r="T565" s="329">
        <v>1218004</v>
      </c>
    </row>
    <row r="566" spans="1:20">
      <c r="A566" s="335">
        <v>96005</v>
      </c>
      <c r="B566" s="328" t="s">
        <v>1256</v>
      </c>
      <c r="C566" s="239">
        <v>2.4467E-3</v>
      </c>
      <c r="D566" s="239">
        <v>2.6172999999999999E-3</v>
      </c>
      <c r="E566" s="329">
        <v>6681747</v>
      </c>
      <c r="F566" s="329"/>
      <c r="G566" s="329">
        <v>1144084</v>
      </c>
      <c r="H566" s="329">
        <v>162977</v>
      </c>
      <c r="I566" s="329">
        <v>1089014</v>
      </c>
      <c r="J566" s="329">
        <v>17394</v>
      </c>
      <c r="K566" s="329">
        <v>2413469</v>
      </c>
      <c r="L566" s="329"/>
      <c r="M566" s="329">
        <v>0</v>
      </c>
      <c r="N566" s="329">
        <v>0</v>
      </c>
      <c r="O566" s="329">
        <v>102840</v>
      </c>
      <c r="P566" s="329">
        <v>102840</v>
      </c>
      <c r="Q566" s="329"/>
      <c r="R566" s="329">
        <v>2976442</v>
      </c>
      <c r="S566" s="329">
        <v>20584</v>
      </c>
      <c r="T566" s="329">
        <v>2997026</v>
      </c>
    </row>
    <row r="567" spans="1:20" ht="30">
      <c r="A567" s="335">
        <v>96008</v>
      </c>
      <c r="B567" s="328" t="s">
        <v>3707</v>
      </c>
      <c r="C567" s="239">
        <v>6.1741000000000001E-3</v>
      </c>
      <c r="D567" s="239">
        <v>6.1884000000000002E-3</v>
      </c>
      <c r="E567" s="329">
        <v>16860986</v>
      </c>
      <c r="F567" s="329"/>
      <c r="G567" s="329">
        <v>2887028</v>
      </c>
      <c r="H567" s="329">
        <v>411263</v>
      </c>
      <c r="I567" s="329">
        <v>2748061</v>
      </c>
      <c r="J567" s="329">
        <v>0</v>
      </c>
      <c r="K567" s="329">
        <v>6046352</v>
      </c>
      <c r="L567" s="329"/>
      <c r="M567" s="329">
        <v>0</v>
      </c>
      <c r="N567" s="329">
        <v>0</v>
      </c>
      <c r="O567" s="329">
        <v>1244707</v>
      </c>
      <c r="P567" s="329">
        <v>1244707</v>
      </c>
      <c r="Q567" s="329"/>
      <c r="R567" s="329">
        <v>7510873</v>
      </c>
      <c r="S567" s="329">
        <v>-456370</v>
      </c>
      <c r="T567" s="329">
        <v>7054503</v>
      </c>
    </row>
    <row r="568" spans="1:20">
      <c r="A568" s="335">
        <v>96009</v>
      </c>
      <c r="B568" s="328" t="s">
        <v>1258</v>
      </c>
      <c r="C568" s="239">
        <v>3.5409999999999999E-4</v>
      </c>
      <c r="D568" s="239">
        <v>3.8460000000000002E-4</v>
      </c>
      <c r="E568" s="329">
        <v>967019</v>
      </c>
      <c r="F568" s="329"/>
      <c r="G568" s="329">
        <v>165578</v>
      </c>
      <c r="H568" s="329">
        <v>23587</v>
      </c>
      <c r="I568" s="329">
        <v>157608</v>
      </c>
      <c r="J568" s="329">
        <v>32780</v>
      </c>
      <c r="K568" s="329">
        <v>379553</v>
      </c>
      <c r="L568" s="329"/>
      <c r="M568" s="329">
        <v>0</v>
      </c>
      <c r="N568" s="329">
        <v>0</v>
      </c>
      <c r="O568" s="329">
        <v>6198</v>
      </c>
      <c r="P568" s="329">
        <v>6198</v>
      </c>
      <c r="Q568" s="329"/>
      <c r="R568" s="329">
        <v>430767</v>
      </c>
      <c r="S568" s="329">
        <v>11845</v>
      </c>
      <c r="T568" s="329">
        <v>442612</v>
      </c>
    </row>
    <row r="569" spans="1:20">
      <c r="A569" s="335">
        <v>96011</v>
      </c>
      <c r="B569" s="328" t="s">
        <v>1259</v>
      </c>
      <c r="C569" s="239">
        <v>6.3204399999999994E-2</v>
      </c>
      <c r="D569" s="239">
        <v>6.2526600000000002E-2</v>
      </c>
      <c r="E569" s="329">
        <v>172606286</v>
      </c>
      <c r="F569" s="329"/>
      <c r="G569" s="329">
        <v>29554567</v>
      </c>
      <c r="H569" s="329">
        <v>4210108</v>
      </c>
      <c r="I569" s="329">
        <v>28131962</v>
      </c>
      <c r="J569" s="329">
        <v>1851231</v>
      </c>
      <c r="K569" s="329">
        <v>63747868</v>
      </c>
      <c r="L569" s="329"/>
      <c r="M569" s="329">
        <v>0</v>
      </c>
      <c r="N569" s="329">
        <v>0</v>
      </c>
      <c r="O569" s="329">
        <v>15079</v>
      </c>
      <c r="P569" s="329">
        <v>15079</v>
      </c>
      <c r="Q569" s="329"/>
      <c r="R569" s="329">
        <v>76888974</v>
      </c>
      <c r="S569" s="329">
        <v>636066</v>
      </c>
      <c r="T569" s="329">
        <v>77525040</v>
      </c>
    </row>
    <row r="570" spans="1:20">
      <c r="A570" s="335">
        <v>96012</v>
      </c>
      <c r="B570" s="328" t="s">
        <v>1260</v>
      </c>
      <c r="C570" s="239">
        <v>2.5593E-3</v>
      </c>
      <c r="D570" s="239">
        <v>2.5303000000000001E-3</v>
      </c>
      <c r="E570" s="329">
        <v>6989249</v>
      </c>
      <c r="F570" s="329"/>
      <c r="G570" s="329">
        <v>1196736</v>
      </c>
      <c r="H570" s="329">
        <v>170478</v>
      </c>
      <c r="I570" s="329">
        <v>1139132</v>
      </c>
      <c r="J570" s="329">
        <v>56615</v>
      </c>
      <c r="K570" s="329">
        <v>2562961</v>
      </c>
      <c r="L570" s="329"/>
      <c r="M570" s="329">
        <v>0</v>
      </c>
      <c r="N570" s="329">
        <v>0</v>
      </c>
      <c r="O570" s="329">
        <v>3190</v>
      </c>
      <c r="P570" s="329">
        <v>3190</v>
      </c>
      <c r="Q570" s="329"/>
      <c r="R570" s="329">
        <v>3113422</v>
      </c>
      <c r="S570" s="329">
        <v>38388</v>
      </c>
      <c r="T570" s="329">
        <v>3151810</v>
      </c>
    </row>
    <row r="571" spans="1:20">
      <c r="A571" s="335">
        <v>96018</v>
      </c>
      <c r="B571" s="328" t="s">
        <v>3708</v>
      </c>
      <c r="C571" s="239">
        <v>3.4199999999999998E-5</v>
      </c>
      <c r="D571" s="239">
        <v>4.5000000000000003E-5</v>
      </c>
      <c r="E571" s="329">
        <v>93398</v>
      </c>
      <c r="F571" s="329"/>
      <c r="G571" s="329">
        <v>15992</v>
      </c>
      <c r="H571" s="329">
        <v>2278</v>
      </c>
      <c r="I571" s="329">
        <v>15222</v>
      </c>
      <c r="J571" s="329">
        <v>1784</v>
      </c>
      <c r="K571" s="329">
        <v>35276</v>
      </c>
      <c r="L571" s="329"/>
      <c r="M571" s="329">
        <v>0</v>
      </c>
      <c r="N571" s="329">
        <v>0</v>
      </c>
      <c r="O571" s="329">
        <v>8821</v>
      </c>
      <c r="P571" s="329">
        <v>8821</v>
      </c>
      <c r="Q571" s="329"/>
      <c r="R571" s="329">
        <v>41605</v>
      </c>
      <c r="S571" s="329">
        <v>-124</v>
      </c>
      <c r="T571" s="329">
        <v>41481</v>
      </c>
    </row>
    <row r="572" spans="1:20">
      <c r="A572" s="335">
        <v>96021</v>
      </c>
      <c r="B572" s="328" t="s">
        <v>1262</v>
      </c>
      <c r="C572" s="239">
        <v>7.7490000000000002E-4</v>
      </c>
      <c r="D572" s="239">
        <v>7.3760000000000004E-4</v>
      </c>
      <c r="E572" s="329">
        <v>2116191</v>
      </c>
      <c r="F572" s="329"/>
      <c r="G572" s="329">
        <v>362346</v>
      </c>
      <c r="H572" s="329">
        <v>51617</v>
      </c>
      <c r="I572" s="329">
        <v>344904</v>
      </c>
      <c r="J572" s="329">
        <v>9298</v>
      </c>
      <c r="K572" s="329">
        <v>768165</v>
      </c>
      <c r="L572" s="329"/>
      <c r="M572" s="329">
        <v>0</v>
      </c>
      <c r="N572" s="329">
        <v>0</v>
      </c>
      <c r="O572" s="329">
        <v>54758</v>
      </c>
      <c r="P572" s="329">
        <v>54758</v>
      </c>
      <c r="Q572" s="329"/>
      <c r="R572" s="329">
        <v>942676</v>
      </c>
      <c r="S572" s="329">
        <v>-16279</v>
      </c>
      <c r="T572" s="329">
        <v>926397</v>
      </c>
    </row>
    <row r="573" spans="1:20">
      <c r="A573" s="335">
        <v>96031</v>
      </c>
      <c r="B573" s="328" t="s">
        <v>1263</v>
      </c>
      <c r="C573" s="239">
        <v>8.3790000000000004E-4</v>
      </c>
      <c r="D573" s="239">
        <v>8.5170000000000005E-4</v>
      </c>
      <c r="E573" s="329">
        <v>2288240</v>
      </c>
      <c r="F573" s="329"/>
      <c r="G573" s="329">
        <v>391805</v>
      </c>
      <c r="H573" s="329">
        <v>55814</v>
      </c>
      <c r="I573" s="329">
        <v>372945</v>
      </c>
      <c r="J573" s="329">
        <v>0</v>
      </c>
      <c r="K573" s="329">
        <v>820564</v>
      </c>
      <c r="L573" s="329"/>
      <c r="M573" s="329">
        <v>0</v>
      </c>
      <c r="N573" s="329">
        <v>0</v>
      </c>
      <c r="O573" s="329">
        <v>135011</v>
      </c>
      <c r="P573" s="329">
        <v>135011</v>
      </c>
      <c r="Q573" s="329"/>
      <c r="R573" s="329">
        <v>1019316</v>
      </c>
      <c r="S573" s="329">
        <v>-73641</v>
      </c>
      <c r="T573" s="329">
        <v>945675</v>
      </c>
    </row>
    <row r="574" spans="1:20">
      <c r="A574" s="335">
        <v>96041</v>
      </c>
      <c r="B574" s="328" t="s">
        <v>1264</v>
      </c>
      <c r="C574" s="239">
        <v>1.7466000000000001E-3</v>
      </c>
      <c r="D574" s="239">
        <v>1.7003999999999999E-3</v>
      </c>
      <c r="E574" s="329">
        <v>4769828</v>
      </c>
      <c r="F574" s="329"/>
      <c r="G574" s="329">
        <v>816715</v>
      </c>
      <c r="H574" s="329">
        <v>116343</v>
      </c>
      <c r="I574" s="329">
        <v>777403</v>
      </c>
      <c r="J574" s="329">
        <v>11617</v>
      </c>
      <c r="K574" s="329">
        <v>1722078</v>
      </c>
      <c r="L574" s="329"/>
      <c r="M574" s="329">
        <v>0</v>
      </c>
      <c r="N574" s="329">
        <v>0</v>
      </c>
      <c r="O574" s="329">
        <v>101646</v>
      </c>
      <c r="P574" s="329">
        <v>101646</v>
      </c>
      <c r="Q574" s="329"/>
      <c r="R574" s="329">
        <v>2124762</v>
      </c>
      <c r="S574" s="329">
        <v>-57913</v>
      </c>
      <c r="T574" s="329">
        <v>2066849</v>
      </c>
    </row>
    <row r="575" spans="1:20">
      <c r="A575" s="335">
        <v>96051</v>
      </c>
      <c r="B575" s="328" t="s">
        <v>1265</v>
      </c>
      <c r="C575" s="239">
        <v>9.6909999999999997E-4</v>
      </c>
      <c r="D575" s="239">
        <v>1.042E-3</v>
      </c>
      <c r="E575" s="329">
        <v>2646537</v>
      </c>
      <c r="F575" s="329"/>
      <c r="G575" s="329">
        <v>453154</v>
      </c>
      <c r="H575" s="329">
        <v>64552</v>
      </c>
      <c r="I575" s="329">
        <v>431342</v>
      </c>
      <c r="J575" s="329">
        <v>0</v>
      </c>
      <c r="K575" s="329">
        <v>949048</v>
      </c>
      <c r="L575" s="329"/>
      <c r="M575" s="329">
        <v>0</v>
      </c>
      <c r="N575" s="329">
        <v>0</v>
      </c>
      <c r="O575" s="329">
        <v>145175</v>
      </c>
      <c r="P575" s="329">
        <v>145175</v>
      </c>
      <c r="Q575" s="329"/>
      <c r="R575" s="329">
        <v>1178923</v>
      </c>
      <c r="S575" s="329">
        <v>-61133</v>
      </c>
      <c r="T575" s="329">
        <v>1117790</v>
      </c>
    </row>
    <row r="576" spans="1:20">
      <c r="A576" s="335">
        <v>96061</v>
      </c>
      <c r="B576" s="328" t="s">
        <v>1266</v>
      </c>
      <c r="C576" s="239">
        <v>3.4220000000000002E-4</v>
      </c>
      <c r="D576" s="239">
        <v>3.1559999999999997E-4</v>
      </c>
      <c r="E576" s="329">
        <v>934522</v>
      </c>
      <c r="F576" s="329"/>
      <c r="G576" s="329">
        <v>160014</v>
      </c>
      <c r="H576" s="329">
        <v>22795</v>
      </c>
      <c r="I576" s="329">
        <v>152312</v>
      </c>
      <c r="J576" s="329">
        <v>30092</v>
      </c>
      <c r="K576" s="329">
        <v>365213</v>
      </c>
      <c r="L576" s="329"/>
      <c r="M576" s="329">
        <v>0</v>
      </c>
      <c r="N576" s="329">
        <v>0</v>
      </c>
      <c r="O576" s="329">
        <v>9266</v>
      </c>
      <c r="P576" s="329">
        <v>9266</v>
      </c>
      <c r="Q576" s="329"/>
      <c r="R576" s="329">
        <v>416291</v>
      </c>
      <c r="S576" s="329">
        <v>6177</v>
      </c>
      <c r="T576" s="329">
        <v>422468</v>
      </c>
    </row>
    <row r="577" spans="1:20">
      <c r="A577" s="335">
        <v>96071</v>
      </c>
      <c r="B577" s="328" t="s">
        <v>1267</v>
      </c>
      <c r="C577" s="239">
        <v>1.3016E-3</v>
      </c>
      <c r="D577" s="239">
        <v>1.1751000000000001E-3</v>
      </c>
      <c r="E577" s="329">
        <v>3554568</v>
      </c>
      <c r="F577" s="329"/>
      <c r="G577" s="329">
        <v>608632</v>
      </c>
      <c r="H577" s="329">
        <v>86701</v>
      </c>
      <c r="I577" s="329">
        <v>579336</v>
      </c>
      <c r="J577" s="329">
        <v>180982</v>
      </c>
      <c r="K577" s="329">
        <v>1455651</v>
      </c>
      <c r="L577" s="329"/>
      <c r="M577" s="329">
        <v>0</v>
      </c>
      <c r="N577" s="329">
        <v>0</v>
      </c>
      <c r="O577" s="329">
        <v>18432</v>
      </c>
      <c r="P577" s="329">
        <v>18432</v>
      </c>
      <c r="Q577" s="329"/>
      <c r="R577" s="329">
        <v>1583413</v>
      </c>
      <c r="S577" s="329">
        <v>49473</v>
      </c>
      <c r="T577" s="329">
        <v>1632886</v>
      </c>
    </row>
    <row r="578" spans="1:20">
      <c r="A578" s="335">
        <v>96081</v>
      </c>
      <c r="B578" s="328" t="s">
        <v>1268</v>
      </c>
      <c r="C578" s="239">
        <v>5.419E-4</v>
      </c>
      <c r="D578" s="239">
        <v>5.4920000000000001E-4</v>
      </c>
      <c r="E578" s="329">
        <v>1479887</v>
      </c>
      <c r="F578" s="329"/>
      <c r="G578" s="329">
        <v>253394</v>
      </c>
      <c r="H578" s="329">
        <v>36096</v>
      </c>
      <c r="I578" s="329">
        <v>241197</v>
      </c>
      <c r="J578" s="329">
        <v>7049</v>
      </c>
      <c r="K578" s="329">
        <v>537736</v>
      </c>
      <c r="L578" s="329"/>
      <c r="M578" s="329">
        <v>0</v>
      </c>
      <c r="N578" s="329">
        <v>0</v>
      </c>
      <c r="O578" s="329">
        <v>19149</v>
      </c>
      <c r="P578" s="329">
        <v>19149</v>
      </c>
      <c r="Q578" s="329"/>
      <c r="R578" s="329">
        <v>659228</v>
      </c>
      <c r="S578" s="329">
        <v>-3621</v>
      </c>
      <c r="T578" s="329">
        <v>655607</v>
      </c>
    </row>
    <row r="579" spans="1:20">
      <c r="A579" s="335">
        <v>96101</v>
      </c>
      <c r="B579" s="328" t="s">
        <v>1269</v>
      </c>
      <c r="C579" s="239">
        <v>6.4729999999999996E-4</v>
      </c>
      <c r="D579" s="239">
        <v>7.9739999999999998E-4</v>
      </c>
      <c r="E579" s="329">
        <v>1767726</v>
      </c>
      <c r="F579" s="329"/>
      <c r="G579" s="329">
        <v>302679</v>
      </c>
      <c r="H579" s="329">
        <v>43117</v>
      </c>
      <c r="I579" s="329">
        <v>288110</v>
      </c>
      <c r="J579" s="329">
        <v>36198</v>
      </c>
      <c r="K579" s="329">
        <v>670104</v>
      </c>
      <c r="L579" s="329"/>
      <c r="M579" s="329">
        <v>0</v>
      </c>
      <c r="N579" s="329">
        <v>0</v>
      </c>
      <c r="O579" s="329">
        <v>96675</v>
      </c>
      <c r="P579" s="329">
        <v>96675</v>
      </c>
      <c r="Q579" s="329"/>
      <c r="R579" s="329">
        <v>787449</v>
      </c>
      <c r="S579" s="329">
        <v>-6438</v>
      </c>
      <c r="T579" s="329">
        <v>781011</v>
      </c>
    </row>
    <row r="580" spans="1:20">
      <c r="A580" s="335">
        <v>96102</v>
      </c>
      <c r="B580" s="328" t="s">
        <v>2800</v>
      </c>
      <c r="C580" s="239">
        <v>1.1600000000000001E-5</v>
      </c>
      <c r="D580" s="239">
        <v>1.2999999999999999E-5</v>
      </c>
      <c r="E580" s="329">
        <v>31679</v>
      </c>
      <c r="F580" s="329"/>
      <c r="G580" s="329">
        <v>5424</v>
      </c>
      <c r="H580" s="329">
        <v>772</v>
      </c>
      <c r="I580" s="329">
        <v>5163</v>
      </c>
      <c r="J580" s="329">
        <v>0</v>
      </c>
      <c r="K580" s="329">
        <v>11359</v>
      </c>
      <c r="L580" s="329"/>
      <c r="M580" s="329">
        <v>0</v>
      </c>
      <c r="N580" s="329">
        <v>0</v>
      </c>
      <c r="O580" s="329">
        <v>4181</v>
      </c>
      <c r="P580" s="329">
        <v>4181</v>
      </c>
      <c r="Q580" s="329"/>
      <c r="R580" s="329">
        <v>14112</v>
      </c>
      <c r="S580" s="329">
        <v>-1891</v>
      </c>
      <c r="T580" s="329">
        <v>12221</v>
      </c>
    </row>
    <row r="581" spans="1:20">
      <c r="A581" s="335">
        <v>96111</v>
      </c>
      <c r="B581" s="328" t="s">
        <v>1271</v>
      </c>
      <c r="C581" s="239">
        <v>1.5809999999999999E-4</v>
      </c>
      <c r="D581" s="239">
        <v>1.47E-4</v>
      </c>
      <c r="E581" s="329">
        <v>431759</v>
      </c>
      <c r="F581" s="329"/>
      <c r="G581" s="329">
        <v>73928</v>
      </c>
      <c r="H581" s="329">
        <v>10531</v>
      </c>
      <c r="I581" s="329">
        <v>70370</v>
      </c>
      <c r="J581" s="329">
        <v>25581</v>
      </c>
      <c r="K581" s="329">
        <v>180410</v>
      </c>
      <c r="L581" s="329"/>
      <c r="M581" s="329">
        <v>0</v>
      </c>
      <c r="N581" s="329">
        <v>0</v>
      </c>
      <c r="O581" s="329">
        <v>840</v>
      </c>
      <c r="P581" s="329">
        <v>840</v>
      </c>
      <c r="Q581" s="329"/>
      <c r="R581" s="329">
        <v>192331</v>
      </c>
      <c r="S581" s="329">
        <v>7828</v>
      </c>
      <c r="T581" s="329">
        <v>200159</v>
      </c>
    </row>
    <row r="582" spans="1:20">
      <c r="A582" s="335">
        <v>96121</v>
      </c>
      <c r="B582" s="328" t="s">
        <v>1272</v>
      </c>
      <c r="C582" s="239">
        <v>2.4300000000000001E-5</v>
      </c>
      <c r="D582" s="239">
        <v>2.1699999999999999E-5</v>
      </c>
      <c r="E582" s="329">
        <v>66361</v>
      </c>
      <c r="F582" s="329"/>
      <c r="G582" s="329">
        <v>11363</v>
      </c>
      <c r="H582" s="329">
        <v>1618</v>
      </c>
      <c r="I582" s="329">
        <v>10816</v>
      </c>
      <c r="J582" s="329">
        <v>488</v>
      </c>
      <c r="K582" s="329">
        <v>24285</v>
      </c>
      <c r="L582" s="329"/>
      <c r="M582" s="329">
        <v>0</v>
      </c>
      <c r="N582" s="329">
        <v>0</v>
      </c>
      <c r="O582" s="329">
        <v>1447</v>
      </c>
      <c r="P582" s="329">
        <v>1447</v>
      </c>
      <c r="Q582" s="329"/>
      <c r="R582" s="329">
        <v>29561</v>
      </c>
      <c r="S582" s="329">
        <v>-436</v>
      </c>
      <c r="T582" s="329">
        <v>29125</v>
      </c>
    </row>
    <row r="583" spans="1:20">
      <c r="A583" s="335">
        <v>96201</v>
      </c>
      <c r="B583" s="328" t="s">
        <v>1273</v>
      </c>
      <c r="C583" s="239">
        <v>1.0575000000000001E-3</v>
      </c>
      <c r="D583" s="239">
        <v>1.1052E-3</v>
      </c>
      <c r="E583" s="329">
        <v>2887950</v>
      </c>
      <c r="F583" s="329"/>
      <c r="G583" s="329">
        <v>494490</v>
      </c>
      <c r="H583" s="329">
        <v>70441</v>
      </c>
      <c r="I583" s="329">
        <v>470688</v>
      </c>
      <c r="J583" s="329">
        <v>0</v>
      </c>
      <c r="K583" s="329">
        <v>1035619</v>
      </c>
      <c r="L583" s="329"/>
      <c r="M583" s="329">
        <v>0</v>
      </c>
      <c r="N583" s="329">
        <v>0</v>
      </c>
      <c r="O583" s="329">
        <v>96982</v>
      </c>
      <c r="P583" s="329">
        <v>96982</v>
      </c>
      <c r="Q583" s="329"/>
      <c r="R583" s="329">
        <v>1286462</v>
      </c>
      <c r="S583" s="329">
        <v>-40906</v>
      </c>
      <c r="T583" s="329">
        <v>1245556</v>
      </c>
    </row>
    <row r="584" spans="1:20">
      <c r="A584" s="335">
        <v>96204</v>
      </c>
      <c r="B584" s="328" t="s">
        <v>1274</v>
      </c>
      <c r="C584" s="239">
        <v>1.42E-5</v>
      </c>
      <c r="D584" s="239">
        <v>1.42E-5</v>
      </c>
      <c r="E584" s="329">
        <v>38779</v>
      </c>
      <c r="F584" s="329"/>
      <c r="G584" s="329">
        <v>6640</v>
      </c>
      <c r="H584" s="329">
        <v>945</v>
      </c>
      <c r="I584" s="329">
        <v>6320</v>
      </c>
      <c r="J584" s="329">
        <v>4271</v>
      </c>
      <c r="K584" s="329">
        <v>18176</v>
      </c>
      <c r="L584" s="329"/>
      <c r="M584" s="329">
        <v>0</v>
      </c>
      <c r="N584" s="329">
        <v>0</v>
      </c>
      <c r="O584" s="329">
        <v>0</v>
      </c>
      <c r="P584" s="329">
        <v>0</v>
      </c>
      <c r="Q584" s="329"/>
      <c r="R584" s="329">
        <v>17274</v>
      </c>
      <c r="S584" s="329">
        <v>1982</v>
      </c>
      <c r="T584" s="329">
        <v>19256</v>
      </c>
    </row>
    <row r="585" spans="1:20">
      <c r="A585" s="335">
        <v>96211</v>
      </c>
      <c r="B585" s="328" t="s">
        <v>1275</v>
      </c>
      <c r="C585" s="239">
        <v>2.4000000000000001E-5</v>
      </c>
      <c r="D585" s="239">
        <v>2.8099999999999999E-5</v>
      </c>
      <c r="E585" s="329">
        <v>65542</v>
      </c>
      <c r="F585" s="329"/>
      <c r="G585" s="329">
        <v>11222</v>
      </c>
      <c r="H585" s="329">
        <v>1599</v>
      </c>
      <c r="I585" s="329">
        <v>10682</v>
      </c>
      <c r="J585" s="329">
        <v>5177</v>
      </c>
      <c r="K585" s="329">
        <v>28680</v>
      </c>
      <c r="L585" s="329"/>
      <c r="M585" s="329">
        <v>0</v>
      </c>
      <c r="N585" s="329">
        <v>0</v>
      </c>
      <c r="O585" s="329">
        <v>0</v>
      </c>
      <c r="P585" s="329">
        <v>0</v>
      </c>
      <c r="Q585" s="329"/>
      <c r="R585" s="329">
        <v>29196</v>
      </c>
      <c r="S585" s="329">
        <v>2985</v>
      </c>
      <c r="T585" s="329">
        <v>32181</v>
      </c>
    </row>
    <row r="586" spans="1:20">
      <c r="A586" s="335">
        <v>96221</v>
      </c>
      <c r="B586" s="328" t="s">
        <v>1276</v>
      </c>
      <c r="C586" s="239">
        <v>2.141E-4</v>
      </c>
      <c r="D586" s="239">
        <v>2.2809999999999999E-4</v>
      </c>
      <c r="E586" s="329">
        <v>584690</v>
      </c>
      <c r="F586" s="329"/>
      <c r="G586" s="329">
        <v>100114</v>
      </c>
      <c r="H586" s="329">
        <v>14261</v>
      </c>
      <c r="I586" s="329">
        <v>95295</v>
      </c>
      <c r="J586" s="329">
        <v>0</v>
      </c>
      <c r="K586" s="329">
        <v>209670</v>
      </c>
      <c r="L586" s="329"/>
      <c r="M586" s="329">
        <v>0</v>
      </c>
      <c r="N586" s="329">
        <v>0</v>
      </c>
      <c r="O586" s="329">
        <v>27197</v>
      </c>
      <c r="P586" s="329">
        <v>27197</v>
      </c>
      <c r="Q586" s="329"/>
      <c r="R586" s="329">
        <v>260455</v>
      </c>
      <c r="S586" s="329">
        <v>-11712</v>
      </c>
      <c r="T586" s="329">
        <v>248743</v>
      </c>
    </row>
    <row r="587" spans="1:20">
      <c r="A587" s="335">
        <v>96231</v>
      </c>
      <c r="B587" s="328" t="s">
        <v>1277</v>
      </c>
      <c r="C587" s="239">
        <v>1.2349999999999999E-4</v>
      </c>
      <c r="D587" s="239">
        <v>1.2540000000000001E-4</v>
      </c>
      <c r="E587" s="329">
        <v>337269</v>
      </c>
      <c r="F587" s="329"/>
      <c r="G587" s="329">
        <v>57749</v>
      </c>
      <c r="H587" s="329">
        <v>8227</v>
      </c>
      <c r="I587" s="329">
        <v>54969</v>
      </c>
      <c r="J587" s="329">
        <v>1276</v>
      </c>
      <c r="K587" s="329">
        <v>122221</v>
      </c>
      <c r="L587" s="329"/>
      <c r="M587" s="329">
        <v>0</v>
      </c>
      <c r="N587" s="329">
        <v>0</v>
      </c>
      <c r="O587" s="329">
        <v>25769</v>
      </c>
      <c r="P587" s="329">
        <v>25769</v>
      </c>
      <c r="Q587" s="329"/>
      <c r="R587" s="329">
        <v>150239</v>
      </c>
      <c r="S587" s="329">
        <v>-11075</v>
      </c>
      <c r="T587" s="329">
        <v>139164</v>
      </c>
    </row>
    <row r="588" spans="1:20">
      <c r="A588" s="335">
        <v>96241</v>
      </c>
      <c r="B588" s="328" t="s">
        <v>1278</v>
      </c>
      <c r="C588" s="239">
        <v>6.4499999999999996E-5</v>
      </c>
      <c r="D588" s="239">
        <v>5.4299999999999998E-5</v>
      </c>
      <c r="E588" s="329">
        <v>176144</v>
      </c>
      <c r="F588" s="329"/>
      <c r="G588" s="329">
        <v>30160</v>
      </c>
      <c r="H588" s="329">
        <v>4296</v>
      </c>
      <c r="I588" s="329">
        <v>28709</v>
      </c>
      <c r="J588" s="329">
        <v>6915</v>
      </c>
      <c r="K588" s="329">
        <v>70080</v>
      </c>
      <c r="L588" s="329"/>
      <c r="M588" s="329">
        <v>0</v>
      </c>
      <c r="N588" s="329">
        <v>0</v>
      </c>
      <c r="O588" s="329">
        <v>1315</v>
      </c>
      <c r="P588" s="329">
        <v>1315</v>
      </c>
      <c r="Q588" s="329"/>
      <c r="R588" s="329">
        <v>78465</v>
      </c>
      <c r="S588" s="329">
        <v>1042</v>
      </c>
      <c r="T588" s="329">
        <v>79507</v>
      </c>
    </row>
    <row r="589" spans="1:20">
      <c r="A589" s="335">
        <v>96251</v>
      </c>
      <c r="B589" s="328" t="s">
        <v>1279</v>
      </c>
      <c r="C589" s="239">
        <v>1.004E-4</v>
      </c>
      <c r="D589" s="239">
        <v>1.011E-4</v>
      </c>
      <c r="E589" s="329">
        <v>274185</v>
      </c>
      <c r="F589" s="329"/>
      <c r="G589" s="329">
        <v>46947</v>
      </c>
      <c r="H589" s="329">
        <v>6688</v>
      </c>
      <c r="I589" s="329">
        <v>44688</v>
      </c>
      <c r="J589" s="329">
        <v>3100</v>
      </c>
      <c r="K589" s="329">
        <v>101423</v>
      </c>
      <c r="L589" s="329"/>
      <c r="M589" s="329">
        <v>0</v>
      </c>
      <c r="N589" s="329">
        <v>0</v>
      </c>
      <c r="O589" s="329">
        <v>11724</v>
      </c>
      <c r="P589" s="329">
        <v>11724</v>
      </c>
      <c r="Q589" s="329"/>
      <c r="R589" s="329">
        <v>122138</v>
      </c>
      <c r="S589" s="329">
        <v>-7206</v>
      </c>
      <c r="T589" s="329">
        <v>114932</v>
      </c>
    </row>
    <row r="590" spans="1:20">
      <c r="A590" s="335">
        <v>96301</v>
      </c>
      <c r="B590" s="328" t="s">
        <v>1280</v>
      </c>
      <c r="C590" s="239">
        <v>4.6904E-3</v>
      </c>
      <c r="D590" s="239">
        <v>4.4197999999999998E-3</v>
      </c>
      <c r="E590" s="329">
        <v>12809117</v>
      </c>
      <c r="F590" s="329"/>
      <c r="G590" s="329">
        <v>2193245</v>
      </c>
      <c r="H590" s="329">
        <v>312433</v>
      </c>
      <c r="I590" s="329">
        <v>2087674</v>
      </c>
      <c r="J590" s="329">
        <v>171827</v>
      </c>
      <c r="K590" s="329">
        <v>4765179</v>
      </c>
      <c r="L590" s="329"/>
      <c r="M590" s="329">
        <v>0</v>
      </c>
      <c r="N590" s="329">
        <v>0</v>
      </c>
      <c r="O590" s="329">
        <v>76023</v>
      </c>
      <c r="P590" s="329">
        <v>76023</v>
      </c>
      <c r="Q590" s="329"/>
      <c r="R590" s="329">
        <v>5705933</v>
      </c>
      <c r="S590" s="329">
        <v>19036</v>
      </c>
      <c r="T590" s="329">
        <v>5724969</v>
      </c>
    </row>
    <row r="591" spans="1:20">
      <c r="A591" s="335">
        <v>96302</v>
      </c>
      <c r="B591" s="328" t="s">
        <v>1281</v>
      </c>
      <c r="C591" s="239">
        <v>2.3600000000000001E-5</v>
      </c>
      <c r="D591" s="239">
        <v>2.3499999999999999E-5</v>
      </c>
      <c r="E591" s="329">
        <v>64450</v>
      </c>
      <c r="F591" s="329"/>
      <c r="G591" s="329">
        <v>11035</v>
      </c>
      <c r="H591" s="329">
        <v>1572</v>
      </c>
      <c r="I591" s="329">
        <v>10504</v>
      </c>
      <c r="J591" s="329">
        <v>4516</v>
      </c>
      <c r="K591" s="329">
        <v>27627</v>
      </c>
      <c r="L591" s="329"/>
      <c r="M591" s="329">
        <v>0</v>
      </c>
      <c r="N591" s="329">
        <v>0</v>
      </c>
      <c r="O591" s="329">
        <v>560</v>
      </c>
      <c r="P591" s="329">
        <v>560</v>
      </c>
      <c r="Q591" s="329"/>
      <c r="R591" s="329">
        <v>28710</v>
      </c>
      <c r="S591" s="329">
        <v>2447</v>
      </c>
      <c r="T591" s="329">
        <v>31157</v>
      </c>
    </row>
    <row r="592" spans="1:20">
      <c r="A592" s="335">
        <v>96304</v>
      </c>
      <c r="B592" s="328" t="s">
        <v>1282</v>
      </c>
      <c r="C592" s="239">
        <v>4.3900000000000003E-5</v>
      </c>
      <c r="D592" s="239">
        <v>4.7500000000000003E-5</v>
      </c>
      <c r="E592" s="329">
        <v>119887</v>
      </c>
      <c r="F592" s="329"/>
      <c r="G592" s="329">
        <v>20528</v>
      </c>
      <c r="H592" s="329">
        <v>2925</v>
      </c>
      <c r="I592" s="329">
        <v>19540</v>
      </c>
      <c r="J592" s="329">
        <v>8818</v>
      </c>
      <c r="K592" s="329">
        <v>51811</v>
      </c>
      <c r="L592" s="329"/>
      <c r="M592" s="329">
        <v>0</v>
      </c>
      <c r="N592" s="329">
        <v>0</v>
      </c>
      <c r="O592" s="329">
        <v>489</v>
      </c>
      <c r="P592" s="329">
        <v>489</v>
      </c>
      <c r="Q592" s="329"/>
      <c r="R592" s="329">
        <v>53405</v>
      </c>
      <c r="S592" s="329">
        <v>4307</v>
      </c>
      <c r="T592" s="329">
        <v>57712</v>
      </c>
    </row>
    <row r="593" spans="1:20" ht="30">
      <c r="A593" s="335">
        <v>96305</v>
      </c>
      <c r="B593" s="328" t="s">
        <v>1283</v>
      </c>
      <c r="C593" s="239">
        <v>4.1199999999999999E-5</v>
      </c>
      <c r="D593" s="239">
        <v>4.1100000000000003E-5</v>
      </c>
      <c r="E593" s="329">
        <v>112514</v>
      </c>
      <c r="F593" s="329"/>
      <c r="G593" s="329">
        <v>19265</v>
      </c>
      <c r="H593" s="329">
        <v>2745</v>
      </c>
      <c r="I593" s="329">
        <v>18338</v>
      </c>
      <c r="J593" s="329">
        <v>17174</v>
      </c>
      <c r="K593" s="329">
        <v>57522</v>
      </c>
      <c r="L593" s="329"/>
      <c r="M593" s="329">
        <v>0</v>
      </c>
      <c r="N593" s="329">
        <v>0</v>
      </c>
      <c r="O593" s="329">
        <v>0</v>
      </c>
      <c r="P593" s="329">
        <v>0</v>
      </c>
      <c r="Q593" s="329"/>
      <c r="R593" s="329">
        <v>50120</v>
      </c>
      <c r="S593" s="329">
        <v>8111</v>
      </c>
      <c r="T593" s="329">
        <v>58231</v>
      </c>
    </row>
    <row r="594" spans="1:20">
      <c r="A594" s="335">
        <v>96310</v>
      </c>
      <c r="B594" s="328" t="s">
        <v>1284</v>
      </c>
      <c r="C594" s="239">
        <v>4.49E-5</v>
      </c>
      <c r="D594" s="239">
        <v>5.02E-5</v>
      </c>
      <c r="E594" s="329">
        <v>122618</v>
      </c>
      <c r="F594" s="329"/>
      <c r="G594" s="329">
        <v>20995</v>
      </c>
      <c r="H594" s="329">
        <v>2991</v>
      </c>
      <c r="I594" s="329">
        <v>19985</v>
      </c>
      <c r="J594" s="329">
        <v>3610</v>
      </c>
      <c r="K594" s="329">
        <v>47581</v>
      </c>
      <c r="L594" s="329"/>
      <c r="M594" s="329">
        <v>0</v>
      </c>
      <c r="N594" s="329">
        <v>0</v>
      </c>
      <c r="O594" s="329">
        <v>4525</v>
      </c>
      <c r="P594" s="329">
        <v>4525</v>
      </c>
      <c r="Q594" s="329"/>
      <c r="R594" s="329">
        <v>54621</v>
      </c>
      <c r="S594" s="329">
        <v>127</v>
      </c>
      <c r="T594" s="329">
        <v>54748</v>
      </c>
    </row>
    <row r="595" spans="1:20">
      <c r="A595" s="335">
        <v>96311</v>
      </c>
      <c r="B595" s="328" t="s">
        <v>1285</v>
      </c>
      <c r="C595" s="239">
        <v>1.3112E-3</v>
      </c>
      <c r="D595" s="239">
        <v>1.3328000000000001E-3</v>
      </c>
      <c r="E595" s="329">
        <v>3580785</v>
      </c>
      <c r="F595" s="329"/>
      <c r="G595" s="329">
        <v>613121</v>
      </c>
      <c r="H595" s="329">
        <v>87340</v>
      </c>
      <c r="I595" s="329">
        <v>583609</v>
      </c>
      <c r="J595" s="329">
        <v>0</v>
      </c>
      <c r="K595" s="329">
        <v>1284070</v>
      </c>
      <c r="L595" s="329"/>
      <c r="M595" s="329">
        <v>0</v>
      </c>
      <c r="N595" s="329">
        <v>0</v>
      </c>
      <c r="O595" s="329">
        <v>106196</v>
      </c>
      <c r="P595" s="329">
        <v>106196</v>
      </c>
      <c r="Q595" s="329"/>
      <c r="R595" s="329">
        <v>1595092</v>
      </c>
      <c r="S595" s="329">
        <v>-58466</v>
      </c>
      <c r="T595" s="329">
        <v>1536626</v>
      </c>
    </row>
    <row r="596" spans="1:20">
      <c r="A596" s="335">
        <v>96312</v>
      </c>
      <c r="B596" s="328" t="s">
        <v>1286</v>
      </c>
      <c r="C596" s="239">
        <v>5.8000000000000004E-6</v>
      </c>
      <c r="D596" s="239">
        <v>6.1E-6</v>
      </c>
      <c r="E596" s="329">
        <v>15839</v>
      </c>
      <c r="F596" s="329"/>
      <c r="G596" s="329">
        <v>2712</v>
      </c>
      <c r="H596" s="329">
        <v>386</v>
      </c>
      <c r="I596" s="329">
        <v>2582</v>
      </c>
      <c r="J596" s="329">
        <v>3816</v>
      </c>
      <c r="K596" s="329">
        <v>9496</v>
      </c>
      <c r="L596" s="329"/>
      <c r="M596" s="329">
        <v>0</v>
      </c>
      <c r="N596" s="329">
        <v>0</v>
      </c>
      <c r="O596" s="329">
        <v>5173</v>
      </c>
      <c r="P596" s="329">
        <v>5173</v>
      </c>
      <c r="Q596" s="329"/>
      <c r="R596" s="329">
        <v>7056</v>
      </c>
      <c r="S596" s="329">
        <v>76</v>
      </c>
      <c r="T596" s="329">
        <v>7132</v>
      </c>
    </row>
    <row r="597" spans="1:20">
      <c r="A597" s="335">
        <v>96318</v>
      </c>
      <c r="B597" s="328" t="s">
        <v>1287</v>
      </c>
      <c r="C597" s="239">
        <v>2.2319000000000002E-3</v>
      </c>
      <c r="D597" s="239">
        <v>2.2098999999999999E-3</v>
      </c>
      <c r="E597" s="329">
        <v>6095145</v>
      </c>
      <c r="F597" s="329"/>
      <c r="G597" s="329">
        <v>1043643</v>
      </c>
      <c r="H597" s="329">
        <v>148669</v>
      </c>
      <c r="I597" s="329">
        <v>993408</v>
      </c>
      <c r="J597" s="329">
        <v>2592518</v>
      </c>
      <c r="K597" s="329">
        <v>4778238</v>
      </c>
      <c r="L597" s="329"/>
      <c r="M597" s="329">
        <v>0</v>
      </c>
      <c r="N597" s="329">
        <v>0</v>
      </c>
      <c r="O597" s="329">
        <v>0</v>
      </c>
      <c r="P597" s="329">
        <v>0</v>
      </c>
      <c r="Q597" s="329"/>
      <c r="R597" s="329">
        <v>2715135</v>
      </c>
      <c r="S597" s="329">
        <v>2724340</v>
      </c>
      <c r="T597" s="329">
        <v>5439475</v>
      </c>
    </row>
    <row r="598" spans="1:20">
      <c r="A598" s="335">
        <v>96321</v>
      </c>
      <c r="B598" s="328" t="s">
        <v>1288</v>
      </c>
      <c r="C598" s="239">
        <v>3.65E-5</v>
      </c>
      <c r="D598" s="239">
        <v>3.7299999999999999E-5</v>
      </c>
      <c r="E598" s="329">
        <v>99679</v>
      </c>
      <c r="F598" s="329"/>
      <c r="G598" s="329">
        <v>17068</v>
      </c>
      <c r="H598" s="329">
        <v>2431</v>
      </c>
      <c r="I598" s="329">
        <v>16246</v>
      </c>
      <c r="J598" s="329">
        <v>1536</v>
      </c>
      <c r="K598" s="329">
        <v>37281</v>
      </c>
      <c r="L598" s="329"/>
      <c r="M598" s="329">
        <v>0</v>
      </c>
      <c r="N598" s="329">
        <v>0</v>
      </c>
      <c r="O598" s="329">
        <v>643</v>
      </c>
      <c r="P598" s="329">
        <v>643</v>
      </c>
      <c r="Q598" s="329"/>
      <c r="R598" s="329">
        <v>44403</v>
      </c>
      <c r="S598" s="329">
        <v>78</v>
      </c>
      <c r="T598" s="329">
        <v>44481</v>
      </c>
    </row>
    <row r="599" spans="1:20">
      <c r="A599" s="335">
        <v>96331</v>
      </c>
      <c r="B599" s="328" t="s">
        <v>1289</v>
      </c>
      <c r="C599" s="239">
        <v>7.4430000000000004E-4</v>
      </c>
      <c r="D599" s="239">
        <v>7.0220000000000005E-4</v>
      </c>
      <c r="E599" s="329">
        <v>2032625</v>
      </c>
      <c r="F599" s="329"/>
      <c r="G599" s="329">
        <v>348037</v>
      </c>
      <c r="H599" s="329">
        <v>49578</v>
      </c>
      <c r="I599" s="329">
        <v>331284</v>
      </c>
      <c r="J599" s="329">
        <v>0</v>
      </c>
      <c r="K599" s="329">
        <v>728899</v>
      </c>
      <c r="L599" s="329"/>
      <c r="M599" s="329">
        <v>0</v>
      </c>
      <c r="N599" s="329">
        <v>0</v>
      </c>
      <c r="O599" s="329">
        <v>45892</v>
      </c>
      <c r="P599" s="329">
        <v>45892</v>
      </c>
      <c r="Q599" s="329"/>
      <c r="R599" s="329">
        <v>905451</v>
      </c>
      <c r="S599" s="329">
        <v>-23208</v>
      </c>
      <c r="T599" s="329">
        <v>882243</v>
      </c>
    </row>
    <row r="600" spans="1:20">
      <c r="A600" s="335">
        <v>96341</v>
      </c>
      <c r="B600" s="328" t="s">
        <v>1290</v>
      </c>
      <c r="C600" s="239">
        <v>7.8200000000000003E-5</v>
      </c>
      <c r="D600" s="239">
        <v>9.1399999999999999E-5</v>
      </c>
      <c r="E600" s="329">
        <v>213558</v>
      </c>
      <c r="F600" s="329"/>
      <c r="G600" s="329">
        <v>36567</v>
      </c>
      <c r="H600" s="329">
        <v>5209</v>
      </c>
      <c r="I600" s="329">
        <v>34806</v>
      </c>
      <c r="J600" s="329">
        <v>2758</v>
      </c>
      <c r="K600" s="329">
        <v>79340</v>
      </c>
      <c r="L600" s="329"/>
      <c r="M600" s="329">
        <v>0</v>
      </c>
      <c r="N600" s="329">
        <v>0</v>
      </c>
      <c r="O600" s="329">
        <v>16316</v>
      </c>
      <c r="P600" s="329">
        <v>16316</v>
      </c>
      <c r="Q600" s="329"/>
      <c r="R600" s="329">
        <v>95131</v>
      </c>
      <c r="S600" s="329">
        <v>-491</v>
      </c>
      <c r="T600" s="329">
        <v>94640</v>
      </c>
    </row>
    <row r="601" spans="1:20">
      <c r="A601" s="335">
        <v>96351</v>
      </c>
      <c r="B601" s="328" t="s">
        <v>1291</v>
      </c>
      <c r="C601" s="239">
        <v>1.0093000000000001E-3</v>
      </c>
      <c r="D601" s="239">
        <v>1.0456E-3</v>
      </c>
      <c r="E601" s="329">
        <v>2756320</v>
      </c>
      <c r="F601" s="329"/>
      <c r="G601" s="329">
        <v>471952</v>
      </c>
      <c r="H601" s="329">
        <v>67231</v>
      </c>
      <c r="I601" s="329">
        <v>449234</v>
      </c>
      <c r="J601" s="329">
        <v>0</v>
      </c>
      <c r="K601" s="329">
        <v>988417</v>
      </c>
      <c r="L601" s="329"/>
      <c r="M601" s="329">
        <v>0</v>
      </c>
      <c r="N601" s="329">
        <v>0</v>
      </c>
      <c r="O601" s="329">
        <v>45454</v>
      </c>
      <c r="P601" s="329">
        <v>45454</v>
      </c>
      <c r="Q601" s="329"/>
      <c r="R601" s="329">
        <v>1227827</v>
      </c>
      <c r="S601" s="329">
        <v>-17713</v>
      </c>
      <c r="T601" s="329">
        <v>1210114</v>
      </c>
    </row>
    <row r="602" spans="1:20">
      <c r="A602" s="335">
        <v>96361</v>
      </c>
      <c r="B602" s="328" t="s">
        <v>1292</v>
      </c>
      <c r="C602" s="239">
        <v>4.1100000000000003E-5</v>
      </c>
      <c r="D602" s="239">
        <v>4.9400000000000001E-5</v>
      </c>
      <c r="E602" s="329">
        <v>112241</v>
      </c>
      <c r="F602" s="329"/>
      <c r="G602" s="329">
        <v>19218</v>
      </c>
      <c r="H602" s="329">
        <v>2738</v>
      </c>
      <c r="I602" s="329">
        <v>18293</v>
      </c>
      <c r="J602" s="329">
        <v>714</v>
      </c>
      <c r="K602" s="329">
        <v>40963</v>
      </c>
      <c r="L602" s="329"/>
      <c r="M602" s="329">
        <v>0</v>
      </c>
      <c r="N602" s="329">
        <v>0</v>
      </c>
      <c r="O602" s="329">
        <v>8246</v>
      </c>
      <c r="P602" s="329">
        <v>8246</v>
      </c>
      <c r="Q602" s="329"/>
      <c r="R602" s="329">
        <v>49999</v>
      </c>
      <c r="S602" s="329">
        <v>-1925</v>
      </c>
      <c r="T602" s="329">
        <v>48074</v>
      </c>
    </row>
    <row r="603" spans="1:20">
      <c r="A603" s="335">
        <v>96371</v>
      </c>
      <c r="B603" s="328" t="s">
        <v>1293</v>
      </c>
      <c r="C603" s="239">
        <v>1.5100000000000001E-4</v>
      </c>
      <c r="D603" s="239">
        <v>1.4200000000000001E-4</v>
      </c>
      <c r="E603" s="329">
        <v>412369</v>
      </c>
      <c r="F603" s="329"/>
      <c r="G603" s="329">
        <v>70608</v>
      </c>
      <c r="H603" s="329">
        <v>10058</v>
      </c>
      <c r="I603" s="329">
        <v>67209</v>
      </c>
      <c r="J603" s="329">
        <v>7242</v>
      </c>
      <c r="K603" s="329">
        <v>155117</v>
      </c>
      <c r="L603" s="329"/>
      <c r="M603" s="329">
        <v>0</v>
      </c>
      <c r="N603" s="329">
        <v>0</v>
      </c>
      <c r="O603" s="329">
        <v>10278</v>
      </c>
      <c r="P603" s="329">
        <v>10278</v>
      </c>
      <c r="Q603" s="329"/>
      <c r="R603" s="329">
        <v>183693</v>
      </c>
      <c r="S603" s="329">
        <v>-3983</v>
      </c>
      <c r="T603" s="329">
        <v>179710</v>
      </c>
    </row>
    <row r="604" spans="1:20">
      <c r="A604" s="335">
        <v>96381</v>
      </c>
      <c r="B604" s="328" t="s">
        <v>1294</v>
      </c>
      <c r="C604" s="239">
        <v>3.2799999999999998E-5</v>
      </c>
      <c r="D604" s="239">
        <v>3.5200000000000002E-5</v>
      </c>
      <c r="E604" s="329">
        <v>89574</v>
      </c>
      <c r="F604" s="329"/>
      <c r="G604" s="329">
        <v>15337</v>
      </c>
      <c r="H604" s="329">
        <v>2184</v>
      </c>
      <c r="I604" s="329">
        <v>14599</v>
      </c>
      <c r="J604" s="329">
        <v>1260</v>
      </c>
      <c r="K604" s="329">
        <v>33380</v>
      </c>
      <c r="L604" s="329"/>
      <c r="M604" s="329">
        <v>0</v>
      </c>
      <c r="N604" s="329">
        <v>0</v>
      </c>
      <c r="O604" s="329">
        <v>1913</v>
      </c>
      <c r="P604" s="329">
        <v>1913</v>
      </c>
      <c r="Q604" s="329"/>
      <c r="R604" s="329">
        <v>39902</v>
      </c>
      <c r="S604" s="329">
        <v>-662</v>
      </c>
      <c r="T604" s="329">
        <v>39240</v>
      </c>
    </row>
    <row r="605" spans="1:20">
      <c r="A605" s="335">
        <v>96391</v>
      </c>
      <c r="B605" s="328" t="s">
        <v>1295</v>
      </c>
      <c r="C605" s="239">
        <v>2.0560000000000001E-4</v>
      </c>
      <c r="D605" s="239">
        <v>2.1350000000000001E-4</v>
      </c>
      <c r="E605" s="329">
        <v>561478</v>
      </c>
      <c r="F605" s="329"/>
      <c r="G605" s="329">
        <v>96139</v>
      </c>
      <c r="H605" s="329">
        <v>13695</v>
      </c>
      <c r="I605" s="329">
        <v>91512</v>
      </c>
      <c r="J605" s="329">
        <v>0</v>
      </c>
      <c r="K605" s="329">
        <v>201346</v>
      </c>
      <c r="L605" s="329"/>
      <c r="M605" s="329">
        <v>0</v>
      </c>
      <c r="N605" s="329">
        <v>0</v>
      </c>
      <c r="O605" s="329">
        <v>33780</v>
      </c>
      <c r="P605" s="329">
        <v>33780</v>
      </c>
      <c r="Q605" s="329"/>
      <c r="R605" s="329">
        <v>250115</v>
      </c>
      <c r="S605" s="329">
        <v>-15455</v>
      </c>
      <c r="T605" s="329">
        <v>234660</v>
      </c>
    </row>
    <row r="606" spans="1:20">
      <c r="A606" s="335">
        <v>96401</v>
      </c>
      <c r="B606" s="328" t="s">
        <v>1296</v>
      </c>
      <c r="C606" s="239">
        <v>4.3956000000000004E-3</v>
      </c>
      <c r="D606" s="239">
        <v>4.4764999999999996E-3</v>
      </c>
      <c r="E606" s="329">
        <v>12004041</v>
      </c>
      <c r="F606" s="329"/>
      <c r="G606" s="329">
        <v>2055396</v>
      </c>
      <c r="H606" s="329">
        <v>292795</v>
      </c>
      <c r="I606" s="329">
        <v>1956460</v>
      </c>
      <c r="J606" s="329">
        <v>0</v>
      </c>
      <c r="K606" s="329">
        <v>4304651</v>
      </c>
      <c r="L606" s="329"/>
      <c r="M606" s="329">
        <v>0</v>
      </c>
      <c r="N606" s="329">
        <v>0</v>
      </c>
      <c r="O606" s="329">
        <v>164633</v>
      </c>
      <c r="P606" s="329">
        <v>164633</v>
      </c>
      <c r="Q606" s="329"/>
      <c r="R606" s="329">
        <v>5347305</v>
      </c>
      <c r="S606" s="329">
        <v>-64735</v>
      </c>
      <c r="T606" s="329">
        <v>5282570</v>
      </c>
    </row>
    <row r="607" spans="1:20">
      <c r="A607" s="335">
        <v>96404</v>
      </c>
      <c r="B607" s="328" t="s">
        <v>1297</v>
      </c>
      <c r="C607" s="239">
        <v>9.8300000000000004E-5</v>
      </c>
      <c r="D607" s="239">
        <v>9.98E-5</v>
      </c>
      <c r="E607" s="329">
        <v>268450</v>
      </c>
      <c r="F607" s="329"/>
      <c r="G607" s="329">
        <v>45965</v>
      </c>
      <c r="H607" s="329">
        <v>6548</v>
      </c>
      <c r="I607" s="329">
        <v>43753</v>
      </c>
      <c r="J607" s="329">
        <v>26376</v>
      </c>
      <c r="K607" s="329">
        <v>122642</v>
      </c>
      <c r="L607" s="329"/>
      <c r="M607" s="329">
        <v>0</v>
      </c>
      <c r="N607" s="329">
        <v>0</v>
      </c>
      <c r="O607" s="329">
        <v>0</v>
      </c>
      <c r="P607" s="329">
        <v>0</v>
      </c>
      <c r="Q607" s="329"/>
      <c r="R607" s="329">
        <v>119583</v>
      </c>
      <c r="S607" s="329">
        <v>13291</v>
      </c>
      <c r="T607" s="329">
        <v>132874</v>
      </c>
    </row>
    <row r="608" spans="1:20">
      <c r="A608" s="335">
        <v>96405</v>
      </c>
      <c r="B608" s="328" t="s">
        <v>1298</v>
      </c>
      <c r="C608" s="239">
        <v>1.4569999999999999E-4</v>
      </c>
      <c r="D608" s="239">
        <v>1.3219999999999999E-4</v>
      </c>
      <c r="E608" s="329">
        <v>397895</v>
      </c>
      <c r="F608" s="329"/>
      <c r="G608" s="329">
        <v>68130</v>
      </c>
      <c r="H608" s="329">
        <v>9705</v>
      </c>
      <c r="I608" s="329">
        <v>64850</v>
      </c>
      <c r="J608" s="329">
        <v>25301</v>
      </c>
      <c r="K608" s="329">
        <v>167986</v>
      </c>
      <c r="L608" s="329"/>
      <c r="M608" s="329">
        <v>0</v>
      </c>
      <c r="N608" s="329">
        <v>0</v>
      </c>
      <c r="O608" s="329">
        <v>1039</v>
      </c>
      <c r="P608" s="329">
        <v>1039</v>
      </c>
      <c r="Q608" s="329"/>
      <c r="R608" s="329">
        <v>177246</v>
      </c>
      <c r="S608" s="329">
        <v>10392</v>
      </c>
      <c r="T608" s="329">
        <v>187638</v>
      </c>
    </row>
    <row r="609" spans="1:20">
      <c r="A609" s="335">
        <v>96411</v>
      </c>
      <c r="B609" s="328" t="s">
        <v>1299</v>
      </c>
      <c r="C609" s="239">
        <v>7.0900000000000002E-5</v>
      </c>
      <c r="D609" s="239">
        <v>7.1899999999999999E-5</v>
      </c>
      <c r="E609" s="329">
        <v>193622</v>
      </c>
      <c r="F609" s="329"/>
      <c r="G609" s="329">
        <v>33153</v>
      </c>
      <c r="H609" s="329">
        <v>4723</v>
      </c>
      <c r="I609" s="329">
        <v>31557</v>
      </c>
      <c r="J609" s="329">
        <v>3500</v>
      </c>
      <c r="K609" s="329">
        <v>72933</v>
      </c>
      <c r="L609" s="329"/>
      <c r="M609" s="329">
        <v>0</v>
      </c>
      <c r="N609" s="329">
        <v>0</v>
      </c>
      <c r="O609" s="329">
        <v>6794</v>
      </c>
      <c r="P609" s="329">
        <v>6794</v>
      </c>
      <c r="Q609" s="329"/>
      <c r="R609" s="329">
        <v>86251</v>
      </c>
      <c r="S609" s="329">
        <v>1393</v>
      </c>
      <c r="T609" s="329">
        <v>87644</v>
      </c>
    </row>
    <row r="610" spans="1:20">
      <c r="A610" s="335">
        <v>96421</v>
      </c>
      <c r="B610" s="328" t="s">
        <v>1300</v>
      </c>
      <c r="C610" s="239">
        <v>3.8010000000000002E-4</v>
      </c>
      <c r="D610" s="239">
        <v>4.2880000000000001E-4</v>
      </c>
      <c r="E610" s="329">
        <v>1038023</v>
      </c>
      <c r="F610" s="329"/>
      <c r="G610" s="329">
        <v>177736</v>
      </c>
      <c r="H610" s="329">
        <v>25319</v>
      </c>
      <c r="I610" s="329">
        <v>169181</v>
      </c>
      <c r="J610" s="329">
        <v>0</v>
      </c>
      <c r="K610" s="329">
        <v>372236</v>
      </c>
      <c r="L610" s="329"/>
      <c r="M610" s="329">
        <v>0</v>
      </c>
      <c r="N610" s="329">
        <v>0</v>
      </c>
      <c r="O610" s="329">
        <v>89739</v>
      </c>
      <c r="P610" s="329">
        <v>89739</v>
      </c>
      <c r="Q610" s="329"/>
      <c r="R610" s="329">
        <v>462397</v>
      </c>
      <c r="S610" s="329">
        <v>-42723</v>
      </c>
      <c r="T610" s="329">
        <v>419674</v>
      </c>
    </row>
    <row r="611" spans="1:20">
      <c r="A611" s="335">
        <v>96431</v>
      </c>
      <c r="B611" s="328" t="s">
        <v>1301</v>
      </c>
      <c r="C611" s="239">
        <v>3.3599999999999997E-5</v>
      </c>
      <c r="D611" s="239">
        <v>3.0599999999999998E-5</v>
      </c>
      <c r="E611" s="329">
        <v>91759</v>
      </c>
      <c r="F611" s="329"/>
      <c r="G611" s="329">
        <v>15711</v>
      </c>
      <c r="H611" s="329">
        <v>2238</v>
      </c>
      <c r="I611" s="329">
        <v>14955</v>
      </c>
      <c r="J611" s="329">
        <v>9792</v>
      </c>
      <c r="K611" s="329">
        <v>42696</v>
      </c>
      <c r="L611" s="329"/>
      <c r="M611" s="329">
        <v>0</v>
      </c>
      <c r="N611" s="329">
        <v>0</v>
      </c>
      <c r="O611" s="329">
        <v>6223</v>
      </c>
      <c r="P611" s="329">
        <v>6223</v>
      </c>
      <c r="Q611" s="329"/>
      <c r="R611" s="329">
        <v>40875</v>
      </c>
      <c r="S611" s="329">
        <v>812</v>
      </c>
      <c r="T611" s="329">
        <v>41687</v>
      </c>
    </row>
    <row r="612" spans="1:20">
      <c r="A612" s="335">
        <v>96441</v>
      </c>
      <c r="B612" s="328" t="s">
        <v>1302</v>
      </c>
      <c r="C612" s="239">
        <v>1.8499999999999999E-5</v>
      </c>
      <c r="D612" s="239">
        <v>2.8E-5</v>
      </c>
      <c r="E612" s="329">
        <v>50522</v>
      </c>
      <c r="F612" s="329"/>
      <c r="G612" s="329">
        <v>8651</v>
      </c>
      <c r="H612" s="329">
        <v>1232</v>
      </c>
      <c r="I612" s="329">
        <v>8234</v>
      </c>
      <c r="J612" s="329">
        <v>1604</v>
      </c>
      <c r="K612" s="329">
        <v>19721</v>
      </c>
      <c r="L612" s="329"/>
      <c r="M612" s="329">
        <v>0</v>
      </c>
      <c r="N612" s="329">
        <v>0</v>
      </c>
      <c r="O612" s="329">
        <v>4025</v>
      </c>
      <c r="P612" s="329">
        <v>4025</v>
      </c>
      <c r="Q612" s="329"/>
      <c r="R612" s="329">
        <v>22505</v>
      </c>
      <c r="S612" s="329">
        <v>1757</v>
      </c>
      <c r="T612" s="329">
        <v>24262</v>
      </c>
    </row>
    <row r="613" spans="1:20">
      <c r="A613" s="335">
        <v>96451</v>
      </c>
      <c r="B613" s="328" t="s">
        <v>1303</v>
      </c>
      <c r="C613" s="239">
        <v>7.4000000000000003E-6</v>
      </c>
      <c r="D613" s="239">
        <v>1.8700000000000001E-5</v>
      </c>
      <c r="E613" s="329">
        <v>20209</v>
      </c>
      <c r="F613" s="329"/>
      <c r="G613" s="329">
        <v>3460</v>
      </c>
      <c r="H613" s="329">
        <v>493</v>
      </c>
      <c r="I613" s="329">
        <v>3294</v>
      </c>
      <c r="J613" s="329">
        <v>2684</v>
      </c>
      <c r="K613" s="329">
        <v>9931</v>
      </c>
      <c r="L613" s="329"/>
      <c r="M613" s="329">
        <v>0</v>
      </c>
      <c r="N613" s="329">
        <v>0</v>
      </c>
      <c r="O613" s="329">
        <v>7497</v>
      </c>
      <c r="P613" s="329">
        <v>7497</v>
      </c>
      <c r="Q613" s="329"/>
      <c r="R613" s="329">
        <v>9002</v>
      </c>
      <c r="S613" s="329">
        <v>-545</v>
      </c>
      <c r="T613" s="329">
        <v>8457</v>
      </c>
    </row>
    <row r="614" spans="1:20">
      <c r="A614" s="335">
        <v>96461</v>
      </c>
      <c r="B614" s="328" t="s">
        <v>1304</v>
      </c>
      <c r="C614" s="239">
        <v>1.361E-4</v>
      </c>
      <c r="D614" s="239">
        <v>1.538E-4</v>
      </c>
      <c r="E614" s="329">
        <v>371678</v>
      </c>
      <c r="F614" s="329"/>
      <c r="G614" s="329">
        <v>63641</v>
      </c>
      <c r="H614" s="329">
        <v>9066</v>
      </c>
      <c r="I614" s="329">
        <v>60577</v>
      </c>
      <c r="J614" s="329">
        <v>8805</v>
      </c>
      <c r="K614" s="329">
        <v>142089</v>
      </c>
      <c r="L614" s="329"/>
      <c r="M614" s="329">
        <v>0</v>
      </c>
      <c r="N614" s="329">
        <v>0</v>
      </c>
      <c r="O614" s="329">
        <v>23490</v>
      </c>
      <c r="P614" s="329">
        <v>23490</v>
      </c>
      <c r="Q614" s="329"/>
      <c r="R614" s="329">
        <v>165567</v>
      </c>
      <c r="S614" s="329">
        <v>-9680</v>
      </c>
      <c r="T614" s="329">
        <v>155887</v>
      </c>
    </row>
    <row r="615" spans="1:20">
      <c r="A615" s="335">
        <v>96501</v>
      </c>
      <c r="B615" s="328" t="s">
        <v>1305</v>
      </c>
      <c r="C615" s="239">
        <v>1.46477E-2</v>
      </c>
      <c r="D615" s="239">
        <v>1.453E-2</v>
      </c>
      <c r="E615" s="329">
        <v>40001726</v>
      </c>
      <c r="F615" s="329"/>
      <c r="G615" s="329">
        <v>6849308</v>
      </c>
      <c r="H615" s="329">
        <v>975697</v>
      </c>
      <c r="I615" s="329">
        <v>6519618</v>
      </c>
      <c r="J615" s="329">
        <v>87197</v>
      </c>
      <c r="K615" s="329">
        <v>14431820</v>
      </c>
      <c r="L615" s="329"/>
      <c r="M615" s="329">
        <v>0</v>
      </c>
      <c r="N615" s="329">
        <v>0</v>
      </c>
      <c r="O615" s="329">
        <v>155849</v>
      </c>
      <c r="P615" s="329">
        <v>155849</v>
      </c>
      <c r="Q615" s="329"/>
      <c r="R615" s="329">
        <v>17819117</v>
      </c>
      <c r="S615" s="329">
        <v>-17</v>
      </c>
      <c r="T615" s="329">
        <v>17819100</v>
      </c>
    </row>
    <row r="616" spans="1:20">
      <c r="A616" s="335">
        <v>96502</v>
      </c>
      <c r="B616" s="328" t="s">
        <v>2765</v>
      </c>
      <c r="C616" s="239">
        <v>4.082E-4</v>
      </c>
      <c r="D616" s="239">
        <v>4.059E-4</v>
      </c>
      <c r="E616" s="329">
        <v>1114762</v>
      </c>
      <c r="F616" s="329"/>
      <c r="G616" s="329">
        <v>190876</v>
      </c>
      <c r="H616" s="329">
        <v>27191</v>
      </c>
      <c r="I616" s="329">
        <v>181688</v>
      </c>
      <c r="J616" s="329">
        <v>19956</v>
      </c>
      <c r="K616" s="329">
        <v>419711</v>
      </c>
      <c r="L616" s="329"/>
      <c r="M616" s="329">
        <v>0</v>
      </c>
      <c r="N616" s="329">
        <v>0</v>
      </c>
      <c r="O616" s="329">
        <v>0</v>
      </c>
      <c r="P616" s="329">
        <v>0</v>
      </c>
      <c r="Q616" s="329"/>
      <c r="R616" s="329">
        <v>496581</v>
      </c>
      <c r="S616" s="329">
        <v>13518</v>
      </c>
      <c r="T616" s="329">
        <v>510099</v>
      </c>
    </row>
    <row r="617" spans="1:20">
      <c r="A617" s="335">
        <v>96503</v>
      </c>
      <c r="B617" s="328" t="s">
        <v>1307</v>
      </c>
      <c r="C617" s="239">
        <v>3.1940000000000001E-4</v>
      </c>
      <c r="D617" s="239">
        <v>2.856E-4</v>
      </c>
      <c r="E617" s="329">
        <v>872256</v>
      </c>
      <c r="F617" s="329"/>
      <c r="G617" s="329">
        <v>149352</v>
      </c>
      <c r="H617" s="329">
        <v>21276</v>
      </c>
      <c r="I617" s="329">
        <v>142163</v>
      </c>
      <c r="J617" s="329">
        <v>368263</v>
      </c>
      <c r="K617" s="329">
        <v>681054</v>
      </c>
      <c r="L617" s="329"/>
      <c r="M617" s="329">
        <v>0</v>
      </c>
      <c r="N617" s="329">
        <v>0</v>
      </c>
      <c r="O617" s="329">
        <v>0</v>
      </c>
      <c r="P617" s="329">
        <v>0</v>
      </c>
      <c r="Q617" s="329"/>
      <c r="R617" s="329">
        <v>388554</v>
      </c>
      <c r="S617" s="329">
        <v>162134</v>
      </c>
      <c r="T617" s="329">
        <v>550688</v>
      </c>
    </row>
    <row r="618" spans="1:20">
      <c r="A618" s="335">
        <v>96504</v>
      </c>
      <c r="B618" s="328" t="s">
        <v>1308</v>
      </c>
      <c r="C618" s="239">
        <v>4.3649999999999998E-4</v>
      </c>
      <c r="D618" s="239">
        <v>4.0900000000000002E-4</v>
      </c>
      <c r="E618" s="329">
        <v>1192047</v>
      </c>
      <c r="F618" s="329"/>
      <c r="G618" s="329">
        <v>204109</v>
      </c>
      <c r="H618" s="329">
        <v>29075</v>
      </c>
      <c r="I618" s="329">
        <v>194284</v>
      </c>
      <c r="J618" s="329">
        <v>38910</v>
      </c>
      <c r="K618" s="329">
        <v>466378</v>
      </c>
      <c r="L618" s="329"/>
      <c r="M618" s="329">
        <v>0</v>
      </c>
      <c r="N618" s="329">
        <v>0</v>
      </c>
      <c r="O618" s="329">
        <v>1792</v>
      </c>
      <c r="P618" s="329">
        <v>1792</v>
      </c>
      <c r="Q618" s="329"/>
      <c r="R618" s="329">
        <v>531008</v>
      </c>
      <c r="S618" s="329">
        <v>15969</v>
      </c>
      <c r="T618" s="329">
        <v>546977</v>
      </c>
    </row>
    <row r="619" spans="1:20">
      <c r="A619" s="335">
        <v>96507</v>
      </c>
      <c r="B619" s="328" t="s">
        <v>1309</v>
      </c>
      <c r="C619" s="239">
        <v>2.3281999999999999E-3</v>
      </c>
      <c r="D619" s="239">
        <v>2.2176000000000001E-3</v>
      </c>
      <c r="E619" s="329">
        <v>6358133</v>
      </c>
      <c r="F619" s="329"/>
      <c r="G619" s="329">
        <v>1088673</v>
      </c>
      <c r="H619" s="329">
        <v>155083</v>
      </c>
      <c r="I619" s="329">
        <v>1036270</v>
      </c>
      <c r="J619" s="329">
        <v>159186</v>
      </c>
      <c r="K619" s="329">
        <v>2439212</v>
      </c>
      <c r="L619" s="329"/>
      <c r="M619" s="329">
        <v>0</v>
      </c>
      <c r="N619" s="329">
        <v>0</v>
      </c>
      <c r="O619" s="329">
        <v>11396</v>
      </c>
      <c r="P619" s="329">
        <v>11396</v>
      </c>
      <c r="Q619" s="329"/>
      <c r="R619" s="329">
        <v>2832286</v>
      </c>
      <c r="S619" s="329">
        <v>67778</v>
      </c>
      <c r="T619" s="329">
        <v>2900064</v>
      </c>
    </row>
    <row r="620" spans="1:20">
      <c r="A620" s="335">
        <v>96508</v>
      </c>
      <c r="B620" s="328" t="s">
        <v>3709</v>
      </c>
      <c r="C620" s="239">
        <v>5.9000000000000003E-6</v>
      </c>
      <c r="D620" s="239">
        <v>7.4000000000000003E-6</v>
      </c>
      <c r="E620" s="329">
        <v>16112</v>
      </c>
      <c r="F620" s="329"/>
      <c r="G620" s="329">
        <v>2759</v>
      </c>
      <c r="H620" s="329">
        <v>393</v>
      </c>
      <c r="I620" s="329">
        <v>2626</v>
      </c>
      <c r="J620" s="329">
        <v>13832</v>
      </c>
      <c r="K620" s="329">
        <v>19610</v>
      </c>
      <c r="L620" s="329"/>
      <c r="M620" s="329">
        <v>0</v>
      </c>
      <c r="N620" s="329">
        <v>0</v>
      </c>
      <c r="O620" s="329">
        <v>0</v>
      </c>
      <c r="P620" s="329">
        <v>0</v>
      </c>
      <c r="Q620" s="329"/>
      <c r="R620" s="329">
        <v>7177</v>
      </c>
      <c r="S620" s="329">
        <v>6229</v>
      </c>
      <c r="T620" s="329">
        <v>13406</v>
      </c>
    </row>
    <row r="621" spans="1:20">
      <c r="A621" s="335">
        <v>96511</v>
      </c>
      <c r="B621" s="328" t="s">
        <v>1311</v>
      </c>
      <c r="C621" s="239">
        <v>6.0519999999999997E-4</v>
      </c>
      <c r="D621" s="239">
        <v>6.1580000000000001E-4</v>
      </c>
      <c r="E621" s="329">
        <v>1652754</v>
      </c>
      <c r="F621" s="329"/>
      <c r="G621" s="329">
        <v>282993</v>
      </c>
      <c r="H621" s="329">
        <v>40313</v>
      </c>
      <c r="I621" s="329">
        <v>269371</v>
      </c>
      <c r="J621" s="329">
        <v>0</v>
      </c>
      <c r="K621" s="329">
        <v>592677</v>
      </c>
      <c r="L621" s="329"/>
      <c r="M621" s="329">
        <v>0</v>
      </c>
      <c r="N621" s="329">
        <v>0</v>
      </c>
      <c r="O621" s="329">
        <v>45820</v>
      </c>
      <c r="P621" s="329">
        <v>45820</v>
      </c>
      <c r="Q621" s="329"/>
      <c r="R621" s="329">
        <v>736234</v>
      </c>
      <c r="S621" s="329">
        <v>-31787</v>
      </c>
      <c r="T621" s="329">
        <v>704447</v>
      </c>
    </row>
    <row r="622" spans="1:20">
      <c r="A622" s="335">
        <v>96512</v>
      </c>
      <c r="B622" s="328" t="s">
        <v>1312</v>
      </c>
      <c r="C622" s="239">
        <v>1.528E-4</v>
      </c>
      <c r="D622" s="239">
        <v>1.5899999999999999E-4</v>
      </c>
      <c r="E622" s="329">
        <v>417285</v>
      </c>
      <c r="F622" s="329"/>
      <c r="G622" s="329">
        <v>71450</v>
      </c>
      <c r="H622" s="329">
        <v>10178</v>
      </c>
      <c r="I622" s="329">
        <v>68011</v>
      </c>
      <c r="J622" s="329">
        <v>6021</v>
      </c>
      <c r="K622" s="329">
        <v>155660</v>
      </c>
      <c r="L622" s="329"/>
      <c r="M622" s="329">
        <v>0</v>
      </c>
      <c r="N622" s="329">
        <v>0</v>
      </c>
      <c r="O622" s="329">
        <v>6275</v>
      </c>
      <c r="P622" s="329">
        <v>6275</v>
      </c>
      <c r="Q622" s="329"/>
      <c r="R622" s="329">
        <v>185883</v>
      </c>
      <c r="S622" s="329">
        <v>1167</v>
      </c>
      <c r="T622" s="329">
        <v>187050</v>
      </c>
    </row>
    <row r="623" spans="1:20">
      <c r="A623" s="335">
        <v>96521</v>
      </c>
      <c r="B623" s="328" t="s">
        <v>1313</v>
      </c>
      <c r="C623" s="239">
        <v>9.3479999999999995E-4</v>
      </c>
      <c r="D623" s="239">
        <v>9.6719999999999998E-4</v>
      </c>
      <c r="E623" s="329">
        <v>2552866</v>
      </c>
      <c r="F623" s="329"/>
      <c r="G623" s="329">
        <v>437115</v>
      </c>
      <c r="H623" s="329">
        <v>62268</v>
      </c>
      <c r="I623" s="329">
        <v>416075</v>
      </c>
      <c r="J623" s="329">
        <v>0</v>
      </c>
      <c r="K623" s="329">
        <v>915458</v>
      </c>
      <c r="L623" s="329"/>
      <c r="M623" s="329">
        <v>0</v>
      </c>
      <c r="N623" s="329">
        <v>0</v>
      </c>
      <c r="O623" s="329">
        <v>100716</v>
      </c>
      <c r="P623" s="329">
        <v>100716</v>
      </c>
      <c r="Q623" s="329"/>
      <c r="R623" s="329">
        <v>1137196</v>
      </c>
      <c r="S623" s="329">
        <v>-20296</v>
      </c>
      <c r="T623" s="329">
        <v>1116900</v>
      </c>
    </row>
    <row r="624" spans="1:20">
      <c r="A624" s="335">
        <v>96531</v>
      </c>
      <c r="B624" s="328" t="s">
        <v>1314</v>
      </c>
      <c r="C624" s="239">
        <v>8.6105999999999995E-3</v>
      </c>
      <c r="D624" s="239">
        <v>8.7183999999999994E-3</v>
      </c>
      <c r="E624" s="329">
        <v>23514877</v>
      </c>
      <c r="F624" s="329"/>
      <c r="G624" s="329">
        <v>4026342</v>
      </c>
      <c r="H624" s="329">
        <v>573560</v>
      </c>
      <c r="I624" s="329">
        <v>3832535</v>
      </c>
      <c r="J624" s="329">
        <v>0</v>
      </c>
      <c r="K624" s="329">
        <v>8432437</v>
      </c>
      <c r="L624" s="329"/>
      <c r="M624" s="329">
        <v>0</v>
      </c>
      <c r="N624" s="329">
        <v>0</v>
      </c>
      <c r="O624" s="329">
        <v>411642</v>
      </c>
      <c r="P624" s="329">
        <v>411642</v>
      </c>
      <c r="Q624" s="329"/>
      <c r="R624" s="329">
        <v>10474907</v>
      </c>
      <c r="S624" s="329">
        <v>-174600</v>
      </c>
      <c r="T624" s="329">
        <v>10300307</v>
      </c>
    </row>
    <row r="625" spans="1:20">
      <c r="A625" s="335">
        <v>96541</v>
      </c>
      <c r="B625" s="328" t="s">
        <v>1315</v>
      </c>
      <c r="C625" s="239">
        <v>3.8709999999999998E-4</v>
      </c>
      <c r="D625" s="239">
        <v>3.5780000000000002E-4</v>
      </c>
      <c r="E625" s="329">
        <v>1057140</v>
      </c>
      <c r="F625" s="329"/>
      <c r="G625" s="329">
        <v>181009</v>
      </c>
      <c r="H625" s="329">
        <v>25785</v>
      </c>
      <c r="I625" s="329">
        <v>172296</v>
      </c>
      <c r="J625" s="329">
        <v>15689</v>
      </c>
      <c r="K625" s="329">
        <v>394779</v>
      </c>
      <c r="L625" s="329"/>
      <c r="M625" s="329">
        <v>0</v>
      </c>
      <c r="N625" s="329">
        <v>0</v>
      </c>
      <c r="O625" s="329">
        <v>3863</v>
      </c>
      <c r="P625" s="329">
        <v>3863</v>
      </c>
      <c r="Q625" s="329"/>
      <c r="R625" s="329">
        <v>470912</v>
      </c>
      <c r="S625" s="329">
        <v>6333</v>
      </c>
      <c r="T625" s="329">
        <v>477245</v>
      </c>
    </row>
    <row r="626" spans="1:20">
      <c r="A626" s="335">
        <v>96601</v>
      </c>
      <c r="B626" s="328" t="s">
        <v>1316</v>
      </c>
      <c r="C626" s="239">
        <v>1.7417999999999999E-3</v>
      </c>
      <c r="D626" s="239">
        <v>1.7382999999999999E-3</v>
      </c>
      <c r="E626" s="329">
        <v>4756720</v>
      </c>
      <c r="F626" s="329"/>
      <c r="G626" s="329">
        <v>814471</v>
      </c>
      <c r="H626" s="329">
        <v>116023</v>
      </c>
      <c r="I626" s="329">
        <v>775266</v>
      </c>
      <c r="J626" s="329">
        <v>26011</v>
      </c>
      <c r="K626" s="329">
        <v>1731771</v>
      </c>
      <c r="L626" s="329"/>
      <c r="M626" s="329">
        <v>0</v>
      </c>
      <c r="N626" s="329">
        <v>0</v>
      </c>
      <c r="O626" s="329">
        <v>57193</v>
      </c>
      <c r="P626" s="329">
        <v>57193</v>
      </c>
      <c r="Q626" s="329"/>
      <c r="R626" s="329">
        <v>2118922</v>
      </c>
      <c r="S626" s="329">
        <v>-10516</v>
      </c>
      <c r="T626" s="329">
        <v>2108406</v>
      </c>
    </row>
    <row r="627" spans="1:20">
      <c r="A627" s="335">
        <v>96604</v>
      </c>
      <c r="B627" s="328" t="s">
        <v>1317</v>
      </c>
      <c r="C627" s="239">
        <v>5.3000000000000001E-6</v>
      </c>
      <c r="D627" s="239">
        <v>5.5999999999999997E-6</v>
      </c>
      <c r="E627" s="329">
        <v>14474</v>
      </c>
      <c r="F627" s="329"/>
      <c r="G627" s="329">
        <v>2478</v>
      </c>
      <c r="H627" s="329">
        <v>353</v>
      </c>
      <c r="I627" s="329">
        <v>2359</v>
      </c>
      <c r="J627" s="329">
        <v>2335</v>
      </c>
      <c r="K627" s="329">
        <v>7525</v>
      </c>
      <c r="L627" s="329"/>
      <c r="M627" s="329">
        <v>0</v>
      </c>
      <c r="N627" s="329">
        <v>0</v>
      </c>
      <c r="O627" s="329">
        <v>0</v>
      </c>
      <c r="P627" s="329">
        <v>0</v>
      </c>
      <c r="Q627" s="329"/>
      <c r="R627" s="329">
        <v>6448</v>
      </c>
      <c r="S627" s="329">
        <v>881</v>
      </c>
      <c r="T627" s="329">
        <v>7329</v>
      </c>
    </row>
    <row r="628" spans="1:20">
      <c r="A628" s="335">
        <v>96611</v>
      </c>
      <c r="B628" s="328" t="s">
        <v>1318</v>
      </c>
      <c r="C628" s="239">
        <v>1.3900000000000001E-5</v>
      </c>
      <c r="D628" s="239">
        <v>2.41E-5</v>
      </c>
      <c r="E628" s="329">
        <v>37960</v>
      </c>
      <c r="F628" s="329"/>
      <c r="G628" s="329">
        <v>6500</v>
      </c>
      <c r="H628" s="329">
        <v>926</v>
      </c>
      <c r="I628" s="329">
        <v>6187</v>
      </c>
      <c r="J628" s="329">
        <v>121</v>
      </c>
      <c r="K628" s="329">
        <v>13734</v>
      </c>
      <c r="L628" s="329"/>
      <c r="M628" s="329">
        <v>0</v>
      </c>
      <c r="N628" s="329">
        <v>0</v>
      </c>
      <c r="O628" s="329">
        <v>7722</v>
      </c>
      <c r="P628" s="329">
        <v>7722</v>
      </c>
      <c r="Q628" s="329"/>
      <c r="R628" s="329">
        <v>16910</v>
      </c>
      <c r="S628" s="329">
        <v>-2592</v>
      </c>
      <c r="T628" s="329">
        <v>14318</v>
      </c>
    </row>
    <row r="629" spans="1:20">
      <c r="A629" s="335">
        <v>96612</v>
      </c>
      <c r="B629" s="328" t="s">
        <v>2767</v>
      </c>
      <c r="C629" s="239">
        <v>5.5099999999999998E-5</v>
      </c>
      <c r="D629" s="239">
        <v>5.4500000000000003E-5</v>
      </c>
      <c r="E629" s="329">
        <v>150474</v>
      </c>
      <c r="F629" s="329"/>
      <c r="G629" s="329">
        <v>25765</v>
      </c>
      <c r="H629" s="329">
        <v>3670</v>
      </c>
      <c r="I629" s="329">
        <v>24525</v>
      </c>
      <c r="J629" s="329">
        <v>9540</v>
      </c>
      <c r="K629" s="329">
        <v>63500</v>
      </c>
      <c r="L629" s="329"/>
      <c r="M629" s="329">
        <v>0</v>
      </c>
      <c r="N629" s="329">
        <v>0</v>
      </c>
      <c r="O629" s="329">
        <v>1698</v>
      </c>
      <c r="P629" s="329">
        <v>1698</v>
      </c>
      <c r="Q629" s="329"/>
      <c r="R629" s="329">
        <v>67030</v>
      </c>
      <c r="S629" s="329">
        <v>3984</v>
      </c>
      <c r="T629" s="329">
        <v>71014</v>
      </c>
    </row>
    <row r="630" spans="1:20">
      <c r="A630" s="335">
        <v>96621</v>
      </c>
      <c r="B630" s="328" t="s">
        <v>1320</v>
      </c>
      <c r="C630" s="239">
        <v>2.09E-5</v>
      </c>
      <c r="D630" s="239">
        <v>1.9199999999999999E-5</v>
      </c>
      <c r="E630" s="329">
        <v>57076</v>
      </c>
      <c r="F630" s="329"/>
      <c r="G630" s="329">
        <v>9773</v>
      </c>
      <c r="H630" s="329">
        <v>1392</v>
      </c>
      <c r="I630" s="329">
        <v>9302</v>
      </c>
      <c r="J630" s="329">
        <v>2357</v>
      </c>
      <c r="K630" s="329">
        <v>22824</v>
      </c>
      <c r="L630" s="329"/>
      <c r="M630" s="329">
        <v>0</v>
      </c>
      <c r="N630" s="329">
        <v>0</v>
      </c>
      <c r="O630" s="329">
        <v>2640</v>
      </c>
      <c r="P630" s="329">
        <v>2640</v>
      </c>
      <c r="Q630" s="329"/>
      <c r="R630" s="329">
        <v>25425</v>
      </c>
      <c r="S630" s="329">
        <v>-638</v>
      </c>
      <c r="T630" s="329">
        <v>24787</v>
      </c>
    </row>
    <row r="631" spans="1:20">
      <c r="A631" s="335">
        <v>96631</v>
      </c>
      <c r="B631" s="328" t="s">
        <v>1321</v>
      </c>
      <c r="C631" s="239">
        <v>2.1800000000000001E-5</v>
      </c>
      <c r="D631" s="239">
        <v>2.3600000000000001E-5</v>
      </c>
      <c r="E631" s="329">
        <v>59534</v>
      </c>
      <c r="F631" s="329"/>
      <c r="G631" s="329">
        <v>10194</v>
      </c>
      <c r="H631" s="329">
        <v>1452</v>
      </c>
      <c r="I631" s="329">
        <v>9703</v>
      </c>
      <c r="J631" s="329">
        <v>0</v>
      </c>
      <c r="K631" s="329">
        <v>21349</v>
      </c>
      <c r="L631" s="329"/>
      <c r="M631" s="329">
        <v>0</v>
      </c>
      <c r="N631" s="329">
        <v>0</v>
      </c>
      <c r="O631" s="329">
        <v>891</v>
      </c>
      <c r="P631" s="329">
        <v>891</v>
      </c>
      <c r="Q631" s="329"/>
      <c r="R631" s="329">
        <v>26520</v>
      </c>
      <c r="S631" s="329">
        <v>793</v>
      </c>
      <c r="T631" s="329">
        <v>27313</v>
      </c>
    </row>
    <row r="632" spans="1:20">
      <c r="A632" s="335">
        <v>96641</v>
      </c>
      <c r="B632" s="328" t="s">
        <v>1322</v>
      </c>
      <c r="C632" s="239">
        <v>3.3800000000000002E-5</v>
      </c>
      <c r="D632" s="239">
        <v>3.2100000000000001E-5</v>
      </c>
      <c r="E632" s="329">
        <v>92305</v>
      </c>
      <c r="F632" s="329"/>
      <c r="G632" s="329">
        <v>15805</v>
      </c>
      <c r="H632" s="329">
        <v>2252</v>
      </c>
      <c r="I632" s="329">
        <v>15044</v>
      </c>
      <c r="J632" s="329">
        <v>15476</v>
      </c>
      <c r="K632" s="329">
        <v>48577</v>
      </c>
      <c r="L632" s="329"/>
      <c r="M632" s="329">
        <v>0</v>
      </c>
      <c r="N632" s="329">
        <v>0</v>
      </c>
      <c r="O632" s="329">
        <v>0</v>
      </c>
      <c r="P632" s="329">
        <v>0</v>
      </c>
      <c r="Q632" s="329"/>
      <c r="R632" s="329">
        <v>41118</v>
      </c>
      <c r="S632" s="329">
        <v>7087</v>
      </c>
      <c r="T632" s="329">
        <v>48205</v>
      </c>
    </row>
    <row r="633" spans="1:20">
      <c r="A633" s="335">
        <v>96651</v>
      </c>
      <c r="B633" s="328" t="s">
        <v>1323</v>
      </c>
      <c r="C633" s="239">
        <v>1.8499999999999999E-5</v>
      </c>
      <c r="D633" s="239">
        <v>1.9400000000000001E-5</v>
      </c>
      <c r="E633" s="329">
        <v>50522</v>
      </c>
      <c r="F633" s="329"/>
      <c r="G633" s="329">
        <v>8651</v>
      </c>
      <c r="H633" s="329">
        <v>1232</v>
      </c>
      <c r="I633" s="329">
        <v>8234</v>
      </c>
      <c r="J633" s="329">
        <v>1993</v>
      </c>
      <c r="K633" s="329">
        <v>20110</v>
      </c>
      <c r="L633" s="329"/>
      <c r="M633" s="329">
        <v>0</v>
      </c>
      <c r="N633" s="329">
        <v>0</v>
      </c>
      <c r="O633" s="329">
        <v>3543</v>
      </c>
      <c r="P633" s="329">
        <v>3543</v>
      </c>
      <c r="Q633" s="329"/>
      <c r="R633" s="329">
        <v>22505</v>
      </c>
      <c r="S633" s="329">
        <v>-353</v>
      </c>
      <c r="T633" s="329">
        <v>22152</v>
      </c>
    </row>
    <row r="634" spans="1:20">
      <c r="A634" s="335">
        <v>96661</v>
      </c>
      <c r="B634" s="328" t="s">
        <v>1324</v>
      </c>
      <c r="C634" s="239">
        <v>1.8099999999999999E-5</v>
      </c>
      <c r="D634" s="239">
        <v>1.9000000000000001E-5</v>
      </c>
      <c r="E634" s="329">
        <v>49430</v>
      </c>
      <c r="F634" s="329"/>
      <c r="G634" s="329">
        <v>8464</v>
      </c>
      <c r="H634" s="329">
        <v>1206</v>
      </c>
      <c r="I634" s="329">
        <v>8056</v>
      </c>
      <c r="J634" s="329">
        <v>1831</v>
      </c>
      <c r="K634" s="329">
        <v>19557</v>
      </c>
      <c r="L634" s="329"/>
      <c r="M634" s="329">
        <v>0</v>
      </c>
      <c r="N634" s="329">
        <v>0</v>
      </c>
      <c r="O634" s="329">
        <v>165</v>
      </c>
      <c r="P634" s="329">
        <v>165</v>
      </c>
      <c r="Q634" s="329"/>
      <c r="R634" s="329">
        <v>22019</v>
      </c>
      <c r="S634" s="329">
        <v>1824</v>
      </c>
      <c r="T634" s="329">
        <v>23843</v>
      </c>
    </row>
    <row r="635" spans="1:20">
      <c r="A635" s="335">
        <v>96671</v>
      </c>
      <c r="B635" s="328" t="s">
        <v>1325</v>
      </c>
      <c r="C635" s="239">
        <v>1.26E-5</v>
      </c>
      <c r="D635" s="239">
        <v>1.3900000000000001E-5</v>
      </c>
      <c r="E635" s="329">
        <v>34410</v>
      </c>
      <c r="F635" s="329"/>
      <c r="G635" s="329">
        <v>5892</v>
      </c>
      <c r="H635" s="329">
        <v>840</v>
      </c>
      <c r="I635" s="329">
        <v>5608</v>
      </c>
      <c r="J635" s="329">
        <v>3261</v>
      </c>
      <c r="K635" s="329">
        <v>15601</v>
      </c>
      <c r="L635" s="329"/>
      <c r="M635" s="329">
        <v>0</v>
      </c>
      <c r="N635" s="329">
        <v>0</v>
      </c>
      <c r="O635" s="329">
        <v>0</v>
      </c>
      <c r="P635" s="329">
        <v>0</v>
      </c>
      <c r="Q635" s="329"/>
      <c r="R635" s="329">
        <v>15328</v>
      </c>
      <c r="S635" s="329">
        <v>3907</v>
      </c>
      <c r="T635" s="329">
        <v>19235</v>
      </c>
    </row>
    <row r="636" spans="1:20">
      <c r="A636" s="335">
        <v>96681</v>
      </c>
      <c r="B636" s="328" t="s">
        <v>1326</v>
      </c>
      <c r="C636" s="239">
        <v>2.2399999999999999E-5</v>
      </c>
      <c r="D636" s="239">
        <v>2.0599999999999999E-5</v>
      </c>
      <c r="E636" s="329">
        <v>61173</v>
      </c>
      <c r="F636" s="329"/>
      <c r="G636" s="329">
        <v>10474</v>
      </c>
      <c r="H636" s="329">
        <v>1492</v>
      </c>
      <c r="I636" s="329">
        <v>9970</v>
      </c>
      <c r="J636" s="329">
        <v>12153</v>
      </c>
      <c r="K636" s="329">
        <v>34089</v>
      </c>
      <c r="L636" s="329"/>
      <c r="M636" s="329">
        <v>0</v>
      </c>
      <c r="N636" s="329">
        <v>0</v>
      </c>
      <c r="O636" s="329">
        <v>4141</v>
      </c>
      <c r="P636" s="329">
        <v>4141</v>
      </c>
      <c r="Q636" s="329"/>
      <c r="R636" s="329">
        <v>27250</v>
      </c>
      <c r="S636" s="329">
        <v>6193</v>
      </c>
      <c r="T636" s="329">
        <v>33443</v>
      </c>
    </row>
    <row r="637" spans="1:20">
      <c r="A637" s="335">
        <v>96701</v>
      </c>
      <c r="B637" s="328" t="s">
        <v>1327</v>
      </c>
      <c r="C637" s="239">
        <v>8.4864999999999993E-3</v>
      </c>
      <c r="D637" s="239">
        <v>8.5999000000000006E-3</v>
      </c>
      <c r="E637" s="329">
        <v>23175970</v>
      </c>
      <c r="F637" s="329"/>
      <c r="G637" s="329">
        <v>3968313</v>
      </c>
      <c r="H637" s="329">
        <v>565294</v>
      </c>
      <c r="I637" s="329">
        <v>3777299</v>
      </c>
      <c r="J637" s="329">
        <v>129653</v>
      </c>
      <c r="K637" s="329">
        <v>8440559</v>
      </c>
      <c r="L637" s="329"/>
      <c r="M637" s="329">
        <v>0</v>
      </c>
      <c r="N637" s="329">
        <v>0</v>
      </c>
      <c r="O637" s="329">
        <v>465920</v>
      </c>
      <c r="P637" s="329">
        <v>465920</v>
      </c>
      <c r="Q637" s="329"/>
      <c r="R637" s="329">
        <v>10323938</v>
      </c>
      <c r="S637" s="329">
        <v>16462</v>
      </c>
      <c r="T637" s="329">
        <v>10340400</v>
      </c>
    </row>
    <row r="638" spans="1:20">
      <c r="A638" s="335">
        <v>96704</v>
      </c>
      <c r="B638" s="328" t="s">
        <v>1328</v>
      </c>
      <c r="C638" s="239">
        <v>1.873E-4</v>
      </c>
      <c r="D638" s="239">
        <v>1.7550000000000001E-4</v>
      </c>
      <c r="E638" s="329">
        <v>511502</v>
      </c>
      <c r="F638" s="329"/>
      <c r="G638" s="329">
        <v>87582</v>
      </c>
      <c r="H638" s="329">
        <v>12476</v>
      </c>
      <c r="I638" s="329">
        <v>83366</v>
      </c>
      <c r="J638" s="329">
        <v>55402</v>
      </c>
      <c r="K638" s="329">
        <v>238826</v>
      </c>
      <c r="L638" s="329"/>
      <c r="M638" s="329">
        <v>0</v>
      </c>
      <c r="N638" s="329">
        <v>0</v>
      </c>
      <c r="O638" s="329">
        <v>0</v>
      </c>
      <c r="P638" s="329">
        <v>0</v>
      </c>
      <c r="Q638" s="329"/>
      <c r="R638" s="329">
        <v>227853</v>
      </c>
      <c r="S638" s="329">
        <v>18669</v>
      </c>
      <c r="T638" s="329">
        <v>246522</v>
      </c>
    </row>
    <row r="639" spans="1:20">
      <c r="A639" s="335">
        <v>96708</v>
      </c>
      <c r="B639" s="328" t="s">
        <v>1329</v>
      </c>
      <c r="C639" s="239">
        <v>8.7410000000000005E-4</v>
      </c>
      <c r="D639" s="239">
        <v>8.8579999999999996E-4</v>
      </c>
      <c r="E639" s="329">
        <v>2387099</v>
      </c>
      <c r="F639" s="329"/>
      <c r="G639" s="329">
        <v>408732</v>
      </c>
      <c r="H639" s="329">
        <v>58224</v>
      </c>
      <c r="I639" s="329">
        <v>389058</v>
      </c>
      <c r="J639" s="329">
        <v>83282</v>
      </c>
      <c r="K639" s="329">
        <v>939296</v>
      </c>
      <c r="L639" s="329"/>
      <c r="M639" s="329">
        <v>0</v>
      </c>
      <c r="N639" s="329">
        <v>0</v>
      </c>
      <c r="O639" s="329">
        <v>5984</v>
      </c>
      <c r="P639" s="329">
        <v>5984</v>
      </c>
      <c r="Q639" s="329"/>
      <c r="R639" s="329">
        <v>1063354</v>
      </c>
      <c r="S639" s="329">
        <v>35823</v>
      </c>
      <c r="T639" s="329">
        <v>1099177</v>
      </c>
    </row>
    <row r="640" spans="1:20">
      <c r="A640" s="335">
        <v>96711</v>
      </c>
      <c r="B640" s="328" t="s">
        <v>1330</v>
      </c>
      <c r="C640" s="239">
        <v>3.7919E-3</v>
      </c>
      <c r="D640" s="239">
        <v>3.9007999999999998E-3</v>
      </c>
      <c r="E640" s="329">
        <v>10355383</v>
      </c>
      <c r="F640" s="329"/>
      <c r="G640" s="329">
        <v>1773104</v>
      </c>
      <c r="H640" s="329">
        <v>252582</v>
      </c>
      <c r="I640" s="329">
        <v>1687756</v>
      </c>
      <c r="J640" s="329">
        <v>0</v>
      </c>
      <c r="K640" s="329">
        <v>3713442</v>
      </c>
      <c r="L640" s="329"/>
      <c r="M640" s="329">
        <v>0</v>
      </c>
      <c r="N640" s="329">
        <v>0</v>
      </c>
      <c r="O640" s="329">
        <v>301826</v>
      </c>
      <c r="P640" s="329">
        <v>301826</v>
      </c>
      <c r="Q640" s="329"/>
      <c r="R640" s="329">
        <v>4612896</v>
      </c>
      <c r="S640" s="329">
        <v>-207019</v>
      </c>
      <c r="T640" s="329">
        <v>4405877</v>
      </c>
    </row>
    <row r="641" spans="1:20">
      <c r="A641" s="335">
        <v>96721</v>
      </c>
      <c r="B641" s="328" t="s">
        <v>1331</v>
      </c>
      <c r="C641" s="239">
        <v>2.1719999999999999E-4</v>
      </c>
      <c r="D641" s="239">
        <v>2.1790000000000001E-4</v>
      </c>
      <c r="E641" s="329">
        <v>593156</v>
      </c>
      <c r="F641" s="329"/>
      <c r="G641" s="329">
        <v>101563</v>
      </c>
      <c r="H641" s="329">
        <v>14468</v>
      </c>
      <c r="I641" s="329">
        <v>96675</v>
      </c>
      <c r="J641" s="329">
        <v>5560</v>
      </c>
      <c r="K641" s="329">
        <v>218266</v>
      </c>
      <c r="L641" s="329"/>
      <c r="M641" s="329">
        <v>0</v>
      </c>
      <c r="N641" s="329">
        <v>0</v>
      </c>
      <c r="O641" s="329">
        <v>11234</v>
      </c>
      <c r="P641" s="329">
        <v>11234</v>
      </c>
      <c r="Q641" s="329"/>
      <c r="R641" s="329">
        <v>264227</v>
      </c>
      <c r="S641" s="329">
        <v>-7051</v>
      </c>
      <c r="T641" s="329">
        <v>257176</v>
      </c>
    </row>
    <row r="642" spans="1:20">
      <c r="A642" s="335">
        <v>96731</v>
      </c>
      <c r="B642" s="328" t="s">
        <v>1332</v>
      </c>
      <c r="C642" s="239">
        <v>1.763E-4</v>
      </c>
      <c r="D642" s="239">
        <v>1.7019999999999999E-4</v>
      </c>
      <c r="E642" s="329">
        <v>481462</v>
      </c>
      <c r="F642" s="329"/>
      <c r="G642" s="329">
        <v>82438</v>
      </c>
      <c r="H642" s="329">
        <v>11744</v>
      </c>
      <c r="I642" s="329">
        <v>78470</v>
      </c>
      <c r="J642" s="329">
        <v>7384</v>
      </c>
      <c r="K642" s="329">
        <v>180036</v>
      </c>
      <c r="L642" s="329"/>
      <c r="M642" s="329">
        <v>0</v>
      </c>
      <c r="N642" s="329">
        <v>0</v>
      </c>
      <c r="O642" s="329">
        <v>1328</v>
      </c>
      <c r="P642" s="329">
        <v>1328</v>
      </c>
      <c r="Q642" s="329"/>
      <c r="R642" s="329">
        <v>214471</v>
      </c>
      <c r="S642" s="329">
        <v>6633</v>
      </c>
      <c r="T642" s="329">
        <v>221104</v>
      </c>
    </row>
    <row r="643" spans="1:20">
      <c r="A643" s="335">
        <v>96733</v>
      </c>
      <c r="B643" s="328" t="s">
        <v>1333</v>
      </c>
      <c r="C643" s="239">
        <v>6.4999999999999996E-6</v>
      </c>
      <c r="D643" s="239">
        <v>1.1800000000000001E-5</v>
      </c>
      <c r="E643" s="329">
        <v>17751</v>
      </c>
      <c r="F643" s="329"/>
      <c r="G643" s="329">
        <v>3039</v>
      </c>
      <c r="H643" s="329">
        <v>433</v>
      </c>
      <c r="I643" s="329">
        <v>2893</v>
      </c>
      <c r="J643" s="329">
        <v>2536</v>
      </c>
      <c r="K643" s="329">
        <v>8901</v>
      </c>
      <c r="L643" s="329"/>
      <c r="M643" s="329">
        <v>0</v>
      </c>
      <c r="N643" s="329">
        <v>0</v>
      </c>
      <c r="O643" s="329">
        <v>5920</v>
      </c>
      <c r="P643" s="329">
        <v>5920</v>
      </c>
      <c r="Q643" s="329"/>
      <c r="R643" s="329">
        <v>7907</v>
      </c>
      <c r="S643" s="329">
        <v>-272</v>
      </c>
      <c r="T643" s="329">
        <v>7635</v>
      </c>
    </row>
    <row r="644" spans="1:20">
      <c r="A644" s="335">
        <v>96741</v>
      </c>
      <c r="B644" s="328" t="s">
        <v>1334</v>
      </c>
      <c r="C644" s="239">
        <v>9.6799999999999995E-5</v>
      </c>
      <c r="D644" s="239">
        <v>9.8900000000000005E-5</v>
      </c>
      <c r="E644" s="329">
        <v>264353</v>
      </c>
      <c r="F644" s="329"/>
      <c r="G644" s="329">
        <v>45264</v>
      </c>
      <c r="H644" s="329">
        <v>6448</v>
      </c>
      <c r="I644" s="329">
        <v>43085</v>
      </c>
      <c r="J644" s="329">
        <v>2105</v>
      </c>
      <c r="K644" s="329">
        <v>96902</v>
      </c>
      <c r="L644" s="329"/>
      <c r="M644" s="329">
        <v>0</v>
      </c>
      <c r="N644" s="329">
        <v>0</v>
      </c>
      <c r="O644" s="329">
        <v>5235</v>
      </c>
      <c r="P644" s="329">
        <v>5235</v>
      </c>
      <c r="Q644" s="329"/>
      <c r="R644" s="329">
        <v>117758</v>
      </c>
      <c r="S644" s="329">
        <v>205</v>
      </c>
      <c r="T644" s="329">
        <v>117963</v>
      </c>
    </row>
    <row r="645" spans="1:20">
      <c r="A645" s="335">
        <v>96751</v>
      </c>
      <c r="B645" s="328" t="s">
        <v>3710</v>
      </c>
      <c r="C645" s="239">
        <v>3.054E-4</v>
      </c>
      <c r="D645" s="239">
        <v>2.7920000000000001E-4</v>
      </c>
      <c r="E645" s="329">
        <v>834024</v>
      </c>
      <c r="F645" s="329"/>
      <c r="G645" s="329">
        <v>142806</v>
      </c>
      <c r="H645" s="329">
        <v>20343</v>
      </c>
      <c r="I645" s="329">
        <v>135932</v>
      </c>
      <c r="J645" s="329">
        <v>23640</v>
      </c>
      <c r="K645" s="329">
        <v>322721</v>
      </c>
      <c r="L645" s="329"/>
      <c r="M645" s="329">
        <v>0</v>
      </c>
      <c r="N645" s="329">
        <v>0</v>
      </c>
      <c r="O645" s="329">
        <v>8623</v>
      </c>
      <c r="P645" s="329">
        <v>8623</v>
      </c>
      <c r="Q645" s="329"/>
      <c r="R645" s="329">
        <v>371523</v>
      </c>
      <c r="S645" s="329">
        <v>-5086</v>
      </c>
      <c r="T645" s="329">
        <v>366437</v>
      </c>
    </row>
    <row r="646" spans="1:20">
      <c r="A646" s="335">
        <v>96801</v>
      </c>
      <c r="B646" s="328" t="s">
        <v>1336</v>
      </c>
      <c r="C646" s="239">
        <v>7.6207000000000002E-3</v>
      </c>
      <c r="D646" s="239">
        <v>7.6252999999999998E-3</v>
      </c>
      <c r="E646" s="329">
        <v>20811537</v>
      </c>
      <c r="F646" s="329"/>
      <c r="G646" s="329">
        <v>3563462</v>
      </c>
      <c r="H646" s="329">
        <v>507622</v>
      </c>
      <c r="I646" s="329">
        <v>3391935</v>
      </c>
      <c r="J646" s="329">
        <v>112458</v>
      </c>
      <c r="K646" s="329">
        <v>7575477</v>
      </c>
      <c r="L646" s="329"/>
      <c r="M646" s="329">
        <v>0</v>
      </c>
      <c r="N646" s="329">
        <v>0</v>
      </c>
      <c r="O646" s="329">
        <v>55673</v>
      </c>
      <c r="P646" s="329">
        <v>55673</v>
      </c>
      <c r="Q646" s="329"/>
      <c r="R646" s="329">
        <v>9270681</v>
      </c>
      <c r="S646" s="329">
        <v>108734</v>
      </c>
      <c r="T646" s="329">
        <v>9379415</v>
      </c>
    </row>
    <row r="647" spans="1:20">
      <c r="A647" s="335">
        <v>96804</v>
      </c>
      <c r="B647" s="328" t="s">
        <v>1337</v>
      </c>
      <c r="C647" s="239">
        <v>2.4230000000000001E-4</v>
      </c>
      <c r="D647" s="239">
        <v>2.5539999999999997E-4</v>
      </c>
      <c r="E647" s="329">
        <v>661702</v>
      </c>
      <c r="F647" s="329"/>
      <c r="G647" s="329">
        <v>113300</v>
      </c>
      <c r="H647" s="329">
        <v>16140</v>
      </c>
      <c r="I647" s="329">
        <v>107847</v>
      </c>
      <c r="J647" s="329">
        <v>2705</v>
      </c>
      <c r="K647" s="329">
        <v>239992</v>
      </c>
      <c r="L647" s="329"/>
      <c r="M647" s="329">
        <v>0</v>
      </c>
      <c r="N647" s="329">
        <v>0</v>
      </c>
      <c r="O647" s="329">
        <v>33698</v>
      </c>
      <c r="P647" s="329">
        <v>33698</v>
      </c>
      <c r="Q647" s="329"/>
      <c r="R647" s="329">
        <v>294761</v>
      </c>
      <c r="S647" s="329">
        <v>-9191</v>
      </c>
      <c r="T647" s="329">
        <v>285570</v>
      </c>
    </row>
    <row r="648" spans="1:20">
      <c r="A648" s="335">
        <v>96808</v>
      </c>
      <c r="B648" s="328" t="s">
        <v>1338</v>
      </c>
      <c r="C648" s="239">
        <v>1.2175E-3</v>
      </c>
      <c r="D648" s="239">
        <v>1.2572E-3</v>
      </c>
      <c r="E648" s="329">
        <v>3324898</v>
      </c>
      <c r="F648" s="329"/>
      <c r="G648" s="329">
        <v>569307</v>
      </c>
      <c r="H648" s="329">
        <v>81098</v>
      </c>
      <c r="I648" s="329">
        <v>541903</v>
      </c>
      <c r="J648" s="329">
        <v>6336</v>
      </c>
      <c r="K648" s="329">
        <v>1198644</v>
      </c>
      <c r="L648" s="329"/>
      <c r="M648" s="329">
        <v>0</v>
      </c>
      <c r="N648" s="329">
        <v>0</v>
      </c>
      <c r="O648" s="329">
        <v>39806</v>
      </c>
      <c r="P648" s="329">
        <v>39806</v>
      </c>
      <c r="Q648" s="329"/>
      <c r="R648" s="329">
        <v>1481105</v>
      </c>
      <c r="S648" s="329">
        <v>572</v>
      </c>
      <c r="T648" s="329">
        <v>1481677</v>
      </c>
    </row>
    <row r="649" spans="1:20">
      <c r="A649" s="335">
        <v>96811</v>
      </c>
      <c r="B649" s="328" t="s">
        <v>1339</v>
      </c>
      <c r="C649" s="239">
        <v>5.8506000000000001E-3</v>
      </c>
      <c r="D649" s="239">
        <v>6.1249E-3</v>
      </c>
      <c r="E649" s="329">
        <v>15977532</v>
      </c>
      <c r="F649" s="329"/>
      <c r="G649" s="329">
        <v>2735758</v>
      </c>
      <c r="H649" s="329">
        <v>389714</v>
      </c>
      <c r="I649" s="329">
        <v>2604073</v>
      </c>
      <c r="J649" s="329">
        <v>18706</v>
      </c>
      <c r="K649" s="329">
        <v>5748251</v>
      </c>
      <c r="L649" s="329"/>
      <c r="M649" s="329">
        <v>0</v>
      </c>
      <c r="N649" s="329">
        <v>0</v>
      </c>
      <c r="O649" s="329">
        <v>216448</v>
      </c>
      <c r="P649" s="329">
        <v>216448</v>
      </c>
      <c r="Q649" s="329"/>
      <c r="R649" s="329">
        <v>7117331</v>
      </c>
      <c r="S649" s="329">
        <v>-57023</v>
      </c>
      <c r="T649" s="329">
        <v>7060308</v>
      </c>
    </row>
    <row r="650" spans="1:20" ht="14.25" customHeight="1">
      <c r="A650" s="335">
        <v>96821</v>
      </c>
      <c r="B650" s="328" t="s">
        <v>1340</v>
      </c>
      <c r="C650" s="239">
        <v>1.2505999999999999E-3</v>
      </c>
      <c r="D650" s="239">
        <v>1.1529999999999999E-3</v>
      </c>
      <c r="E650" s="329">
        <v>3415291</v>
      </c>
      <c r="F650" s="329"/>
      <c r="G650" s="329">
        <v>584784</v>
      </c>
      <c r="H650" s="329">
        <v>83304</v>
      </c>
      <c r="I650" s="329">
        <v>556636</v>
      </c>
      <c r="J650" s="329">
        <v>95766</v>
      </c>
      <c r="K650" s="329">
        <v>1320490</v>
      </c>
      <c r="L650" s="329"/>
      <c r="M650" s="329">
        <v>0</v>
      </c>
      <c r="N650" s="329">
        <v>0</v>
      </c>
      <c r="O650" s="329">
        <v>103219</v>
      </c>
      <c r="P650" s="329">
        <v>103219</v>
      </c>
      <c r="Q650" s="329"/>
      <c r="R650" s="329">
        <v>1521371</v>
      </c>
      <c r="S650" s="329">
        <v>-41989</v>
      </c>
      <c r="T650" s="329">
        <v>1479382</v>
      </c>
    </row>
    <row r="651" spans="1:20" ht="14.25" customHeight="1">
      <c r="A651" s="335">
        <v>96831</v>
      </c>
      <c r="B651" s="328" t="s">
        <v>1341</v>
      </c>
      <c r="C651" s="239">
        <v>9.0549999999999995E-4</v>
      </c>
      <c r="D651" s="239">
        <v>9.3130000000000003E-4</v>
      </c>
      <c r="E651" s="329">
        <v>2472850</v>
      </c>
      <c r="F651" s="329"/>
      <c r="G651" s="329">
        <v>423415</v>
      </c>
      <c r="H651" s="329">
        <v>60316</v>
      </c>
      <c r="I651" s="329">
        <v>403034</v>
      </c>
      <c r="J651" s="329">
        <v>5976</v>
      </c>
      <c r="K651" s="329">
        <v>892741</v>
      </c>
      <c r="L651" s="329"/>
      <c r="M651" s="329">
        <v>0</v>
      </c>
      <c r="N651" s="329">
        <v>0</v>
      </c>
      <c r="O651" s="329">
        <v>32451</v>
      </c>
      <c r="P651" s="329">
        <v>32451</v>
      </c>
      <c r="Q651" s="329"/>
      <c r="R651" s="329">
        <v>1101553</v>
      </c>
      <c r="S651" s="329">
        <v>3949</v>
      </c>
      <c r="T651" s="329">
        <v>1105502</v>
      </c>
    </row>
    <row r="652" spans="1:20">
      <c r="A652" s="335">
        <v>96901</v>
      </c>
      <c r="B652" s="328" t="s">
        <v>1342</v>
      </c>
      <c r="C652" s="239">
        <v>9.5589999999999998E-4</v>
      </c>
      <c r="D652" s="239">
        <v>9.1089999999999997E-4</v>
      </c>
      <c r="E652" s="329">
        <v>2610488</v>
      </c>
      <c r="F652" s="329"/>
      <c r="G652" s="329">
        <v>446982</v>
      </c>
      <c r="H652" s="329">
        <v>63673</v>
      </c>
      <c r="I652" s="329">
        <v>425466</v>
      </c>
      <c r="J652" s="329">
        <v>69955</v>
      </c>
      <c r="K652" s="329">
        <v>1006076</v>
      </c>
      <c r="L652" s="329"/>
      <c r="M652" s="329">
        <v>0</v>
      </c>
      <c r="N652" s="329">
        <v>0</v>
      </c>
      <c r="O652" s="329">
        <v>0</v>
      </c>
      <c r="P652" s="329">
        <v>0</v>
      </c>
      <c r="Q652" s="329"/>
      <c r="R652" s="329">
        <v>1162865</v>
      </c>
      <c r="S652" s="329">
        <v>35406</v>
      </c>
      <c r="T652" s="329">
        <v>1198271</v>
      </c>
    </row>
    <row r="653" spans="1:20">
      <c r="A653" s="335">
        <v>96911</v>
      </c>
      <c r="B653" s="328" t="s">
        <v>1343</v>
      </c>
      <c r="C653" s="239">
        <v>2.3E-6</v>
      </c>
      <c r="D653" s="239">
        <v>2.3E-6</v>
      </c>
      <c r="E653" s="329">
        <v>6281</v>
      </c>
      <c r="F653" s="329"/>
      <c r="G653" s="329">
        <v>1075</v>
      </c>
      <c r="H653" s="329">
        <v>153</v>
      </c>
      <c r="I653" s="329">
        <v>1024</v>
      </c>
      <c r="J653" s="329">
        <v>2054</v>
      </c>
      <c r="K653" s="329">
        <v>4306</v>
      </c>
      <c r="L653" s="329"/>
      <c r="M653" s="329">
        <v>0</v>
      </c>
      <c r="N653" s="329">
        <v>0</v>
      </c>
      <c r="O653" s="329">
        <v>928</v>
      </c>
      <c r="P653" s="329">
        <v>928</v>
      </c>
      <c r="Q653" s="329"/>
      <c r="R653" s="329">
        <v>2798</v>
      </c>
      <c r="S653" s="329">
        <v>495</v>
      </c>
      <c r="T653" s="329">
        <v>3293</v>
      </c>
    </row>
    <row r="654" spans="1:20">
      <c r="A654" s="335">
        <v>96912</v>
      </c>
      <c r="B654" s="328" t="s">
        <v>1344</v>
      </c>
      <c r="C654" s="239">
        <v>7.2000000000000002E-5</v>
      </c>
      <c r="D654" s="239">
        <v>6.8100000000000002E-5</v>
      </c>
      <c r="E654" s="329">
        <v>196626</v>
      </c>
      <c r="F654" s="329"/>
      <c r="G654" s="329">
        <v>33667</v>
      </c>
      <c r="H654" s="329">
        <v>4796</v>
      </c>
      <c r="I654" s="329">
        <v>32047</v>
      </c>
      <c r="J654" s="329">
        <v>332</v>
      </c>
      <c r="K654" s="329">
        <v>70842</v>
      </c>
      <c r="L654" s="329"/>
      <c r="M654" s="329">
        <v>0</v>
      </c>
      <c r="N654" s="329">
        <v>0</v>
      </c>
      <c r="O654" s="329">
        <v>2716</v>
      </c>
      <c r="P654" s="329">
        <v>2716</v>
      </c>
      <c r="Q654" s="329"/>
      <c r="R654" s="329">
        <v>87589</v>
      </c>
      <c r="S654" s="329">
        <v>-119</v>
      </c>
      <c r="T654" s="329">
        <v>87470</v>
      </c>
    </row>
    <row r="655" spans="1:20">
      <c r="A655" s="335">
        <v>96918</v>
      </c>
      <c r="B655" s="328" t="s">
        <v>1345</v>
      </c>
      <c r="C655" s="239">
        <v>2.9799999999999999E-5</v>
      </c>
      <c r="D655" s="239">
        <v>3.2299999999999999E-5</v>
      </c>
      <c r="E655" s="329">
        <v>81381</v>
      </c>
      <c r="F655" s="329"/>
      <c r="G655" s="329">
        <v>13935</v>
      </c>
      <c r="H655" s="329">
        <v>1985</v>
      </c>
      <c r="I655" s="329">
        <v>13264</v>
      </c>
      <c r="J655" s="329">
        <v>299</v>
      </c>
      <c r="K655" s="329">
        <v>29483</v>
      </c>
      <c r="L655" s="329"/>
      <c r="M655" s="329">
        <v>0</v>
      </c>
      <c r="N655" s="329">
        <v>0</v>
      </c>
      <c r="O655" s="329">
        <v>3151</v>
      </c>
      <c r="P655" s="329">
        <v>3151</v>
      </c>
      <c r="Q655" s="329"/>
      <c r="R655" s="329">
        <v>36252</v>
      </c>
      <c r="S655" s="329">
        <v>262</v>
      </c>
      <c r="T655" s="329">
        <v>36514</v>
      </c>
    </row>
    <row r="656" spans="1:20">
      <c r="A656" s="335">
        <v>97001</v>
      </c>
      <c r="B656" s="328" t="s">
        <v>1346</v>
      </c>
      <c r="C656" s="239">
        <v>1.3541E-3</v>
      </c>
      <c r="D656" s="239">
        <v>1.3370999999999999E-3</v>
      </c>
      <c r="E656" s="329">
        <v>3697941</v>
      </c>
      <c r="F656" s="329"/>
      <c r="G656" s="329">
        <v>633181</v>
      </c>
      <c r="H656" s="329">
        <v>90198</v>
      </c>
      <c r="I656" s="329">
        <v>602703</v>
      </c>
      <c r="J656" s="329">
        <v>105013</v>
      </c>
      <c r="K656" s="329">
        <v>1431095</v>
      </c>
      <c r="L656" s="329"/>
      <c r="M656" s="329">
        <v>0</v>
      </c>
      <c r="N656" s="329">
        <v>0</v>
      </c>
      <c r="O656" s="329">
        <v>0</v>
      </c>
      <c r="P656" s="329">
        <v>0</v>
      </c>
      <c r="Q656" s="329"/>
      <c r="R656" s="329">
        <v>1647280</v>
      </c>
      <c r="S656" s="329">
        <v>61715</v>
      </c>
      <c r="T656" s="329">
        <v>1708995</v>
      </c>
    </row>
    <row r="657" spans="1:20">
      <c r="A657" s="335">
        <v>97002</v>
      </c>
      <c r="B657" s="328" t="s">
        <v>1347</v>
      </c>
      <c r="C657" s="239">
        <v>5.04E-4</v>
      </c>
      <c r="D657" s="239">
        <v>4.8569999999999999E-4</v>
      </c>
      <c r="E657" s="329">
        <v>1376385</v>
      </c>
      <c r="F657" s="329"/>
      <c r="G657" s="329">
        <v>235672</v>
      </c>
      <c r="H657" s="329">
        <v>33572</v>
      </c>
      <c r="I657" s="329">
        <v>224328</v>
      </c>
      <c r="J657" s="329">
        <v>1791</v>
      </c>
      <c r="K657" s="329">
        <v>495363</v>
      </c>
      <c r="L657" s="329"/>
      <c r="M657" s="329">
        <v>0</v>
      </c>
      <c r="N657" s="329">
        <v>0</v>
      </c>
      <c r="O657" s="329">
        <v>90399</v>
      </c>
      <c r="P657" s="329">
        <v>90399</v>
      </c>
      <c r="Q657" s="329"/>
      <c r="R657" s="329">
        <v>613123</v>
      </c>
      <c r="S657" s="329">
        <v>-24523</v>
      </c>
      <c r="T657" s="329">
        <v>588600</v>
      </c>
    </row>
    <row r="658" spans="1:20">
      <c r="A658" s="335">
        <v>97004</v>
      </c>
      <c r="B658" s="328" t="s">
        <v>3711</v>
      </c>
      <c r="C658" s="239">
        <v>1.5400000000000002E-5</v>
      </c>
      <c r="D658" s="239">
        <v>8.4999999999999999E-6</v>
      </c>
      <c r="E658" s="329">
        <v>42056</v>
      </c>
      <c r="F658" s="329"/>
      <c r="G658" s="329">
        <v>7201</v>
      </c>
      <c r="H658" s="329">
        <v>1026</v>
      </c>
      <c r="I658" s="329">
        <v>6854</v>
      </c>
      <c r="J658" s="329">
        <v>10950</v>
      </c>
      <c r="K658" s="329">
        <v>26031</v>
      </c>
      <c r="L658" s="329"/>
      <c r="M658" s="329">
        <v>0</v>
      </c>
      <c r="N658" s="329">
        <v>0</v>
      </c>
      <c r="O658" s="329">
        <v>0</v>
      </c>
      <c r="P658" s="329">
        <v>0</v>
      </c>
      <c r="Q658" s="329"/>
      <c r="R658" s="329">
        <v>18734</v>
      </c>
      <c r="S658" s="329">
        <v>3800</v>
      </c>
      <c r="T658" s="329">
        <v>22534</v>
      </c>
    </row>
    <row r="659" spans="1:20">
      <c r="A659" s="335">
        <v>97005</v>
      </c>
      <c r="B659" s="328" t="s">
        <v>1349</v>
      </c>
      <c r="C659" s="239">
        <v>2.0100000000000001E-5</v>
      </c>
      <c r="D659" s="239">
        <v>2.7500000000000001E-5</v>
      </c>
      <c r="E659" s="329">
        <v>54892</v>
      </c>
      <c r="F659" s="329"/>
      <c r="G659" s="329">
        <v>9399</v>
      </c>
      <c r="H659" s="329">
        <v>1339</v>
      </c>
      <c r="I659" s="329">
        <v>8946</v>
      </c>
      <c r="J659" s="329">
        <v>6045</v>
      </c>
      <c r="K659" s="329">
        <v>25729</v>
      </c>
      <c r="L659" s="329"/>
      <c r="M659" s="329">
        <v>0</v>
      </c>
      <c r="N659" s="329">
        <v>0</v>
      </c>
      <c r="O659" s="329">
        <v>2125</v>
      </c>
      <c r="P659" s="329">
        <v>2125</v>
      </c>
      <c r="Q659" s="329"/>
      <c r="R659" s="329">
        <v>24452</v>
      </c>
      <c r="S659" s="329">
        <v>3013</v>
      </c>
      <c r="T659" s="329">
        <v>27465</v>
      </c>
    </row>
    <row r="660" spans="1:20">
      <c r="A660" s="335">
        <v>97008</v>
      </c>
      <c r="B660" s="328" t="s">
        <v>1350</v>
      </c>
      <c r="C660" s="239">
        <v>2.8699999999999998E-4</v>
      </c>
      <c r="D660" s="239">
        <v>2.766E-4</v>
      </c>
      <c r="E660" s="329">
        <v>783775</v>
      </c>
      <c r="F660" s="329"/>
      <c r="G660" s="329">
        <v>134202</v>
      </c>
      <c r="H660" s="329">
        <v>19118</v>
      </c>
      <c r="I660" s="329">
        <v>127742</v>
      </c>
      <c r="J660" s="329">
        <v>14195</v>
      </c>
      <c r="K660" s="329">
        <v>295257</v>
      </c>
      <c r="L660" s="329"/>
      <c r="M660" s="329">
        <v>0</v>
      </c>
      <c r="N660" s="329">
        <v>0</v>
      </c>
      <c r="O660" s="329">
        <v>3097</v>
      </c>
      <c r="P660" s="329">
        <v>3097</v>
      </c>
      <c r="Q660" s="329"/>
      <c r="R660" s="329">
        <v>349139</v>
      </c>
      <c r="S660" s="329">
        <v>1987</v>
      </c>
      <c r="T660" s="329">
        <v>351126</v>
      </c>
    </row>
    <row r="661" spans="1:20">
      <c r="A661" s="335">
        <v>97011</v>
      </c>
      <c r="B661" s="328" t="s">
        <v>1352</v>
      </c>
      <c r="C661" s="239">
        <v>1.8362999999999999E-3</v>
      </c>
      <c r="D661" s="239">
        <v>1.9426999999999999E-3</v>
      </c>
      <c r="E661" s="329">
        <v>5014792</v>
      </c>
      <c r="F661" s="329"/>
      <c r="G661" s="329">
        <v>858659</v>
      </c>
      <c r="H661" s="329">
        <v>122318</v>
      </c>
      <c r="I661" s="329">
        <v>817328</v>
      </c>
      <c r="J661" s="329">
        <v>0</v>
      </c>
      <c r="K661" s="329">
        <v>1798305</v>
      </c>
      <c r="L661" s="329"/>
      <c r="M661" s="329">
        <v>0</v>
      </c>
      <c r="N661" s="329">
        <v>0</v>
      </c>
      <c r="O661" s="329">
        <v>124899</v>
      </c>
      <c r="P661" s="329">
        <v>124899</v>
      </c>
      <c r="Q661" s="329"/>
      <c r="R661" s="329">
        <v>2233883</v>
      </c>
      <c r="S661" s="329">
        <v>-57488</v>
      </c>
      <c r="T661" s="329">
        <v>2176395</v>
      </c>
    </row>
    <row r="662" spans="1:20" ht="30">
      <c r="A662" s="335">
        <v>97012</v>
      </c>
      <c r="B662" s="328" t="s">
        <v>3712</v>
      </c>
      <c r="C662" s="239">
        <v>2.97E-5</v>
      </c>
      <c r="D662" s="239">
        <v>3.0700000000000001E-5</v>
      </c>
      <c r="E662" s="329">
        <v>81108</v>
      </c>
      <c r="F662" s="329"/>
      <c r="G662" s="329">
        <v>13888</v>
      </c>
      <c r="H662" s="329">
        <v>1978</v>
      </c>
      <c r="I662" s="329">
        <v>13219</v>
      </c>
      <c r="J662" s="329">
        <v>6037</v>
      </c>
      <c r="K662" s="329">
        <v>35122</v>
      </c>
      <c r="L662" s="329"/>
      <c r="M662" s="329">
        <v>0</v>
      </c>
      <c r="N662" s="329">
        <v>0</v>
      </c>
      <c r="O662" s="329">
        <v>0</v>
      </c>
      <c r="P662" s="329">
        <v>0</v>
      </c>
      <c r="Q662" s="329"/>
      <c r="R662" s="329">
        <v>36130</v>
      </c>
      <c r="S662" s="329">
        <v>2295</v>
      </c>
      <c r="T662" s="329">
        <v>38425</v>
      </c>
    </row>
    <row r="663" spans="1:20">
      <c r="A663" s="335">
        <v>97013</v>
      </c>
      <c r="B663" s="328" t="s">
        <v>1354</v>
      </c>
      <c r="C663" s="239">
        <v>9.0000000000000002E-6</v>
      </c>
      <c r="D663" s="239">
        <v>2.19E-5</v>
      </c>
      <c r="E663" s="329">
        <v>24578</v>
      </c>
      <c r="F663" s="329"/>
      <c r="G663" s="329">
        <v>4208</v>
      </c>
      <c r="H663" s="329">
        <v>599</v>
      </c>
      <c r="I663" s="329">
        <v>4006</v>
      </c>
      <c r="J663" s="329">
        <v>4178</v>
      </c>
      <c r="K663" s="329">
        <v>12991</v>
      </c>
      <c r="L663" s="329"/>
      <c r="M663" s="329">
        <v>0</v>
      </c>
      <c r="N663" s="329">
        <v>0</v>
      </c>
      <c r="O663" s="329">
        <v>8450</v>
      </c>
      <c r="P663" s="329">
        <v>8450</v>
      </c>
      <c r="Q663" s="329"/>
      <c r="R663" s="329">
        <v>10949</v>
      </c>
      <c r="S663" s="329">
        <v>1084</v>
      </c>
      <c r="T663" s="329">
        <v>12033</v>
      </c>
    </row>
    <row r="664" spans="1:20">
      <c r="A664" s="335">
        <v>97015</v>
      </c>
      <c r="B664" s="328" t="s">
        <v>1355</v>
      </c>
      <c r="C664" s="239">
        <v>4.3900000000000003E-5</v>
      </c>
      <c r="D664" s="239">
        <v>5.1700000000000003E-5</v>
      </c>
      <c r="E664" s="329">
        <v>119887</v>
      </c>
      <c r="F664" s="329"/>
      <c r="G664" s="329">
        <v>20528</v>
      </c>
      <c r="H664" s="329">
        <v>2925</v>
      </c>
      <c r="I664" s="329">
        <v>19540</v>
      </c>
      <c r="J664" s="329">
        <v>6170</v>
      </c>
      <c r="K664" s="329">
        <v>49163</v>
      </c>
      <c r="L664" s="329"/>
      <c r="M664" s="329">
        <v>0</v>
      </c>
      <c r="N664" s="329">
        <v>0</v>
      </c>
      <c r="O664" s="329">
        <v>7097</v>
      </c>
      <c r="P664" s="329">
        <v>7097</v>
      </c>
      <c r="Q664" s="329"/>
      <c r="R664" s="329">
        <v>53405</v>
      </c>
      <c r="S664" s="329">
        <v>1272</v>
      </c>
      <c r="T664" s="329">
        <v>54677</v>
      </c>
    </row>
    <row r="665" spans="1:20" ht="30">
      <c r="A665" s="335">
        <v>97018</v>
      </c>
      <c r="B665" s="328" t="s">
        <v>3713</v>
      </c>
      <c r="C665" s="239">
        <v>1.6399999999999999E-5</v>
      </c>
      <c r="D665" s="239">
        <v>7.4000000000000003E-6</v>
      </c>
      <c r="E665" s="329">
        <v>44787</v>
      </c>
      <c r="F665" s="329"/>
      <c r="G665" s="329">
        <v>7669</v>
      </c>
      <c r="H665" s="329">
        <v>1092</v>
      </c>
      <c r="I665" s="329">
        <v>7300</v>
      </c>
      <c r="J665" s="329">
        <v>10886</v>
      </c>
      <c r="K665" s="329">
        <v>26947</v>
      </c>
      <c r="L665" s="329"/>
      <c r="M665" s="329">
        <v>0</v>
      </c>
      <c r="N665" s="329">
        <v>0</v>
      </c>
      <c r="O665" s="329">
        <v>0</v>
      </c>
      <c r="P665" s="329">
        <v>0</v>
      </c>
      <c r="Q665" s="329"/>
      <c r="R665" s="329">
        <v>19951</v>
      </c>
      <c r="S665" s="329">
        <v>4440</v>
      </c>
      <c r="T665" s="329">
        <v>24391</v>
      </c>
    </row>
    <row r="666" spans="1:20">
      <c r="A666" s="335">
        <v>97101</v>
      </c>
      <c r="B666" s="328" t="s">
        <v>1357</v>
      </c>
      <c r="C666" s="239">
        <v>2.7334E-3</v>
      </c>
      <c r="D666" s="239">
        <v>2.4805000000000001E-3</v>
      </c>
      <c r="E666" s="329">
        <v>7464702</v>
      </c>
      <c r="F666" s="329"/>
      <c r="G666" s="329">
        <v>1278146</v>
      </c>
      <c r="H666" s="329">
        <v>182075</v>
      </c>
      <c r="I666" s="329">
        <v>1216623</v>
      </c>
      <c r="J666" s="329">
        <v>286055</v>
      </c>
      <c r="K666" s="329">
        <v>2962899</v>
      </c>
      <c r="L666" s="329"/>
      <c r="M666" s="329">
        <v>0</v>
      </c>
      <c r="N666" s="329">
        <v>0</v>
      </c>
      <c r="O666" s="329">
        <v>0</v>
      </c>
      <c r="P666" s="329">
        <v>0</v>
      </c>
      <c r="Q666" s="329"/>
      <c r="R666" s="329">
        <v>3325217</v>
      </c>
      <c r="S666" s="329">
        <v>81275</v>
      </c>
      <c r="T666" s="329">
        <v>3406492</v>
      </c>
    </row>
    <row r="667" spans="1:20">
      <c r="A667" s="335">
        <v>97104</v>
      </c>
      <c r="B667" s="328" t="s">
        <v>1358</v>
      </c>
      <c r="C667" s="239">
        <v>5.41E-5</v>
      </c>
      <c r="D667" s="239">
        <v>5.6100000000000002E-5</v>
      </c>
      <c r="E667" s="329">
        <v>147743</v>
      </c>
      <c r="F667" s="329"/>
      <c r="G667" s="329">
        <v>25297</v>
      </c>
      <c r="H667" s="329">
        <v>3604</v>
      </c>
      <c r="I667" s="329">
        <v>24080</v>
      </c>
      <c r="J667" s="329">
        <v>8231</v>
      </c>
      <c r="K667" s="329">
        <v>61212</v>
      </c>
      <c r="L667" s="329"/>
      <c r="M667" s="329">
        <v>0</v>
      </c>
      <c r="N667" s="329">
        <v>0</v>
      </c>
      <c r="O667" s="329">
        <v>0</v>
      </c>
      <c r="P667" s="329">
        <v>0</v>
      </c>
      <c r="Q667" s="329"/>
      <c r="R667" s="329">
        <v>65813</v>
      </c>
      <c r="S667" s="329">
        <v>5598</v>
      </c>
      <c r="T667" s="329">
        <v>71411</v>
      </c>
    </row>
    <row r="668" spans="1:20">
      <c r="A668" s="335">
        <v>97111</v>
      </c>
      <c r="B668" s="328" t="s">
        <v>1359</v>
      </c>
      <c r="C668" s="239">
        <v>2.8489999999999999E-4</v>
      </c>
      <c r="D668" s="239">
        <v>2.7779999999999998E-4</v>
      </c>
      <c r="E668" s="329">
        <v>778040</v>
      </c>
      <c r="F668" s="329"/>
      <c r="G668" s="329">
        <v>133220</v>
      </c>
      <c r="H668" s="329">
        <v>18977</v>
      </c>
      <c r="I668" s="329">
        <v>126808</v>
      </c>
      <c r="J668" s="329">
        <v>304</v>
      </c>
      <c r="K668" s="329">
        <v>279309</v>
      </c>
      <c r="L668" s="329"/>
      <c r="M668" s="329">
        <v>0</v>
      </c>
      <c r="N668" s="329">
        <v>0</v>
      </c>
      <c r="O668" s="329">
        <v>26123</v>
      </c>
      <c r="P668" s="329">
        <v>26123</v>
      </c>
      <c r="Q668" s="329"/>
      <c r="R668" s="329">
        <v>346585</v>
      </c>
      <c r="S668" s="329">
        <v>-12867</v>
      </c>
      <c r="T668" s="329">
        <v>333718</v>
      </c>
    </row>
    <row r="669" spans="1:20">
      <c r="A669" s="335">
        <v>97121</v>
      </c>
      <c r="B669" s="328" t="s">
        <v>1360</v>
      </c>
      <c r="C669" s="239">
        <v>1.493E-4</v>
      </c>
      <c r="D669" s="239">
        <v>1.2980000000000001E-4</v>
      </c>
      <c r="E669" s="329">
        <v>407727</v>
      </c>
      <c r="F669" s="329"/>
      <c r="G669" s="329">
        <v>69813</v>
      </c>
      <c r="H669" s="329">
        <v>9945</v>
      </c>
      <c r="I669" s="329">
        <v>66453</v>
      </c>
      <c r="J669" s="329">
        <v>34362</v>
      </c>
      <c r="K669" s="329">
        <v>180573</v>
      </c>
      <c r="L669" s="329"/>
      <c r="M669" s="329">
        <v>0</v>
      </c>
      <c r="N669" s="329">
        <v>0</v>
      </c>
      <c r="O669" s="329">
        <v>2511</v>
      </c>
      <c r="P669" s="329">
        <v>2511</v>
      </c>
      <c r="Q669" s="329"/>
      <c r="R669" s="329">
        <v>181625</v>
      </c>
      <c r="S669" s="329">
        <v>7620</v>
      </c>
      <c r="T669" s="329">
        <v>189245</v>
      </c>
    </row>
    <row r="670" spans="1:20">
      <c r="A670" s="335">
        <v>97131</v>
      </c>
      <c r="B670" s="328" t="s">
        <v>1361</v>
      </c>
      <c r="C670" s="239">
        <v>6.5379999999999995E-4</v>
      </c>
      <c r="D670" s="239">
        <v>6.0749999999999997E-4</v>
      </c>
      <c r="E670" s="329">
        <v>1785477</v>
      </c>
      <c r="F670" s="329"/>
      <c r="G670" s="329">
        <v>305719</v>
      </c>
      <c r="H670" s="329">
        <v>43550</v>
      </c>
      <c r="I670" s="329">
        <v>291003</v>
      </c>
      <c r="J670" s="329">
        <v>19533</v>
      </c>
      <c r="K670" s="329">
        <v>659805</v>
      </c>
      <c r="L670" s="329"/>
      <c r="M670" s="329">
        <v>0</v>
      </c>
      <c r="N670" s="329">
        <v>0</v>
      </c>
      <c r="O670" s="329">
        <v>88627</v>
      </c>
      <c r="P670" s="329">
        <v>88627</v>
      </c>
      <c r="Q670" s="329"/>
      <c r="R670" s="329">
        <v>795356</v>
      </c>
      <c r="S670" s="329">
        <v>-20082</v>
      </c>
      <c r="T670" s="329">
        <v>775274</v>
      </c>
    </row>
    <row r="671" spans="1:20">
      <c r="A671" s="335">
        <v>97201</v>
      </c>
      <c r="B671" s="328" t="s">
        <v>1362</v>
      </c>
      <c r="C671" s="239">
        <v>5.8529999999999997E-4</v>
      </c>
      <c r="D671" s="239">
        <v>5.1219999999999998E-4</v>
      </c>
      <c r="E671" s="329">
        <v>1598409</v>
      </c>
      <c r="F671" s="329"/>
      <c r="G671" s="329">
        <v>273688</v>
      </c>
      <c r="H671" s="329">
        <v>38988</v>
      </c>
      <c r="I671" s="329">
        <v>260514</v>
      </c>
      <c r="J671" s="329">
        <v>76290</v>
      </c>
      <c r="K671" s="329">
        <v>649480</v>
      </c>
      <c r="L671" s="329"/>
      <c r="M671" s="329">
        <v>0</v>
      </c>
      <c r="N671" s="329">
        <v>0</v>
      </c>
      <c r="O671" s="329">
        <v>934</v>
      </c>
      <c r="P671" s="329">
        <v>934</v>
      </c>
      <c r="Q671" s="329"/>
      <c r="R671" s="329">
        <v>712025</v>
      </c>
      <c r="S671" s="329">
        <v>26960</v>
      </c>
      <c r="T671" s="329">
        <v>738985</v>
      </c>
    </row>
    <row r="672" spans="1:20" s="340" customFormat="1">
      <c r="A672" s="335">
        <v>97211</v>
      </c>
      <c r="B672" s="328" t="s">
        <v>1363</v>
      </c>
      <c r="C672" s="239">
        <v>8.14E-5</v>
      </c>
      <c r="D672" s="239">
        <v>1.4569999999999999E-4</v>
      </c>
      <c r="E672" s="329">
        <v>222297</v>
      </c>
      <c r="F672" s="329"/>
      <c r="G672" s="329">
        <v>38063</v>
      </c>
      <c r="H672" s="329">
        <v>5422</v>
      </c>
      <c r="I672" s="329">
        <v>36231</v>
      </c>
      <c r="J672" s="329">
        <v>6850</v>
      </c>
      <c r="K672" s="329">
        <v>86566</v>
      </c>
      <c r="L672" s="329"/>
      <c r="M672" s="329">
        <v>0</v>
      </c>
      <c r="N672" s="329">
        <v>0</v>
      </c>
      <c r="O672" s="329">
        <v>40119</v>
      </c>
      <c r="P672" s="329">
        <v>40119</v>
      </c>
      <c r="Q672" s="329"/>
      <c r="R672" s="329">
        <v>99024</v>
      </c>
      <c r="S672" s="329">
        <v>-9150</v>
      </c>
      <c r="T672" s="329">
        <v>89874</v>
      </c>
    </row>
    <row r="673" spans="1:20">
      <c r="A673" s="335">
        <v>97213</v>
      </c>
      <c r="B673" s="328" t="s">
        <v>2769</v>
      </c>
      <c r="C673" s="239">
        <v>3.5500000000000002E-5</v>
      </c>
      <c r="D673" s="239">
        <v>4.5599999999999997E-5</v>
      </c>
      <c r="E673" s="329">
        <v>96948</v>
      </c>
      <c r="F673" s="329"/>
      <c r="G673" s="329">
        <v>16600</v>
      </c>
      <c r="H673" s="329">
        <v>2364</v>
      </c>
      <c r="I673" s="329">
        <v>15801</v>
      </c>
      <c r="J673" s="329">
        <v>6055</v>
      </c>
      <c r="K673" s="329">
        <v>40820</v>
      </c>
      <c r="L673" s="329"/>
      <c r="M673" s="329">
        <v>0</v>
      </c>
      <c r="N673" s="329">
        <v>0</v>
      </c>
      <c r="O673" s="329">
        <v>5103</v>
      </c>
      <c r="P673" s="329">
        <v>5103</v>
      </c>
      <c r="Q673" s="329"/>
      <c r="R673" s="329">
        <v>43186</v>
      </c>
      <c r="S673" s="329">
        <v>1150</v>
      </c>
      <c r="T673" s="329">
        <v>44336</v>
      </c>
    </row>
    <row r="674" spans="1:20">
      <c r="A674" s="335">
        <v>97217</v>
      </c>
      <c r="B674" s="328" t="s">
        <v>1365</v>
      </c>
      <c r="C674" s="239">
        <v>5.5999999999999997E-6</v>
      </c>
      <c r="D674" s="239">
        <v>4.8999999999999997E-6</v>
      </c>
      <c r="E674" s="329">
        <v>15293</v>
      </c>
      <c r="F674" s="329"/>
      <c r="G674" s="329">
        <v>2619</v>
      </c>
      <c r="H674" s="329">
        <v>373</v>
      </c>
      <c r="I674" s="329">
        <v>2493</v>
      </c>
      <c r="J674" s="329">
        <v>8547</v>
      </c>
      <c r="K674" s="329">
        <v>14032</v>
      </c>
      <c r="L674" s="329"/>
      <c r="M674" s="329">
        <v>0</v>
      </c>
      <c r="N674" s="329">
        <v>0</v>
      </c>
      <c r="O674" s="329">
        <v>0</v>
      </c>
      <c r="P674" s="329">
        <v>0</v>
      </c>
      <c r="Q674" s="329"/>
      <c r="R674" s="329">
        <v>6812</v>
      </c>
      <c r="S674" s="329">
        <v>4118</v>
      </c>
      <c r="T674" s="329">
        <v>10930</v>
      </c>
    </row>
    <row r="675" spans="1:20">
      <c r="A675" s="335">
        <v>97221</v>
      </c>
      <c r="B675" s="328" t="s">
        <v>1366</v>
      </c>
      <c r="C675" s="239">
        <v>1.24E-5</v>
      </c>
      <c r="D675" s="239">
        <v>3.9999999999999998E-6</v>
      </c>
      <c r="E675" s="329">
        <v>33863</v>
      </c>
      <c r="F675" s="329"/>
      <c r="G675" s="329">
        <v>5798</v>
      </c>
      <c r="H675" s="329">
        <v>826</v>
      </c>
      <c r="I675" s="329">
        <v>5519</v>
      </c>
      <c r="J675" s="329">
        <v>10782</v>
      </c>
      <c r="K675" s="329">
        <v>22925</v>
      </c>
      <c r="L675" s="329"/>
      <c r="M675" s="329">
        <v>0</v>
      </c>
      <c r="N675" s="329">
        <v>0</v>
      </c>
      <c r="O675" s="329">
        <v>0</v>
      </c>
      <c r="P675" s="329">
        <v>0</v>
      </c>
      <c r="Q675" s="329"/>
      <c r="R675" s="329">
        <v>15085</v>
      </c>
      <c r="S675" s="329">
        <v>4204</v>
      </c>
      <c r="T675" s="329">
        <v>19289</v>
      </c>
    </row>
    <row r="676" spans="1:20">
      <c r="A676" s="335">
        <v>97301</v>
      </c>
      <c r="B676" s="328" t="s">
        <v>1367</v>
      </c>
      <c r="C676" s="239">
        <v>2.3942E-3</v>
      </c>
      <c r="D676" s="239">
        <v>2.4616E-3</v>
      </c>
      <c r="E676" s="329">
        <v>6538373</v>
      </c>
      <c r="F676" s="329"/>
      <c r="G676" s="329">
        <v>1119535</v>
      </c>
      <c r="H676" s="329">
        <v>159480</v>
      </c>
      <c r="I676" s="329">
        <v>1065646</v>
      </c>
      <c r="J676" s="329">
        <v>0</v>
      </c>
      <c r="K676" s="329">
        <v>2344661</v>
      </c>
      <c r="L676" s="329"/>
      <c r="M676" s="329">
        <v>0</v>
      </c>
      <c r="N676" s="329">
        <v>0</v>
      </c>
      <c r="O676" s="329">
        <v>50293</v>
      </c>
      <c r="P676" s="329">
        <v>50293</v>
      </c>
      <c r="Q676" s="329"/>
      <c r="R676" s="329">
        <v>2912575</v>
      </c>
      <c r="S676" s="329">
        <v>-14030</v>
      </c>
      <c r="T676" s="329">
        <v>2898545</v>
      </c>
    </row>
    <row r="677" spans="1:20">
      <c r="A677" s="335">
        <v>97304</v>
      </c>
      <c r="B677" s="328" t="s">
        <v>3714</v>
      </c>
      <c r="C677" s="239">
        <v>1.4399999999999999E-5</v>
      </c>
      <c r="D677" s="239">
        <v>1.5299999999999999E-5</v>
      </c>
      <c r="E677" s="329">
        <v>39325</v>
      </c>
      <c r="F677" s="329"/>
      <c r="G677" s="329">
        <v>6733</v>
      </c>
      <c r="H677" s="329">
        <v>959</v>
      </c>
      <c r="I677" s="329">
        <v>6409</v>
      </c>
      <c r="J677" s="329">
        <v>11209</v>
      </c>
      <c r="K677" s="329">
        <v>25310</v>
      </c>
      <c r="L677" s="329"/>
      <c r="M677" s="329">
        <v>0</v>
      </c>
      <c r="N677" s="329">
        <v>0</v>
      </c>
      <c r="O677" s="329">
        <v>0</v>
      </c>
      <c r="P677" s="329">
        <v>0</v>
      </c>
      <c r="Q677" s="329"/>
      <c r="R677" s="329">
        <v>17518</v>
      </c>
      <c r="S677" s="329">
        <v>4892</v>
      </c>
      <c r="T677" s="329">
        <v>22410</v>
      </c>
    </row>
    <row r="678" spans="1:20">
      <c r="A678" s="335">
        <v>97311</v>
      </c>
      <c r="B678" s="328" t="s">
        <v>1369</v>
      </c>
      <c r="C678" s="239">
        <v>9.0109999999999995E-4</v>
      </c>
      <c r="D678" s="239">
        <v>8.8420000000000002E-4</v>
      </c>
      <c r="E678" s="329">
        <v>2460834</v>
      </c>
      <c r="F678" s="329"/>
      <c r="G678" s="329">
        <v>421357</v>
      </c>
      <c r="H678" s="329">
        <v>60024</v>
      </c>
      <c r="I678" s="329">
        <v>401075</v>
      </c>
      <c r="J678" s="329">
        <v>0</v>
      </c>
      <c r="K678" s="329">
        <v>882456</v>
      </c>
      <c r="L678" s="329"/>
      <c r="M678" s="329">
        <v>0</v>
      </c>
      <c r="N678" s="329">
        <v>0</v>
      </c>
      <c r="O678" s="329">
        <v>51438</v>
      </c>
      <c r="P678" s="329">
        <v>51438</v>
      </c>
      <c r="Q678" s="329"/>
      <c r="R678" s="329">
        <v>1096200</v>
      </c>
      <c r="S678" s="329">
        <v>-31608</v>
      </c>
      <c r="T678" s="329">
        <v>1064592</v>
      </c>
    </row>
    <row r="679" spans="1:20">
      <c r="A679" s="335">
        <v>97401</v>
      </c>
      <c r="B679" s="328" t="s">
        <v>1370</v>
      </c>
      <c r="C679" s="239">
        <v>7.0562999999999997E-3</v>
      </c>
      <c r="D679" s="239">
        <v>7.1440000000000002E-3</v>
      </c>
      <c r="E679" s="329">
        <v>19270205</v>
      </c>
      <c r="F679" s="329"/>
      <c r="G679" s="329">
        <v>3299547</v>
      </c>
      <c r="H679" s="329">
        <v>470027</v>
      </c>
      <c r="I679" s="329">
        <v>3140724</v>
      </c>
      <c r="J679" s="329">
        <v>136552</v>
      </c>
      <c r="K679" s="329">
        <v>7046850</v>
      </c>
      <c r="L679" s="329"/>
      <c r="M679" s="329">
        <v>0</v>
      </c>
      <c r="N679" s="329">
        <v>0</v>
      </c>
      <c r="O679" s="329">
        <v>14697</v>
      </c>
      <c r="P679" s="329">
        <v>14697</v>
      </c>
      <c r="Q679" s="329"/>
      <c r="R679" s="329">
        <v>8584081</v>
      </c>
      <c r="S679" s="329">
        <v>36785</v>
      </c>
      <c r="T679" s="329">
        <v>8620866</v>
      </c>
    </row>
    <row r="680" spans="1:20">
      <c r="A680" s="335">
        <v>97402</v>
      </c>
      <c r="B680" s="328" t="s">
        <v>3715</v>
      </c>
      <c r="C680" s="239">
        <v>4.1999999999999998E-5</v>
      </c>
      <c r="D680" s="239">
        <v>4.8399999999999997E-5</v>
      </c>
      <c r="E680" s="329">
        <v>114699</v>
      </c>
      <c r="F680" s="329"/>
      <c r="G680" s="329">
        <v>19639</v>
      </c>
      <c r="H680" s="329">
        <v>2798</v>
      </c>
      <c r="I680" s="329">
        <v>18694</v>
      </c>
      <c r="J680" s="329">
        <v>7239</v>
      </c>
      <c r="K680" s="329">
        <v>48370</v>
      </c>
      <c r="L680" s="329"/>
      <c r="M680" s="329">
        <v>0</v>
      </c>
      <c r="N680" s="329">
        <v>0</v>
      </c>
      <c r="O680" s="329">
        <v>37</v>
      </c>
      <c r="P680" s="329">
        <v>37</v>
      </c>
      <c r="Q680" s="329"/>
      <c r="R680" s="329">
        <v>51094</v>
      </c>
      <c r="S680" s="329">
        <v>5663</v>
      </c>
      <c r="T680" s="329">
        <v>56757</v>
      </c>
    </row>
    <row r="681" spans="1:20">
      <c r="A681" s="335">
        <v>97404</v>
      </c>
      <c r="B681" s="328" t="s">
        <v>1372</v>
      </c>
      <c r="C681" s="239">
        <v>2.1240000000000001E-4</v>
      </c>
      <c r="D681" s="239">
        <v>2.0320000000000001E-4</v>
      </c>
      <c r="E681" s="329">
        <v>580048</v>
      </c>
      <c r="F681" s="329"/>
      <c r="G681" s="329">
        <v>99319</v>
      </c>
      <c r="H681" s="329">
        <v>14148</v>
      </c>
      <c r="I681" s="329">
        <v>94538</v>
      </c>
      <c r="J681" s="329">
        <v>804</v>
      </c>
      <c r="K681" s="329">
        <v>208809</v>
      </c>
      <c r="L681" s="329"/>
      <c r="M681" s="329">
        <v>0</v>
      </c>
      <c r="N681" s="329">
        <v>0</v>
      </c>
      <c r="O681" s="329">
        <v>16299</v>
      </c>
      <c r="P681" s="329">
        <v>16299</v>
      </c>
      <c r="Q681" s="329"/>
      <c r="R681" s="329">
        <v>258387</v>
      </c>
      <c r="S681" s="329">
        <v>-9548</v>
      </c>
      <c r="T681" s="329">
        <v>248839</v>
      </c>
    </row>
    <row r="682" spans="1:20">
      <c r="A682" s="335">
        <v>97405</v>
      </c>
      <c r="B682" s="328" t="s">
        <v>1373</v>
      </c>
      <c r="C682" s="239">
        <v>1.106E-4</v>
      </c>
      <c r="D682" s="239">
        <v>1.156E-4</v>
      </c>
      <c r="E682" s="329">
        <v>302040</v>
      </c>
      <c r="F682" s="329"/>
      <c r="G682" s="329">
        <v>51717</v>
      </c>
      <c r="H682" s="329">
        <v>7367</v>
      </c>
      <c r="I682" s="329">
        <v>49228</v>
      </c>
      <c r="J682" s="329">
        <v>28536</v>
      </c>
      <c r="K682" s="329">
        <v>136848</v>
      </c>
      <c r="L682" s="329"/>
      <c r="M682" s="329">
        <v>0</v>
      </c>
      <c r="N682" s="329">
        <v>0</v>
      </c>
      <c r="O682" s="329">
        <v>0</v>
      </c>
      <c r="P682" s="329">
        <v>0</v>
      </c>
      <c r="Q682" s="329"/>
      <c r="R682" s="329">
        <v>134546</v>
      </c>
      <c r="S682" s="329">
        <v>14994</v>
      </c>
      <c r="T682" s="329">
        <v>149540</v>
      </c>
    </row>
    <row r="683" spans="1:20">
      <c r="A683" s="335">
        <v>97408</v>
      </c>
      <c r="B683" s="328" t="s">
        <v>3716</v>
      </c>
      <c r="C683" s="239">
        <v>3.8999999999999999E-5</v>
      </c>
      <c r="D683" s="239">
        <v>4.3000000000000002E-5</v>
      </c>
      <c r="E683" s="329">
        <v>106506</v>
      </c>
      <c r="F683" s="329"/>
      <c r="G683" s="329">
        <v>18237</v>
      </c>
      <c r="H683" s="329">
        <v>2598</v>
      </c>
      <c r="I683" s="329">
        <v>17359</v>
      </c>
      <c r="J683" s="329">
        <v>6662</v>
      </c>
      <c r="K683" s="329">
        <v>44856</v>
      </c>
      <c r="L683" s="329"/>
      <c r="M683" s="329">
        <v>0</v>
      </c>
      <c r="N683" s="329">
        <v>0</v>
      </c>
      <c r="O683" s="329">
        <v>0</v>
      </c>
      <c r="P683" s="329">
        <v>0</v>
      </c>
      <c r="Q683" s="329"/>
      <c r="R683" s="329">
        <v>47444</v>
      </c>
      <c r="S683" s="329">
        <v>3520</v>
      </c>
      <c r="T683" s="329">
        <v>50964</v>
      </c>
    </row>
    <row r="684" spans="1:20">
      <c r="A684" s="335">
        <v>97411</v>
      </c>
      <c r="B684" s="328" t="s">
        <v>1375</v>
      </c>
      <c r="C684" s="239">
        <v>6.3997999999999998E-3</v>
      </c>
      <c r="D684" s="239">
        <v>6.2385000000000001E-3</v>
      </c>
      <c r="E684" s="329">
        <v>17477355</v>
      </c>
      <c r="F684" s="329"/>
      <c r="G684" s="329">
        <v>2992566</v>
      </c>
      <c r="H684" s="329">
        <v>426298</v>
      </c>
      <c r="I684" s="329">
        <v>2848519</v>
      </c>
      <c r="J684" s="329">
        <v>33760</v>
      </c>
      <c r="K684" s="329">
        <v>6301143</v>
      </c>
      <c r="L684" s="329"/>
      <c r="M684" s="329">
        <v>0</v>
      </c>
      <c r="N684" s="329">
        <v>0</v>
      </c>
      <c r="O684" s="329">
        <v>372381</v>
      </c>
      <c r="P684" s="329">
        <v>372381</v>
      </c>
      <c r="Q684" s="329"/>
      <c r="R684" s="329">
        <v>7785440</v>
      </c>
      <c r="S684" s="329">
        <v>-286709</v>
      </c>
      <c r="T684" s="329">
        <v>7498731</v>
      </c>
    </row>
    <row r="685" spans="1:20">
      <c r="A685" s="335">
        <v>97412</v>
      </c>
      <c r="B685" s="328" t="s">
        <v>1376</v>
      </c>
      <c r="C685" s="239">
        <v>4.4903E-3</v>
      </c>
      <c r="D685" s="239">
        <v>4.6245000000000001E-3</v>
      </c>
      <c r="E685" s="329">
        <v>12262659</v>
      </c>
      <c r="F685" s="329"/>
      <c r="G685" s="329">
        <v>2099678</v>
      </c>
      <c r="H685" s="329">
        <v>299104</v>
      </c>
      <c r="I685" s="329">
        <v>1998610</v>
      </c>
      <c r="J685" s="329">
        <v>147881</v>
      </c>
      <c r="K685" s="329">
        <v>4545273</v>
      </c>
      <c r="L685" s="329"/>
      <c r="M685" s="329">
        <v>0</v>
      </c>
      <c r="N685" s="329">
        <v>0</v>
      </c>
      <c r="O685" s="329">
        <v>93373</v>
      </c>
      <c r="P685" s="329">
        <v>93373</v>
      </c>
      <c r="Q685" s="329"/>
      <c r="R685" s="329">
        <v>5462508</v>
      </c>
      <c r="S685" s="329">
        <v>62154</v>
      </c>
      <c r="T685" s="329">
        <v>5524662</v>
      </c>
    </row>
    <row r="686" spans="1:20">
      <c r="A686" s="335">
        <v>97413</v>
      </c>
      <c r="B686" s="328" t="s">
        <v>1377</v>
      </c>
      <c r="C686" s="239">
        <v>2.812E-4</v>
      </c>
      <c r="D686" s="239">
        <v>2.7E-4</v>
      </c>
      <c r="E686" s="329">
        <v>767935</v>
      </c>
      <c r="F686" s="329"/>
      <c r="G686" s="329">
        <v>131490</v>
      </c>
      <c r="H686" s="329">
        <v>18731</v>
      </c>
      <c r="I686" s="329">
        <v>125161</v>
      </c>
      <c r="J686" s="329">
        <v>44625</v>
      </c>
      <c r="K686" s="329">
        <v>320007</v>
      </c>
      <c r="L686" s="329"/>
      <c r="M686" s="329">
        <v>0</v>
      </c>
      <c r="N686" s="329">
        <v>0</v>
      </c>
      <c r="O686" s="329">
        <v>0</v>
      </c>
      <c r="P686" s="329">
        <v>0</v>
      </c>
      <c r="Q686" s="329"/>
      <c r="R686" s="329">
        <v>342083</v>
      </c>
      <c r="S686" s="329">
        <v>12847</v>
      </c>
      <c r="T686" s="329">
        <v>354930</v>
      </c>
    </row>
    <row r="687" spans="1:20">
      <c r="A687" s="335">
        <v>97421</v>
      </c>
      <c r="B687" s="328" t="s">
        <v>1378</v>
      </c>
      <c r="C687" s="239">
        <v>4.3120000000000002E-4</v>
      </c>
      <c r="D687" s="239">
        <v>4.4739999999999998E-4</v>
      </c>
      <c r="E687" s="329">
        <v>1177574</v>
      </c>
      <c r="F687" s="329"/>
      <c r="G687" s="329">
        <v>201630</v>
      </c>
      <c r="H687" s="329">
        <v>28722</v>
      </c>
      <c r="I687" s="329">
        <v>191925</v>
      </c>
      <c r="J687" s="329">
        <v>8998</v>
      </c>
      <c r="K687" s="329">
        <v>431275</v>
      </c>
      <c r="L687" s="329"/>
      <c r="M687" s="329">
        <v>0</v>
      </c>
      <c r="N687" s="329">
        <v>0</v>
      </c>
      <c r="O687" s="329">
        <v>25214</v>
      </c>
      <c r="P687" s="329">
        <v>25214</v>
      </c>
      <c r="Q687" s="329"/>
      <c r="R687" s="329">
        <v>524560</v>
      </c>
      <c r="S687" s="329">
        <v>-9185</v>
      </c>
      <c r="T687" s="329">
        <v>515375</v>
      </c>
    </row>
    <row r="688" spans="1:20">
      <c r="A688" s="335">
        <v>97423</v>
      </c>
      <c r="B688" s="328" t="s">
        <v>1379</v>
      </c>
      <c r="C688" s="239">
        <v>4.3000000000000002E-5</v>
      </c>
      <c r="D688" s="239">
        <v>3.93E-5</v>
      </c>
      <c r="E688" s="329">
        <v>117430</v>
      </c>
      <c r="F688" s="329"/>
      <c r="G688" s="329">
        <v>20107</v>
      </c>
      <c r="H688" s="329">
        <v>2864</v>
      </c>
      <c r="I688" s="329">
        <v>19139</v>
      </c>
      <c r="J688" s="329">
        <v>44588</v>
      </c>
      <c r="K688" s="329">
        <v>86698</v>
      </c>
      <c r="L688" s="329"/>
      <c r="M688" s="329">
        <v>0</v>
      </c>
      <c r="N688" s="329">
        <v>0</v>
      </c>
      <c r="O688" s="329">
        <v>0</v>
      </c>
      <c r="P688" s="329">
        <v>0</v>
      </c>
      <c r="Q688" s="329"/>
      <c r="R688" s="329">
        <v>52310</v>
      </c>
      <c r="S688" s="329">
        <v>20446</v>
      </c>
      <c r="T688" s="329">
        <v>72756</v>
      </c>
    </row>
    <row r="689" spans="1:20">
      <c r="A689" s="335">
        <v>97431</v>
      </c>
      <c r="B689" s="328" t="s">
        <v>1380</v>
      </c>
      <c r="C689" s="239">
        <v>8.92E-5</v>
      </c>
      <c r="D689" s="239">
        <v>1.0349999999999999E-4</v>
      </c>
      <c r="E689" s="329">
        <v>243598</v>
      </c>
      <c r="F689" s="329"/>
      <c r="G689" s="329">
        <v>41710</v>
      </c>
      <c r="H689" s="329">
        <v>5942</v>
      </c>
      <c r="I689" s="329">
        <v>39702</v>
      </c>
      <c r="J689" s="329">
        <v>12171</v>
      </c>
      <c r="K689" s="329">
        <v>99525</v>
      </c>
      <c r="L689" s="329"/>
      <c r="M689" s="329">
        <v>0</v>
      </c>
      <c r="N689" s="329">
        <v>0</v>
      </c>
      <c r="O689" s="329">
        <v>7106</v>
      </c>
      <c r="P689" s="329">
        <v>7106</v>
      </c>
      <c r="Q689" s="329"/>
      <c r="R689" s="329">
        <v>108513</v>
      </c>
      <c r="S689" s="329">
        <v>3316</v>
      </c>
      <c r="T689" s="329">
        <v>111829</v>
      </c>
    </row>
    <row r="690" spans="1:20">
      <c r="A690" s="335">
        <v>97441</v>
      </c>
      <c r="B690" s="328" t="s">
        <v>1381</v>
      </c>
      <c r="C690" s="239">
        <v>5.7899999999999998E-5</v>
      </c>
      <c r="D690" s="239">
        <v>5.2899999999999998E-5</v>
      </c>
      <c r="E690" s="329">
        <v>158120</v>
      </c>
      <c r="F690" s="329"/>
      <c r="G690" s="329">
        <v>27074</v>
      </c>
      <c r="H690" s="329">
        <v>3857</v>
      </c>
      <c r="I690" s="329">
        <v>25771</v>
      </c>
      <c r="J690" s="329">
        <v>0</v>
      </c>
      <c r="K690" s="329">
        <v>56702</v>
      </c>
      <c r="L690" s="329"/>
      <c r="M690" s="329">
        <v>0</v>
      </c>
      <c r="N690" s="329">
        <v>0</v>
      </c>
      <c r="O690" s="329">
        <v>19827</v>
      </c>
      <c r="P690" s="329">
        <v>19827</v>
      </c>
      <c r="Q690" s="329"/>
      <c r="R690" s="329">
        <v>70436</v>
      </c>
      <c r="S690" s="329">
        <v>-7836</v>
      </c>
      <c r="T690" s="329">
        <v>62600</v>
      </c>
    </row>
    <row r="691" spans="1:20">
      <c r="A691" s="335">
        <v>97451</v>
      </c>
      <c r="B691" s="328" t="s">
        <v>1382</v>
      </c>
      <c r="C691" s="239">
        <v>6.6290000000000001E-4</v>
      </c>
      <c r="D691" s="239">
        <v>6.3380000000000001E-4</v>
      </c>
      <c r="E691" s="329">
        <v>1810328</v>
      </c>
      <c r="F691" s="329"/>
      <c r="G691" s="329">
        <v>309974</v>
      </c>
      <c r="H691" s="329">
        <v>44156</v>
      </c>
      <c r="I691" s="329">
        <v>295053</v>
      </c>
      <c r="J691" s="329">
        <v>13127</v>
      </c>
      <c r="K691" s="329">
        <v>662310</v>
      </c>
      <c r="L691" s="329"/>
      <c r="M691" s="329">
        <v>0</v>
      </c>
      <c r="N691" s="329">
        <v>0</v>
      </c>
      <c r="O691" s="329">
        <v>23794</v>
      </c>
      <c r="P691" s="329">
        <v>23794</v>
      </c>
      <c r="Q691" s="329"/>
      <c r="R691" s="329">
        <v>806426</v>
      </c>
      <c r="S691" s="329">
        <v>-5099</v>
      </c>
      <c r="T691" s="329">
        <v>801327</v>
      </c>
    </row>
    <row r="692" spans="1:20">
      <c r="A692" s="335">
        <v>97471</v>
      </c>
      <c r="B692" s="328" t="s">
        <v>1385</v>
      </c>
      <c r="C692" s="239">
        <v>1.6399999999999999E-5</v>
      </c>
      <c r="D692" s="239">
        <v>1.66E-5</v>
      </c>
      <c r="E692" s="329">
        <v>44787</v>
      </c>
      <c r="F692" s="329"/>
      <c r="G692" s="329">
        <v>7669</v>
      </c>
      <c r="H692" s="329">
        <v>1092</v>
      </c>
      <c r="I692" s="329">
        <v>7300</v>
      </c>
      <c r="J692" s="329">
        <v>10800</v>
      </c>
      <c r="K692" s="329">
        <v>26861</v>
      </c>
      <c r="L692" s="329"/>
      <c r="M692" s="329">
        <v>0</v>
      </c>
      <c r="N692" s="329">
        <v>0</v>
      </c>
      <c r="O692" s="329">
        <v>0</v>
      </c>
      <c r="P692" s="329">
        <v>0</v>
      </c>
      <c r="Q692" s="329"/>
      <c r="R692" s="329">
        <v>19951</v>
      </c>
      <c r="S692" s="329">
        <v>4485</v>
      </c>
      <c r="T692" s="329">
        <v>24436</v>
      </c>
    </row>
    <row r="693" spans="1:20">
      <c r="A693" s="335">
        <v>97481</v>
      </c>
      <c r="B693" s="328" t="s">
        <v>1386</v>
      </c>
      <c r="C693" s="239">
        <v>8.9999999999999996E-7</v>
      </c>
      <c r="D693" s="239">
        <v>1.26E-5</v>
      </c>
      <c r="E693" s="329">
        <v>2458</v>
      </c>
      <c r="F693" s="329"/>
      <c r="G693" s="329">
        <v>421</v>
      </c>
      <c r="H693" s="329">
        <v>60</v>
      </c>
      <c r="I693" s="329">
        <v>401</v>
      </c>
      <c r="J693" s="329">
        <v>840</v>
      </c>
      <c r="K693" s="329">
        <v>1722</v>
      </c>
      <c r="L693" s="329"/>
      <c r="M693" s="329">
        <v>0</v>
      </c>
      <c r="N693" s="329">
        <v>0</v>
      </c>
      <c r="O693" s="329">
        <v>10056</v>
      </c>
      <c r="P693" s="329">
        <v>10056</v>
      </c>
      <c r="Q693" s="329"/>
      <c r="R693" s="329">
        <v>1095</v>
      </c>
      <c r="S693" s="329">
        <v>-1984</v>
      </c>
      <c r="T693" s="329">
        <v>-889</v>
      </c>
    </row>
    <row r="694" spans="1:20">
      <c r="A694" s="335">
        <v>97501</v>
      </c>
      <c r="B694" s="328" t="s">
        <v>1388</v>
      </c>
      <c r="C694" s="239">
        <v>1.1816999999999999E-3</v>
      </c>
      <c r="D694" s="239">
        <v>1.0767999999999999E-3</v>
      </c>
      <c r="E694" s="329">
        <v>3227131</v>
      </c>
      <c r="F694" s="329"/>
      <c r="G694" s="329">
        <v>552566</v>
      </c>
      <c r="H694" s="329">
        <v>78714</v>
      </c>
      <c r="I694" s="329">
        <v>525969</v>
      </c>
      <c r="J694" s="329">
        <v>135321</v>
      </c>
      <c r="K694" s="329">
        <v>1292570</v>
      </c>
      <c r="L694" s="329"/>
      <c r="M694" s="329">
        <v>0</v>
      </c>
      <c r="N694" s="329">
        <v>0</v>
      </c>
      <c r="O694" s="329">
        <v>2461</v>
      </c>
      <c r="P694" s="329">
        <v>2461</v>
      </c>
      <c r="Q694" s="329"/>
      <c r="R694" s="329">
        <v>1437553</v>
      </c>
      <c r="S694" s="329">
        <v>49533</v>
      </c>
      <c r="T694" s="329">
        <v>1487086</v>
      </c>
    </row>
    <row r="695" spans="1:20">
      <c r="A695" s="335">
        <v>97511</v>
      </c>
      <c r="B695" s="328" t="s">
        <v>1389</v>
      </c>
      <c r="C695" s="239">
        <v>1.9120000000000001E-4</v>
      </c>
      <c r="D695" s="239">
        <v>1.8090000000000001E-4</v>
      </c>
      <c r="E695" s="329">
        <v>522152</v>
      </c>
      <c r="F695" s="329"/>
      <c r="G695" s="329">
        <v>89406</v>
      </c>
      <c r="H695" s="329">
        <v>12736</v>
      </c>
      <c r="I695" s="329">
        <v>85102</v>
      </c>
      <c r="J695" s="329">
        <v>23269</v>
      </c>
      <c r="K695" s="329">
        <v>210513</v>
      </c>
      <c r="L695" s="329"/>
      <c r="M695" s="329">
        <v>0</v>
      </c>
      <c r="N695" s="329">
        <v>0</v>
      </c>
      <c r="O695" s="329">
        <v>20626</v>
      </c>
      <c r="P695" s="329">
        <v>20626</v>
      </c>
      <c r="Q695" s="329"/>
      <c r="R695" s="329">
        <v>232597</v>
      </c>
      <c r="S695" s="329">
        <v>1216</v>
      </c>
      <c r="T695" s="329">
        <v>233813</v>
      </c>
    </row>
    <row r="696" spans="1:20">
      <c r="A696" s="335">
        <v>97521</v>
      </c>
      <c r="B696" s="328" t="s">
        <v>1390</v>
      </c>
      <c r="C696" s="239">
        <v>1.139E-4</v>
      </c>
      <c r="D696" s="239">
        <v>1.2640000000000001E-4</v>
      </c>
      <c r="E696" s="329">
        <v>311052</v>
      </c>
      <c r="F696" s="329"/>
      <c r="G696" s="329">
        <v>53260</v>
      </c>
      <c r="H696" s="329">
        <v>7587</v>
      </c>
      <c r="I696" s="329">
        <v>50696</v>
      </c>
      <c r="J696" s="329">
        <v>0</v>
      </c>
      <c r="K696" s="329">
        <v>111543</v>
      </c>
      <c r="L696" s="329"/>
      <c r="M696" s="329">
        <v>0</v>
      </c>
      <c r="N696" s="329">
        <v>0</v>
      </c>
      <c r="O696" s="329">
        <v>18578</v>
      </c>
      <c r="P696" s="329">
        <v>18578</v>
      </c>
      <c r="Q696" s="329"/>
      <c r="R696" s="329">
        <v>138561</v>
      </c>
      <c r="S696" s="329">
        <v>-9437</v>
      </c>
      <c r="T696" s="329">
        <v>129124</v>
      </c>
    </row>
    <row r="697" spans="1:20">
      <c r="A697" s="335">
        <v>97527</v>
      </c>
      <c r="B697" s="328" t="s">
        <v>1641</v>
      </c>
      <c r="C697" s="239">
        <v>1.7E-5</v>
      </c>
      <c r="D697" s="239">
        <v>1.3999999999999999E-6</v>
      </c>
      <c r="E697" s="329">
        <v>46426</v>
      </c>
      <c r="F697" s="329"/>
      <c r="G697" s="329">
        <v>7949</v>
      </c>
      <c r="H697" s="329">
        <v>1132</v>
      </c>
      <c r="I697" s="329">
        <v>7567</v>
      </c>
      <c r="J697" s="329">
        <v>12859</v>
      </c>
      <c r="K697" s="329">
        <v>29507</v>
      </c>
      <c r="L697" s="329"/>
      <c r="M697" s="329">
        <v>0</v>
      </c>
      <c r="N697" s="329">
        <v>0</v>
      </c>
      <c r="O697" s="329">
        <v>0</v>
      </c>
      <c r="P697" s="329">
        <v>0</v>
      </c>
      <c r="Q697" s="329"/>
      <c r="R697" s="329">
        <v>20681</v>
      </c>
      <c r="S697" s="329">
        <v>3432</v>
      </c>
      <c r="T697" s="329">
        <v>24113</v>
      </c>
    </row>
    <row r="698" spans="1:20">
      <c r="A698" s="335">
        <v>97531</v>
      </c>
      <c r="B698" s="328" t="s">
        <v>1391</v>
      </c>
      <c r="C698" s="239">
        <v>8.1299999999999997E-5</v>
      </c>
      <c r="D698" s="239">
        <v>5.2800000000000003E-5</v>
      </c>
      <c r="E698" s="329">
        <v>222024</v>
      </c>
      <c r="F698" s="329"/>
      <c r="G698" s="329">
        <v>38016</v>
      </c>
      <c r="H698" s="329">
        <v>5416</v>
      </c>
      <c r="I698" s="329">
        <v>36186</v>
      </c>
      <c r="J698" s="329">
        <v>32174</v>
      </c>
      <c r="K698" s="329">
        <v>111792</v>
      </c>
      <c r="L698" s="329"/>
      <c r="M698" s="329">
        <v>0</v>
      </c>
      <c r="N698" s="329">
        <v>0</v>
      </c>
      <c r="O698" s="329">
        <v>0</v>
      </c>
      <c r="P698" s="329">
        <v>0</v>
      </c>
      <c r="Q698" s="329"/>
      <c r="R698" s="329">
        <v>98903</v>
      </c>
      <c r="S698" s="329">
        <v>6913</v>
      </c>
      <c r="T698" s="329">
        <v>105816</v>
      </c>
    </row>
    <row r="699" spans="1:20">
      <c r="A699" s="335">
        <v>97601</v>
      </c>
      <c r="B699" s="328" t="s">
        <v>1392</v>
      </c>
      <c r="C699" s="239">
        <v>5.2946E-3</v>
      </c>
      <c r="D699" s="239">
        <v>5.2467E-3</v>
      </c>
      <c r="E699" s="329">
        <v>14459140</v>
      </c>
      <c r="F699" s="329"/>
      <c r="G699" s="329">
        <v>2475771</v>
      </c>
      <c r="H699" s="329">
        <v>352679</v>
      </c>
      <c r="I699" s="329">
        <v>2356600</v>
      </c>
      <c r="J699" s="329">
        <v>95463</v>
      </c>
      <c r="K699" s="329">
        <v>5280513</v>
      </c>
      <c r="L699" s="329"/>
      <c r="M699" s="329">
        <v>0</v>
      </c>
      <c r="N699" s="329">
        <v>0</v>
      </c>
      <c r="O699" s="329">
        <v>87149</v>
      </c>
      <c r="P699" s="329">
        <v>87149</v>
      </c>
      <c r="Q699" s="329"/>
      <c r="R699" s="329">
        <v>6440950</v>
      </c>
      <c r="S699" s="329">
        <v>-1723</v>
      </c>
      <c r="T699" s="329">
        <v>6439227</v>
      </c>
    </row>
    <row r="700" spans="1:20">
      <c r="A700" s="335">
        <v>97607</v>
      </c>
      <c r="B700" s="328" t="s">
        <v>1393</v>
      </c>
      <c r="C700" s="239">
        <v>2.0699999999999998E-5</v>
      </c>
      <c r="D700" s="239">
        <v>2.23E-5</v>
      </c>
      <c r="E700" s="329">
        <v>56530</v>
      </c>
      <c r="F700" s="329"/>
      <c r="G700" s="329">
        <v>9679</v>
      </c>
      <c r="H700" s="329">
        <v>1379</v>
      </c>
      <c r="I700" s="329">
        <v>9213</v>
      </c>
      <c r="J700" s="329">
        <v>14896</v>
      </c>
      <c r="K700" s="329">
        <v>35167</v>
      </c>
      <c r="L700" s="329"/>
      <c r="M700" s="329">
        <v>0</v>
      </c>
      <c r="N700" s="329">
        <v>0</v>
      </c>
      <c r="O700" s="329">
        <v>0</v>
      </c>
      <c r="P700" s="329">
        <v>0</v>
      </c>
      <c r="Q700" s="329"/>
      <c r="R700" s="329">
        <v>25182</v>
      </c>
      <c r="S700" s="329">
        <v>6395</v>
      </c>
      <c r="T700" s="329">
        <v>31577</v>
      </c>
    </row>
    <row r="701" spans="1:20">
      <c r="A701" s="335">
        <v>97611</v>
      </c>
      <c r="B701" s="328" t="s">
        <v>1394</v>
      </c>
      <c r="C701" s="239">
        <v>2.3218000000000002E-3</v>
      </c>
      <c r="D701" s="239">
        <v>2.3620999999999998E-3</v>
      </c>
      <c r="E701" s="329">
        <v>6340655</v>
      </c>
      <c r="F701" s="329"/>
      <c r="G701" s="329">
        <v>1085681</v>
      </c>
      <c r="H701" s="329">
        <v>154657</v>
      </c>
      <c r="I701" s="329">
        <v>1033422</v>
      </c>
      <c r="J701" s="329">
        <v>0</v>
      </c>
      <c r="K701" s="329">
        <v>2273760</v>
      </c>
      <c r="L701" s="329"/>
      <c r="M701" s="329">
        <v>0</v>
      </c>
      <c r="N701" s="329">
        <v>0</v>
      </c>
      <c r="O701" s="329">
        <v>165443</v>
      </c>
      <c r="P701" s="329">
        <v>165443</v>
      </c>
      <c r="Q701" s="329"/>
      <c r="R701" s="329">
        <v>2824500</v>
      </c>
      <c r="S701" s="329">
        <v>-108412</v>
      </c>
      <c r="T701" s="329">
        <v>2716088</v>
      </c>
    </row>
    <row r="702" spans="1:20">
      <c r="A702" s="335">
        <v>97613</v>
      </c>
      <c r="B702" s="328" t="s">
        <v>2753</v>
      </c>
      <c r="C702" s="239">
        <v>8.8599999999999999E-5</v>
      </c>
      <c r="D702" s="239">
        <v>1.155E-4</v>
      </c>
      <c r="E702" s="329">
        <v>241960</v>
      </c>
      <c r="F702" s="329"/>
      <c r="G702" s="329">
        <v>41430</v>
      </c>
      <c r="H702" s="329">
        <v>5902</v>
      </c>
      <c r="I702" s="329">
        <v>39435</v>
      </c>
      <c r="J702" s="329">
        <v>4716</v>
      </c>
      <c r="K702" s="329">
        <v>91483</v>
      </c>
      <c r="L702" s="329"/>
      <c r="M702" s="329">
        <v>0</v>
      </c>
      <c r="N702" s="329">
        <v>0</v>
      </c>
      <c r="O702" s="329">
        <v>9919</v>
      </c>
      <c r="P702" s="329">
        <v>9919</v>
      </c>
      <c r="Q702" s="329"/>
      <c r="R702" s="329">
        <v>107783</v>
      </c>
      <c r="S702" s="329">
        <v>-1471</v>
      </c>
      <c r="T702" s="329">
        <v>106312</v>
      </c>
    </row>
    <row r="703" spans="1:20">
      <c r="A703" s="335">
        <v>97621</v>
      </c>
      <c r="B703" s="328" t="s">
        <v>1396</v>
      </c>
      <c r="C703" s="239">
        <v>4.3960000000000001E-4</v>
      </c>
      <c r="D703" s="239">
        <v>4.4650000000000001E-4</v>
      </c>
      <c r="E703" s="329">
        <v>1200513</v>
      </c>
      <c r="F703" s="329"/>
      <c r="G703" s="329">
        <v>205558</v>
      </c>
      <c r="H703" s="329">
        <v>29283</v>
      </c>
      <c r="I703" s="329">
        <v>195664</v>
      </c>
      <c r="J703" s="329">
        <v>0</v>
      </c>
      <c r="K703" s="329">
        <v>430505</v>
      </c>
      <c r="L703" s="329"/>
      <c r="M703" s="329">
        <v>0</v>
      </c>
      <c r="N703" s="329">
        <v>0</v>
      </c>
      <c r="O703" s="329">
        <v>77314</v>
      </c>
      <c r="P703" s="329">
        <v>77314</v>
      </c>
      <c r="Q703" s="329"/>
      <c r="R703" s="329">
        <v>534779</v>
      </c>
      <c r="S703" s="329">
        <v>-27561</v>
      </c>
      <c r="T703" s="329">
        <v>507218</v>
      </c>
    </row>
    <row r="704" spans="1:20">
      <c r="A704" s="335">
        <v>97623</v>
      </c>
      <c r="B704" s="328" t="s">
        <v>1397</v>
      </c>
      <c r="C704" s="239">
        <v>2.5400000000000001E-5</v>
      </c>
      <c r="D704" s="239">
        <v>2.4000000000000001E-5</v>
      </c>
      <c r="E704" s="329">
        <v>69365</v>
      </c>
      <c r="F704" s="329"/>
      <c r="G704" s="329">
        <v>11877</v>
      </c>
      <c r="H704" s="329">
        <v>1692</v>
      </c>
      <c r="I704" s="329">
        <v>11305</v>
      </c>
      <c r="J704" s="329">
        <v>944</v>
      </c>
      <c r="K704" s="329">
        <v>25818</v>
      </c>
      <c r="L704" s="329"/>
      <c r="M704" s="329">
        <v>0</v>
      </c>
      <c r="N704" s="329">
        <v>0</v>
      </c>
      <c r="O704" s="329">
        <v>4023</v>
      </c>
      <c r="P704" s="329">
        <v>4023</v>
      </c>
      <c r="Q704" s="329"/>
      <c r="R704" s="329">
        <v>30899</v>
      </c>
      <c r="S704" s="329">
        <v>1243</v>
      </c>
      <c r="T704" s="329">
        <v>32142</v>
      </c>
    </row>
    <row r="705" spans="1:20">
      <c r="A705" s="335">
        <v>97627</v>
      </c>
      <c r="B705" s="328" t="s">
        <v>1398</v>
      </c>
      <c r="C705" s="239">
        <v>9.3000000000000007E-6</v>
      </c>
      <c r="D705" s="239">
        <v>9.5000000000000005E-6</v>
      </c>
      <c r="E705" s="329">
        <v>25398</v>
      </c>
      <c r="F705" s="329"/>
      <c r="G705" s="329">
        <v>4349</v>
      </c>
      <c r="H705" s="329">
        <v>620</v>
      </c>
      <c r="I705" s="329">
        <v>4139</v>
      </c>
      <c r="J705" s="329">
        <v>1149</v>
      </c>
      <c r="K705" s="329">
        <v>10257</v>
      </c>
      <c r="L705" s="329"/>
      <c r="M705" s="329">
        <v>0</v>
      </c>
      <c r="N705" s="329">
        <v>0</v>
      </c>
      <c r="O705" s="329">
        <v>0</v>
      </c>
      <c r="P705" s="329">
        <v>0</v>
      </c>
      <c r="Q705" s="329"/>
      <c r="R705" s="329">
        <v>11314</v>
      </c>
      <c r="S705" s="329">
        <v>-9</v>
      </c>
      <c r="T705" s="329">
        <v>11305</v>
      </c>
    </row>
    <row r="706" spans="1:20">
      <c r="A706" s="335">
        <v>97631</v>
      </c>
      <c r="B706" s="328" t="s">
        <v>1399</v>
      </c>
      <c r="C706" s="239">
        <v>1.972E-4</v>
      </c>
      <c r="D706" s="239">
        <v>2.0909999999999999E-4</v>
      </c>
      <c r="E706" s="329">
        <v>538538</v>
      </c>
      <c r="F706" s="329"/>
      <c r="G706" s="329">
        <v>92211</v>
      </c>
      <c r="H706" s="329">
        <v>13136</v>
      </c>
      <c r="I706" s="329">
        <v>87773</v>
      </c>
      <c r="J706" s="329">
        <v>1180</v>
      </c>
      <c r="K706" s="329">
        <v>194300</v>
      </c>
      <c r="L706" s="329"/>
      <c r="M706" s="329">
        <v>0</v>
      </c>
      <c r="N706" s="329">
        <v>0</v>
      </c>
      <c r="O706" s="329">
        <v>19455</v>
      </c>
      <c r="P706" s="329">
        <v>19455</v>
      </c>
      <c r="Q706" s="329"/>
      <c r="R706" s="329">
        <v>239896</v>
      </c>
      <c r="S706" s="329">
        <v>-2980</v>
      </c>
      <c r="T706" s="329">
        <v>236916</v>
      </c>
    </row>
    <row r="707" spans="1:20">
      <c r="A707" s="335">
        <v>97637</v>
      </c>
      <c r="B707" s="328" t="s">
        <v>1400</v>
      </c>
      <c r="C707" s="239">
        <v>3.1999999999999999E-6</v>
      </c>
      <c r="D707" s="239">
        <v>3.7000000000000002E-6</v>
      </c>
      <c r="E707" s="329">
        <v>8739</v>
      </c>
      <c r="F707" s="329"/>
      <c r="G707" s="329">
        <v>1496</v>
      </c>
      <c r="H707" s="329">
        <v>213</v>
      </c>
      <c r="I707" s="329">
        <v>1424</v>
      </c>
      <c r="J707" s="329">
        <v>1804</v>
      </c>
      <c r="K707" s="329">
        <v>4937</v>
      </c>
      <c r="L707" s="329"/>
      <c r="M707" s="329">
        <v>0</v>
      </c>
      <c r="N707" s="329">
        <v>0</v>
      </c>
      <c r="O707" s="329">
        <v>10</v>
      </c>
      <c r="P707" s="329">
        <v>10</v>
      </c>
      <c r="Q707" s="329"/>
      <c r="R707" s="329">
        <v>3893</v>
      </c>
      <c r="S707" s="329">
        <v>705</v>
      </c>
      <c r="T707" s="329">
        <v>4598</v>
      </c>
    </row>
    <row r="708" spans="1:20">
      <c r="A708" s="335">
        <v>97641</v>
      </c>
      <c r="B708" s="328" t="s">
        <v>1401</v>
      </c>
      <c r="C708" s="239">
        <v>4.5399999999999999E-5</v>
      </c>
      <c r="D708" s="239">
        <v>5.1400000000000003E-5</v>
      </c>
      <c r="E708" s="329">
        <v>123984</v>
      </c>
      <c r="F708" s="329"/>
      <c r="G708" s="329">
        <v>21229</v>
      </c>
      <c r="H708" s="329">
        <v>3024</v>
      </c>
      <c r="I708" s="329">
        <v>20207</v>
      </c>
      <c r="J708" s="329">
        <v>4892</v>
      </c>
      <c r="K708" s="329">
        <v>49352</v>
      </c>
      <c r="L708" s="329"/>
      <c r="M708" s="329">
        <v>0</v>
      </c>
      <c r="N708" s="329">
        <v>0</v>
      </c>
      <c r="O708" s="329">
        <v>6215</v>
      </c>
      <c r="P708" s="329">
        <v>6215</v>
      </c>
      <c r="Q708" s="329"/>
      <c r="R708" s="329">
        <v>55230</v>
      </c>
      <c r="S708" s="329">
        <v>2961</v>
      </c>
      <c r="T708" s="329">
        <v>58191</v>
      </c>
    </row>
    <row r="709" spans="1:20">
      <c r="A709" s="335">
        <v>97651</v>
      </c>
      <c r="B709" s="328" t="s">
        <v>1402</v>
      </c>
      <c r="C709" s="239">
        <v>5.2329999999999998E-4</v>
      </c>
      <c r="D709" s="239">
        <v>5.1929999999999999E-4</v>
      </c>
      <c r="E709" s="329">
        <v>1429091</v>
      </c>
      <c r="F709" s="329"/>
      <c r="G709" s="329">
        <v>244697</v>
      </c>
      <c r="H709" s="329">
        <v>34857</v>
      </c>
      <c r="I709" s="329">
        <v>232918</v>
      </c>
      <c r="J709" s="329">
        <v>0</v>
      </c>
      <c r="K709" s="329">
        <v>512472</v>
      </c>
      <c r="L709" s="329"/>
      <c r="M709" s="329">
        <v>0</v>
      </c>
      <c r="N709" s="329">
        <v>0</v>
      </c>
      <c r="O709" s="329">
        <v>44727</v>
      </c>
      <c r="P709" s="329">
        <v>44727</v>
      </c>
      <c r="Q709" s="329"/>
      <c r="R709" s="329">
        <v>636601</v>
      </c>
      <c r="S709" s="329">
        <v>-18676</v>
      </c>
      <c r="T709" s="329">
        <v>617925</v>
      </c>
    </row>
    <row r="710" spans="1:20">
      <c r="A710" s="335">
        <v>97661</v>
      </c>
      <c r="B710" s="328" t="s">
        <v>1403</v>
      </c>
      <c r="C710" s="239">
        <v>5.3300000000000001E-5</v>
      </c>
      <c r="D710" s="239">
        <v>4.3999999999999999E-5</v>
      </c>
      <c r="E710" s="329">
        <v>145558</v>
      </c>
      <c r="F710" s="329"/>
      <c r="G710" s="329">
        <v>24923</v>
      </c>
      <c r="H710" s="329">
        <v>3550</v>
      </c>
      <c r="I710" s="329">
        <v>23724</v>
      </c>
      <c r="J710" s="329">
        <v>11766</v>
      </c>
      <c r="K710" s="329">
        <v>63963</v>
      </c>
      <c r="L710" s="329"/>
      <c r="M710" s="329">
        <v>0</v>
      </c>
      <c r="N710" s="329">
        <v>0</v>
      </c>
      <c r="O710" s="329">
        <v>1455</v>
      </c>
      <c r="P710" s="329">
        <v>1455</v>
      </c>
      <c r="Q710" s="329"/>
      <c r="R710" s="329">
        <v>64840</v>
      </c>
      <c r="S710" s="329">
        <v>3751</v>
      </c>
      <c r="T710" s="329">
        <v>68591</v>
      </c>
    </row>
    <row r="711" spans="1:20">
      <c r="A711" s="335">
        <v>97701</v>
      </c>
      <c r="B711" s="328" t="s">
        <v>1404</v>
      </c>
      <c r="C711" s="239">
        <v>2.4578E-3</v>
      </c>
      <c r="D711" s="239">
        <v>2.5590000000000001E-3</v>
      </c>
      <c r="E711" s="329">
        <v>6712060</v>
      </c>
      <c r="F711" s="329"/>
      <c r="G711" s="329">
        <v>1149275</v>
      </c>
      <c r="H711" s="329">
        <v>163717</v>
      </c>
      <c r="I711" s="329">
        <v>1093954</v>
      </c>
      <c r="J711" s="329">
        <v>33100</v>
      </c>
      <c r="K711" s="329">
        <v>2440046</v>
      </c>
      <c r="L711" s="329"/>
      <c r="M711" s="329">
        <v>0</v>
      </c>
      <c r="N711" s="329">
        <v>0</v>
      </c>
      <c r="O711" s="329">
        <v>84502</v>
      </c>
      <c r="P711" s="329">
        <v>84502</v>
      </c>
      <c r="Q711" s="329"/>
      <c r="R711" s="329">
        <v>2989946</v>
      </c>
      <c r="S711" s="329">
        <v>-2965</v>
      </c>
      <c r="T711" s="329">
        <v>2986981</v>
      </c>
    </row>
    <row r="712" spans="1:20">
      <c r="A712" s="335">
        <v>97705</v>
      </c>
      <c r="B712" s="328" t="s">
        <v>1405</v>
      </c>
      <c r="C712" s="239">
        <v>3.1699999999999998E-5</v>
      </c>
      <c r="D712" s="239">
        <v>4.5500000000000001E-5</v>
      </c>
      <c r="E712" s="329">
        <v>86570</v>
      </c>
      <c r="F712" s="329"/>
      <c r="G712" s="329">
        <v>14823</v>
      </c>
      <c r="H712" s="329">
        <v>2112</v>
      </c>
      <c r="I712" s="329">
        <v>14110</v>
      </c>
      <c r="J712" s="329">
        <v>715</v>
      </c>
      <c r="K712" s="329">
        <v>31760</v>
      </c>
      <c r="L712" s="329"/>
      <c r="M712" s="329">
        <v>0</v>
      </c>
      <c r="N712" s="329">
        <v>0</v>
      </c>
      <c r="O712" s="329">
        <v>12170</v>
      </c>
      <c r="P712" s="329">
        <v>12170</v>
      </c>
      <c r="Q712" s="329"/>
      <c r="R712" s="329">
        <v>38563</v>
      </c>
      <c r="S712" s="329">
        <v>-4612</v>
      </c>
      <c r="T712" s="329">
        <v>33951</v>
      </c>
    </row>
    <row r="713" spans="1:20">
      <c r="A713" s="335">
        <v>97711</v>
      </c>
      <c r="B713" s="328" t="s">
        <v>1406</v>
      </c>
      <c r="C713" s="239">
        <v>8.5930000000000002E-4</v>
      </c>
      <c r="D713" s="239">
        <v>9.1239999999999995E-4</v>
      </c>
      <c r="E713" s="329">
        <v>2346681</v>
      </c>
      <c r="F713" s="329"/>
      <c r="G713" s="329">
        <v>401811</v>
      </c>
      <c r="H713" s="329">
        <v>57239</v>
      </c>
      <c r="I713" s="329">
        <v>382470</v>
      </c>
      <c r="J713" s="329">
        <v>8237</v>
      </c>
      <c r="K713" s="329">
        <v>849757</v>
      </c>
      <c r="L713" s="329"/>
      <c r="M713" s="329">
        <v>0</v>
      </c>
      <c r="N713" s="329">
        <v>0</v>
      </c>
      <c r="O713" s="329">
        <v>44103</v>
      </c>
      <c r="P713" s="329">
        <v>44103</v>
      </c>
      <c r="Q713" s="329"/>
      <c r="R713" s="329">
        <v>1045350</v>
      </c>
      <c r="S713" s="329">
        <v>-13458</v>
      </c>
      <c r="T713" s="329">
        <v>1031892</v>
      </c>
    </row>
    <row r="714" spans="1:20">
      <c r="A714" s="335">
        <v>97713</v>
      </c>
      <c r="B714" s="328" t="s">
        <v>1407</v>
      </c>
      <c r="C714" s="239">
        <v>5.0399999999999999E-5</v>
      </c>
      <c r="D714" s="239">
        <v>5.0500000000000001E-5</v>
      </c>
      <c r="E714" s="329">
        <v>137638</v>
      </c>
      <c r="F714" s="329"/>
      <c r="G714" s="329">
        <v>23567</v>
      </c>
      <c r="H714" s="329">
        <v>3357</v>
      </c>
      <c r="I714" s="329">
        <v>22433</v>
      </c>
      <c r="J714" s="329">
        <v>3325</v>
      </c>
      <c r="K714" s="329">
        <v>52682</v>
      </c>
      <c r="L714" s="329"/>
      <c r="M714" s="329">
        <v>0</v>
      </c>
      <c r="N714" s="329">
        <v>0</v>
      </c>
      <c r="O714" s="329">
        <v>6530</v>
      </c>
      <c r="P714" s="329">
        <v>6530</v>
      </c>
      <c r="Q714" s="329"/>
      <c r="R714" s="329">
        <v>61312</v>
      </c>
      <c r="S714" s="329">
        <v>-4414</v>
      </c>
      <c r="T714" s="329">
        <v>56898</v>
      </c>
    </row>
    <row r="715" spans="1:20">
      <c r="A715" s="335">
        <v>97717</v>
      </c>
      <c r="B715" s="328" t="s">
        <v>1408</v>
      </c>
      <c r="C715" s="239">
        <v>5.4E-6</v>
      </c>
      <c r="D715" s="239">
        <v>5.3000000000000001E-6</v>
      </c>
      <c r="E715" s="329">
        <v>14747</v>
      </c>
      <c r="F715" s="329"/>
      <c r="G715" s="329">
        <v>2525</v>
      </c>
      <c r="H715" s="329">
        <v>360</v>
      </c>
      <c r="I715" s="329">
        <v>2404</v>
      </c>
      <c r="J715" s="329">
        <v>573</v>
      </c>
      <c r="K715" s="329">
        <v>5862</v>
      </c>
      <c r="L715" s="329"/>
      <c r="M715" s="329">
        <v>0</v>
      </c>
      <c r="N715" s="329">
        <v>0</v>
      </c>
      <c r="O715" s="329">
        <v>886</v>
      </c>
      <c r="P715" s="329">
        <v>886</v>
      </c>
      <c r="Q715" s="329"/>
      <c r="R715" s="329">
        <v>6569</v>
      </c>
      <c r="S715" s="329">
        <v>-227</v>
      </c>
      <c r="T715" s="329">
        <v>6342</v>
      </c>
    </row>
    <row r="716" spans="1:20">
      <c r="A716" s="335">
        <v>97721</v>
      </c>
      <c r="B716" s="328" t="s">
        <v>1409</v>
      </c>
      <c r="C716" s="239">
        <v>5.5699999999999999E-4</v>
      </c>
      <c r="D716" s="239">
        <v>5.9069999999999999E-4</v>
      </c>
      <c r="E716" s="329">
        <v>1521124</v>
      </c>
      <c r="F716" s="329"/>
      <c r="G716" s="329">
        <v>260455</v>
      </c>
      <c r="H716" s="329">
        <v>37102</v>
      </c>
      <c r="I716" s="329">
        <v>247918</v>
      </c>
      <c r="J716" s="329">
        <v>6173</v>
      </c>
      <c r="K716" s="329">
        <v>551648</v>
      </c>
      <c r="L716" s="329"/>
      <c r="M716" s="329">
        <v>0</v>
      </c>
      <c r="N716" s="329">
        <v>0</v>
      </c>
      <c r="O716" s="329">
        <v>47608</v>
      </c>
      <c r="P716" s="329">
        <v>47608</v>
      </c>
      <c r="Q716" s="329"/>
      <c r="R716" s="329">
        <v>677598</v>
      </c>
      <c r="S716" s="329">
        <v>-18510</v>
      </c>
      <c r="T716" s="329">
        <v>659088</v>
      </c>
    </row>
    <row r="717" spans="1:20">
      <c r="A717" s="335">
        <v>97727</v>
      </c>
      <c r="B717" s="328" t="s">
        <v>1410</v>
      </c>
      <c r="C717" s="239">
        <v>1.8600000000000001E-5</v>
      </c>
      <c r="D717" s="239">
        <v>2.0599999999999999E-5</v>
      </c>
      <c r="E717" s="329">
        <v>50795</v>
      </c>
      <c r="F717" s="329"/>
      <c r="G717" s="329">
        <v>8697</v>
      </c>
      <c r="H717" s="329">
        <v>1239</v>
      </c>
      <c r="I717" s="329">
        <v>8279</v>
      </c>
      <c r="J717" s="329">
        <v>0</v>
      </c>
      <c r="K717" s="329">
        <v>18215</v>
      </c>
      <c r="L717" s="329"/>
      <c r="M717" s="329">
        <v>0</v>
      </c>
      <c r="N717" s="329">
        <v>0</v>
      </c>
      <c r="O717" s="329">
        <v>881</v>
      </c>
      <c r="P717" s="329">
        <v>881</v>
      </c>
      <c r="Q717" s="329"/>
      <c r="R717" s="329">
        <v>22627</v>
      </c>
      <c r="S717" s="329">
        <v>-805</v>
      </c>
      <c r="T717" s="329">
        <v>21822</v>
      </c>
    </row>
    <row r="718" spans="1:20">
      <c r="A718" s="335">
        <v>97731</v>
      </c>
      <c r="B718" s="328" t="s">
        <v>1411</v>
      </c>
      <c r="C718" s="239">
        <v>3.82E-5</v>
      </c>
      <c r="D718" s="239">
        <v>3.3200000000000001E-5</v>
      </c>
      <c r="E718" s="329">
        <v>104321</v>
      </c>
      <c r="F718" s="329"/>
      <c r="G718" s="329">
        <v>17862</v>
      </c>
      <c r="H718" s="329">
        <v>2544</v>
      </c>
      <c r="I718" s="329">
        <v>17003</v>
      </c>
      <c r="J718" s="329">
        <v>7888</v>
      </c>
      <c r="K718" s="329">
        <v>45297</v>
      </c>
      <c r="L718" s="329"/>
      <c r="M718" s="329">
        <v>0</v>
      </c>
      <c r="N718" s="329">
        <v>0</v>
      </c>
      <c r="O718" s="329">
        <v>0</v>
      </c>
      <c r="P718" s="329">
        <v>0</v>
      </c>
      <c r="Q718" s="329"/>
      <c r="R718" s="329">
        <v>46471</v>
      </c>
      <c r="S718" s="329">
        <v>4081</v>
      </c>
      <c r="T718" s="329">
        <v>50552</v>
      </c>
    </row>
    <row r="719" spans="1:20">
      <c r="A719" s="335">
        <v>97801</v>
      </c>
      <c r="B719" s="328" t="s">
        <v>1412</v>
      </c>
      <c r="C719" s="239">
        <v>6.0489000000000003E-3</v>
      </c>
      <c r="D719" s="239">
        <v>6.5702E-3</v>
      </c>
      <c r="E719" s="329">
        <v>16519074</v>
      </c>
      <c r="F719" s="329"/>
      <c r="G719" s="329">
        <v>2828484</v>
      </c>
      <c r="H719" s="329">
        <v>402924</v>
      </c>
      <c r="I719" s="329">
        <v>2692335</v>
      </c>
      <c r="J719" s="329">
        <v>0</v>
      </c>
      <c r="K719" s="329">
        <v>5923743</v>
      </c>
      <c r="L719" s="329"/>
      <c r="M719" s="329">
        <v>0</v>
      </c>
      <c r="N719" s="329">
        <v>0</v>
      </c>
      <c r="O719" s="329">
        <v>642269</v>
      </c>
      <c r="P719" s="329">
        <v>642269</v>
      </c>
      <c r="Q719" s="329"/>
      <c r="R719" s="329">
        <v>7358565</v>
      </c>
      <c r="S719" s="329">
        <v>-255015</v>
      </c>
      <c r="T719" s="329">
        <v>7103550</v>
      </c>
    </row>
    <row r="720" spans="1:20">
      <c r="A720" s="335">
        <v>97802</v>
      </c>
      <c r="B720" s="328" t="s">
        <v>1413</v>
      </c>
      <c r="C720" s="239">
        <v>1.9029999999999999E-4</v>
      </c>
      <c r="D720" s="239">
        <v>1.684E-4</v>
      </c>
      <c r="E720" s="329">
        <v>519694</v>
      </c>
      <c r="F720" s="329"/>
      <c r="G720" s="329">
        <v>88985</v>
      </c>
      <c r="H720" s="329">
        <v>12676</v>
      </c>
      <c r="I720" s="329">
        <v>84702</v>
      </c>
      <c r="J720" s="329">
        <v>22459</v>
      </c>
      <c r="K720" s="329">
        <v>208822</v>
      </c>
      <c r="L720" s="329"/>
      <c r="M720" s="329">
        <v>0</v>
      </c>
      <c r="N720" s="329">
        <v>0</v>
      </c>
      <c r="O720" s="329">
        <v>7514</v>
      </c>
      <c r="P720" s="329">
        <v>7514</v>
      </c>
      <c r="Q720" s="329"/>
      <c r="R720" s="329">
        <v>231502</v>
      </c>
      <c r="S720" s="329">
        <v>-3338</v>
      </c>
      <c r="T720" s="329">
        <v>228164</v>
      </c>
    </row>
    <row r="721" spans="1:20">
      <c r="A721" s="335">
        <v>97803</v>
      </c>
      <c r="B721" s="328" t="s">
        <v>1414</v>
      </c>
      <c r="C721" s="239">
        <v>7.7899999999999996E-5</v>
      </c>
      <c r="D721" s="239">
        <v>8.1699999999999994E-5</v>
      </c>
      <c r="E721" s="329">
        <v>212739</v>
      </c>
      <c r="F721" s="329"/>
      <c r="G721" s="329">
        <v>36426</v>
      </c>
      <c r="H721" s="329">
        <v>5189</v>
      </c>
      <c r="I721" s="329">
        <v>34673</v>
      </c>
      <c r="J721" s="329">
        <v>3693</v>
      </c>
      <c r="K721" s="329">
        <v>79981</v>
      </c>
      <c r="L721" s="329"/>
      <c r="M721" s="329">
        <v>0</v>
      </c>
      <c r="N721" s="329">
        <v>0</v>
      </c>
      <c r="O721" s="329">
        <v>3354</v>
      </c>
      <c r="P721" s="329">
        <v>3354</v>
      </c>
      <c r="Q721" s="329"/>
      <c r="R721" s="329">
        <v>94766</v>
      </c>
      <c r="S721" s="329">
        <v>151</v>
      </c>
      <c r="T721" s="329">
        <v>94917</v>
      </c>
    </row>
    <row r="722" spans="1:20">
      <c r="A722" s="335">
        <v>97805</v>
      </c>
      <c r="B722" s="328" t="s">
        <v>1415</v>
      </c>
      <c r="C722" s="239">
        <v>8.6500000000000002E-5</v>
      </c>
      <c r="D722" s="239">
        <v>8.2700000000000004E-5</v>
      </c>
      <c r="E722" s="329">
        <v>236225</v>
      </c>
      <c r="F722" s="329"/>
      <c r="G722" s="329">
        <v>40448</v>
      </c>
      <c r="H722" s="329">
        <v>5762</v>
      </c>
      <c r="I722" s="329">
        <v>38501</v>
      </c>
      <c r="J722" s="329">
        <v>8007</v>
      </c>
      <c r="K722" s="329">
        <v>92718</v>
      </c>
      <c r="L722" s="329"/>
      <c r="M722" s="329">
        <v>0</v>
      </c>
      <c r="N722" s="329">
        <v>0</v>
      </c>
      <c r="O722" s="329">
        <v>0</v>
      </c>
      <c r="P722" s="329">
        <v>0</v>
      </c>
      <c r="Q722" s="329"/>
      <c r="R722" s="329">
        <v>105228</v>
      </c>
      <c r="S722" s="329">
        <v>5463</v>
      </c>
      <c r="T722" s="329">
        <v>110691</v>
      </c>
    </row>
    <row r="723" spans="1:20">
      <c r="A723" s="335">
        <v>97811</v>
      </c>
      <c r="B723" s="328" t="s">
        <v>1416</v>
      </c>
      <c r="C723" s="239">
        <v>2.4080999999999998E-3</v>
      </c>
      <c r="D723" s="239">
        <v>2.4342999999999999E-3</v>
      </c>
      <c r="E723" s="329">
        <v>6576333</v>
      </c>
      <c r="F723" s="329"/>
      <c r="G723" s="329">
        <v>1126035</v>
      </c>
      <c r="H723" s="329">
        <v>160406</v>
      </c>
      <c r="I723" s="329">
        <v>1071833</v>
      </c>
      <c r="J723" s="329">
        <v>0</v>
      </c>
      <c r="K723" s="329">
        <v>2358274</v>
      </c>
      <c r="L723" s="329"/>
      <c r="M723" s="329">
        <v>0</v>
      </c>
      <c r="N723" s="329">
        <v>0</v>
      </c>
      <c r="O723" s="329">
        <v>52940</v>
      </c>
      <c r="P723" s="329">
        <v>52940</v>
      </c>
      <c r="Q723" s="329"/>
      <c r="R723" s="329">
        <v>2929485</v>
      </c>
      <c r="S723" s="329">
        <v>-69072</v>
      </c>
      <c r="T723" s="329">
        <v>2860413</v>
      </c>
    </row>
    <row r="724" spans="1:20">
      <c r="A724" s="335">
        <v>97817</v>
      </c>
      <c r="B724" s="328" t="s">
        <v>1417</v>
      </c>
      <c r="C724" s="239">
        <v>1.7499999999999998E-5</v>
      </c>
      <c r="D724" s="239">
        <v>1.8199999999999999E-5</v>
      </c>
      <c r="E724" s="329">
        <v>47791</v>
      </c>
      <c r="F724" s="329"/>
      <c r="G724" s="329">
        <v>8183</v>
      </c>
      <c r="H724" s="329">
        <v>1166</v>
      </c>
      <c r="I724" s="329">
        <v>7789</v>
      </c>
      <c r="J724" s="329">
        <v>12928</v>
      </c>
      <c r="K724" s="329">
        <v>30066</v>
      </c>
      <c r="L724" s="329"/>
      <c r="M724" s="329">
        <v>0</v>
      </c>
      <c r="N724" s="329">
        <v>0</v>
      </c>
      <c r="O724" s="329">
        <v>0</v>
      </c>
      <c r="P724" s="329">
        <v>0</v>
      </c>
      <c r="Q724" s="329"/>
      <c r="R724" s="329">
        <v>21289</v>
      </c>
      <c r="S724" s="329">
        <v>4700</v>
      </c>
      <c r="T724" s="329">
        <v>25989</v>
      </c>
    </row>
    <row r="725" spans="1:20">
      <c r="A725" s="335">
        <v>97818</v>
      </c>
      <c r="B725" s="328" t="s">
        <v>2804</v>
      </c>
      <c r="C725" s="239">
        <v>2.4899999999999999E-5</v>
      </c>
      <c r="D725" s="239">
        <v>2.0299999999999999E-5</v>
      </c>
      <c r="E725" s="329">
        <v>68000</v>
      </c>
      <c r="F725" s="329"/>
      <c r="G725" s="329">
        <v>11643</v>
      </c>
      <c r="H725" s="329">
        <v>1658</v>
      </c>
      <c r="I725" s="329">
        <v>11083</v>
      </c>
      <c r="J725" s="329">
        <v>5468</v>
      </c>
      <c r="K725" s="329">
        <v>29852</v>
      </c>
      <c r="L725" s="329"/>
      <c r="M725" s="329">
        <v>0</v>
      </c>
      <c r="N725" s="329">
        <v>0</v>
      </c>
      <c r="O725" s="329">
        <v>737</v>
      </c>
      <c r="P725" s="329">
        <v>737</v>
      </c>
      <c r="Q725" s="329"/>
      <c r="R725" s="329">
        <v>30291</v>
      </c>
      <c r="S725" s="329">
        <v>2914</v>
      </c>
      <c r="T725" s="329">
        <v>33205</v>
      </c>
    </row>
    <row r="726" spans="1:20">
      <c r="A726" s="335">
        <v>97821</v>
      </c>
      <c r="B726" s="328" t="s">
        <v>1419</v>
      </c>
      <c r="C726" s="239">
        <v>1.329E-4</v>
      </c>
      <c r="D726" s="239">
        <v>1.071E-4</v>
      </c>
      <c r="E726" s="329">
        <v>362940</v>
      </c>
      <c r="F726" s="329"/>
      <c r="G726" s="329">
        <v>62144</v>
      </c>
      <c r="H726" s="329">
        <v>8852</v>
      </c>
      <c r="I726" s="329">
        <v>59153</v>
      </c>
      <c r="J726" s="329">
        <v>32594</v>
      </c>
      <c r="K726" s="329">
        <v>162743</v>
      </c>
      <c r="L726" s="329"/>
      <c r="M726" s="329">
        <v>0</v>
      </c>
      <c r="N726" s="329">
        <v>0</v>
      </c>
      <c r="O726" s="329">
        <v>1315</v>
      </c>
      <c r="P726" s="329">
        <v>1315</v>
      </c>
      <c r="Q726" s="329"/>
      <c r="R726" s="329">
        <v>161675</v>
      </c>
      <c r="S726" s="329">
        <v>5063</v>
      </c>
      <c r="T726" s="329">
        <v>166738</v>
      </c>
    </row>
    <row r="727" spans="1:20">
      <c r="A727" s="335">
        <v>97823</v>
      </c>
      <c r="B727" s="328" t="s">
        <v>1420</v>
      </c>
      <c r="C727" s="239">
        <v>1.5400000000000002E-5</v>
      </c>
      <c r="D727" s="239">
        <v>1.7200000000000001E-5</v>
      </c>
      <c r="E727" s="329">
        <v>42056</v>
      </c>
      <c r="F727" s="329"/>
      <c r="G727" s="329">
        <v>7201</v>
      </c>
      <c r="H727" s="329">
        <v>1026</v>
      </c>
      <c r="I727" s="329">
        <v>6854</v>
      </c>
      <c r="J727" s="329">
        <v>2981</v>
      </c>
      <c r="K727" s="329">
        <v>18062</v>
      </c>
      <c r="L727" s="329"/>
      <c r="M727" s="329">
        <v>0</v>
      </c>
      <c r="N727" s="329">
        <v>0</v>
      </c>
      <c r="O727" s="329">
        <v>1579</v>
      </c>
      <c r="P727" s="329">
        <v>1579</v>
      </c>
      <c r="Q727" s="329"/>
      <c r="R727" s="329">
        <v>18734</v>
      </c>
      <c r="S727" s="329">
        <v>555</v>
      </c>
      <c r="T727" s="329">
        <v>19289</v>
      </c>
    </row>
    <row r="728" spans="1:20">
      <c r="A728" s="335">
        <v>97831</v>
      </c>
      <c r="B728" s="328" t="s">
        <v>1421</v>
      </c>
      <c r="C728" s="239">
        <v>1.6359999999999999E-4</v>
      </c>
      <c r="D728" s="239">
        <v>1.5200000000000001E-4</v>
      </c>
      <c r="E728" s="329">
        <v>446779</v>
      </c>
      <c r="F728" s="329"/>
      <c r="G728" s="329">
        <v>76500</v>
      </c>
      <c r="H728" s="329">
        <v>10898</v>
      </c>
      <c r="I728" s="329">
        <v>72818</v>
      </c>
      <c r="J728" s="329">
        <v>24635</v>
      </c>
      <c r="K728" s="329">
        <v>184851</v>
      </c>
      <c r="L728" s="329"/>
      <c r="M728" s="329">
        <v>0</v>
      </c>
      <c r="N728" s="329">
        <v>0</v>
      </c>
      <c r="O728" s="329">
        <v>2758</v>
      </c>
      <c r="P728" s="329">
        <v>2758</v>
      </c>
      <c r="Q728" s="329"/>
      <c r="R728" s="329">
        <v>199022</v>
      </c>
      <c r="S728" s="329">
        <v>4959</v>
      </c>
      <c r="T728" s="329">
        <v>203981</v>
      </c>
    </row>
    <row r="729" spans="1:20">
      <c r="A729" s="335">
        <v>97837</v>
      </c>
      <c r="B729" s="328" t="s">
        <v>3717</v>
      </c>
      <c r="C729" s="239">
        <v>1.0000000000000001E-5</v>
      </c>
      <c r="D729" s="239">
        <v>9.3000000000000007E-6</v>
      </c>
      <c r="E729" s="329">
        <v>27309</v>
      </c>
      <c r="F729" s="329"/>
      <c r="G729" s="329">
        <v>4676</v>
      </c>
      <c r="H729" s="329">
        <v>666</v>
      </c>
      <c r="I729" s="329">
        <v>4451</v>
      </c>
      <c r="J729" s="329">
        <v>2665</v>
      </c>
      <c r="K729" s="329">
        <v>12458</v>
      </c>
      <c r="L729" s="329"/>
      <c r="M729" s="329">
        <v>0</v>
      </c>
      <c r="N729" s="329">
        <v>0</v>
      </c>
      <c r="O729" s="329">
        <v>64</v>
      </c>
      <c r="P729" s="329">
        <v>64</v>
      </c>
      <c r="Q729" s="329"/>
      <c r="R729" s="329">
        <v>12165</v>
      </c>
      <c r="S729" s="329">
        <v>1379</v>
      </c>
      <c r="T729" s="329">
        <v>13544</v>
      </c>
    </row>
    <row r="730" spans="1:20">
      <c r="A730" s="335">
        <v>97840</v>
      </c>
      <c r="B730" s="328" t="s">
        <v>1423</v>
      </c>
      <c r="C730" s="239">
        <v>1.0560000000000001E-4</v>
      </c>
      <c r="D730" s="239">
        <v>1.36E-4</v>
      </c>
      <c r="E730" s="329">
        <v>288385</v>
      </c>
      <c r="F730" s="329"/>
      <c r="G730" s="329">
        <v>49379</v>
      </c>
      <c r="H730" s="329">
        <v>7034</v>
      </c>
      <c r="I730" s="329">
        <v>47002</v>
      </c>
      <c r="J730" s="329">
        <v>74121</v>
      </c>
      <c r="K730" s="329">
        <v>177536</v>
      </c>
      <c r="L730" s="329"/>
      <c r="M730" s="329">
        <v>0</v>
      </c>
      <c r="N730" s="329">
        <v>0</v>
      </c>
      <c r="O730" s="329">
        <v>0</v>
      </c>
      <c r="P730" s="329">
        <v>0</v>
      </c>
      <c r="Q730" s="329"/>
      <c r="R730" s="329">
        <v>128464</v>
      </c>
      <c r="S730" s="329">
        <v>41344</v>
      </c>
      <c r="T730" s="329">
        <v>169808</v>
      </c>
    </row>
    <row r="731" spans="1:20">
      <c r="A731" s="335">
        <v>97841</v>
      </c>
      <c r="B731" s="328" t="s">
        <v>1424</v>
      </c>
      <c r="C731" s="239">
        <v>1.2099999999999999E-5</v>
      </c>
      <c r="D731" s="239">
        <v>1.2E-5</v>
      </c>
      <c r="E731" s="329">
        <v>33044</v>
      </c>
      <c r="F731" s="329"/>
      <c r="G731" s="329">
        <v>5658</v>
      </c>
      <c r="H731" s="329">
        <v>806</v>
      </c>
      <c r="I731" s="329">
        <v>5386</v>
      </c>
      <c r="J731" s="329">
        <v>186</v>
      </c>
      <c r="K731" s="329">
        <v>12036</v>
      </c>
      <c r="L731" s="329"/>
      <c r="M731" s="329">
        <v>0</v>
      </c>
      <c r="N731" s="329">
        <v>0</v>
      </c>
      <c r="O731" s="329">
        <v>474</v>
      </c>
      <c r="P731" s="329">
        <v>474</v>
      </c>
      <c r="Q731" s="329"/>
      <c r="R731" s="329">
        <v>14720</v>
      </c>
      <c r="S731" s="329">
        <v>-77</v>
      </c>
      <c r="T731" s="329">
        <v>14643</v>
      </c>
    </row>
    <row r="732" spans="1:20">
      <c r="A732" s="335">
        <v>97847</v>
      </c>
      <c r="B732" s="328" t="s">
        <v>1425</v>
      </c>
      <c r="C732" s="239">
        <v>1.7E-6</v>
      </c>
      <c r="D732" s="239">
        <v>1.9999999999999999E-6</v>
      </c>
      <c r="E732" s="329">
        <v>4643</v>
      </c>
      <c r="F732" s="329"/>
      <c r="G732" s="329">
        <v>795</v>
      </c>
      <c r="H732" s="329">
        <v>114</v>
      </c>
      <c r="I732" s="329">
        <v>757</v>
      </c>
      <c r="J732" s="329">
        <v>2472</v>
      </c>
      <c r="K732" s="329">
        <v>4138</v>
      </c>
      <c r="L732" s="329"/>
      <c r="M732" s="329">
        <v>0</v>
      </c>
      <c r="N732" s="329">
        <v>0</v>
      </c>
      <c r="O732" s="329">
        <v>0</v>
      </c>
      <c r="P732" s="329">
        <v>0</v>
      </c>
      <c r="Q732" s="329"/>
      <c r="R732" s="329">
        <v>2068</v>
      </c>
      <c r="S732" s="329">
        <v>950</v>
      </c>
      <c r="T732" s="329">
        <v>3018</v>
      </c>
    </row>
    <row r="733" spans="1:20">
      <c r="A733" s="335">
        <v>97851</v>
      </c>
      <c r="B733" s="328" t="s">
        <v>1426</v>
      </c>
      <c r="C733" s="239">
        <v>2.7540000000000003E-4</v>
      </c>
      <c r="D733" s="239">
        <v>2.7750000000000002E-4</v>
      </c>
      <c r="E733" s="329">
        <v>752096</v>
      </c>
      <c r="F733" s="329"/>
      <c r="G733" s="329">
        <v>128778</v>
      </c>
      <c r="H733" s="329">
        <v>18344</v>
      </c>
      <c r="I733" s="329">
        <v>122579</v>
      </c>
      <c r="J733" s="329">
        <v>0</v>
      </c>
      <c r="K733" s="329">
        <v>269701</v>
      </c>
      <c r="L733" s="329"/>
      <c r="M733" s="329">
        <v>0</v>
      </c>
      <c r="N733" s="329">
        <v>0</v>
      </c>
      <c r="O733" s="329">
        <v>31817</v>
      </c>
      <c r="P733" s="329">
        <v>31817</v>
      </c>
      <c r="Q733" s="329"/>
      <c r="R733" s="329">
        <v>335028</v>
      </c>
      <c r="S733" s="329">
        <v>-11656</v>
      </c>
      <c r="T733" s="329">
        <v>323372</v>
      </c>
    </row>
    <row r="734" spans="1:20">
      <c r="A734" s="335">
        <v>97853</v>
      </c>
      <c r="B734" s="328" t="s">
        <v>1427</v>
      </c>
      <c r="C734" s="239">
        <v>7.9900000000000004E-5</v>
      </c>
      <c r="D734" s="239">
        <v>9.09E-5</v>
      </c>
      <c r="E734" s="329">
        <v>218201</v>
      </c>
      <c r="F734" s="329"/>
      <c r="G734" s="329">
        <v>37361</v>
      </c>
      <c r="H734" s="329">
        <v>5322</v>
      </c>
      <c r="I734" s="329">
        <v>35563</v>
      </c>
      <c r="J734" s="329">
        <v>2508</v>
      </c>
      <c r="K734" s="329">
        <v>80754</v>
      </c>
      <c r="L734" s="329"/>
      <c r="M734" s="329">
        <v>0</v>
      </c>
      <c r="N734" s="329">
        <v>0</v>
      </c>
      <c r="O734" s="329">
        <v>22513</v>
      </c>
      <c r="P734" s="329">
        <v>22513</v>
      </c>
      <c r="Q734" s="329"/>
      <c r="R734" s="329">
        <v>97199</v>
      </c>
      <c r="S734" s="329">
        <v>-6611</v>
      </c>
      <c r="T734" s="329">
        <v>90588</v>
      </c>
    </row>
    <row r="735" spans="1:20">
      <c r="A735" s="335">
        <v>97861</v>
      </c>
      <c r="B735" s="328" t="s">
        <v>1428</v>
      </c>
      <c r="C735" s="239">
        <v>4.5500000000000001E-5</v>
      </c>
      <c r="D735" s="239">
        <v>4.3000000000000002E-5</v>
      </c>
      <c r="E735" s="329">
        <v>124257</v>
      </c>
      <c r="F735" s="329"/>
      <c r="G735" s="329">
        <v>21276</v>
      </c>
      <c r="H735" s="329">
        <v>3031</v>
      </c>
      <c r="I735" s="329">
        <v>20252</v>
      </c>
      <c r="J735" s="329">
        <v>6798</v>
      </c>
      <c r="K735" s="329">
        <v>51357</v>
      </c>
      <c r="L735" s="329"/>
      <c r="M735" s="329">
        <v>0</v>
      </c>
      <c r="N735" s="329">
        <v>0</v>
      </c>
      <c r="O735" s="329">
        <v>11467</v>
      </c>
      <c r="P735" s="329">
        <v>11467</v>
      </c>
      <c r="Q735" s="329"/>
      <c r="R735" s="329">
        <v>55351</v>
      </c>
      <c r="S735" s="329">
        <v>-1850</v>
      </c>
      <c r="T735" s="329">
        <v>53501</v>
      </c>
    </row>
    <row r="736" spans="1:20">
      <c r="A736" s="335">
        <v>97871</v>
      </c>
      <c r="B736" s="328" t="s">
        <v>1429</v>
      </c>
      <c r="C736" s="239">
        <v>3.0079999999999999E-4</v>
      </c>
      <c r="D736" s="239">
        <v>3.1080000000000002E-4</v>
      </c>
      <c r="E736" s="329">
        <v>821461</v>
      </c>
      <c r="F736" s="329"/>
      <c r="G736" s="329">
        <v>140655</v>
      </c>
      <c r="H736" s="329">
        <v>20037</v>
      </c>
      <c r="I736" s="329">
        <v>133885</v>
      </c>
      <c r="J736" s="329">
        <v>270096</v>
      </c>
      <c r="K736" s="329">
        <v>564673</v>
      </c>
      <c r="L736" s="329"/>
      <c r="M736" s="329">
        <v>0</v>
      </c>
      <c r="N736" s="329">
        <v>0</v>
      </c>
      <c r="O736" s="329">
        <v>0</v>
      </c>
      <c r="P736" s="329">
        <v>0</v>
      </c>
      <c r="Q736" s="329"/>
      <c r="R736" s="329">
        <v>365927</v>
      </c>
      <c r="S736" s="329">
        <v>125339</v>
      </c>
      <c r="T736" s="329">
        <v>491266</v>
      </c>
    </row>
    <row r="737" spans="1:20">
      <c r="A737" s="335">
        <v>97877</v>
      </c>
      <c r="B737" s="328" t="s">
        <v>1430</v>
      </c>
      <c r="C737" s="239">
        <v>7.6000000000000001E-6</v>
      </c>
      <c r="D737" s="239">
        <v>1.7999999999999999E-6</v>
      </c>
      <c r="E737" s="329">
        <v>20755</v>
      </c>
      <c r="F737" s="329"/>
      <c r="G737" s="329">
        <v>3554</v>
      </c>
      <c r="H737" s="329">
        <v>506</v>
      </c>
      <c r="I737" s="329">
        <v>3383</v>
      </c>
      <c r="J737" s="329">
        <v>7232</v>
      </c>
      <c r="K737" s="329">
        <v>14675</v>
      </c>
      <c r="L737" s="329"/>
      <c r="M737" s="329">
        <v>0</v>
      </c>
      <c r="N737" s="329">
        <v>0</v>
      </c>
      <c r="O737" s="329">
        <v>0</v>
      </c>
      <c r="P737" s="329">
        <v>0</v>
      </c>
      <c r="Q737" s="329"/>
      <c r="R737" s="329">
        <v>9245</v>
      </c>
      <c r="S737" s="329">
        <v>2234</v>
      </c>
      <c r="T737" s="329">
        <v>11479</v>
      </c>
    </row>
    <row r="738" spans="1:20">
      <c r="A738" s="335">
        <v>97901</v>
      </c>
      <c r="B738" s="328" t="s">
        <v>1431</v>
      </c>
      <c r="C738" s="239">
        <v>4.0067999999999996E-3</v>
      </c>
      <c r="D738" s="239">
        <v>4.2154000000000002E-3</v>
      </c>
      <c r="E738" s="329">
        <v>10942258</v>
      </c>
      <c r="F738" s="329"/>
      <c r="G738" s="329">
        <v>1873592</v>
      </c>
      <c r="H738" s="329">
        <v>266897</v>
      </c>
      <c r="I738" s="329">
        <v>1783407</v>
      </c>
      <c r="J738" s="329">
        <v>20918</v>
      </c>
      <c r="K738" s="329">
        <v>3944814</v>
      </c>
      <c r="L738" s="329"/>
      <c r="M738" s="329">
        <v>0</v>
      </c>
      <c r="N738" s="329">
        <v>0</v>
      </c>
      <c r="O738" s="329">
        <v>292022</v>
      </c>
      <c r="P738" s="329">
        <v>292022</v>
      </c>
      <c r="Q738" s="329"/>
      <c r="R738" s="329">
        <v>4874324</v>
      </c>
      <c r="S738" s="329">
        <v>-51025</v>
      </c>
      <c r="T738" s="329">
        <v>4823299</v>
      </c>
    </row>
    <row r="739" spans="1:20">
      <c r="A739" s="335">
        <v>97911</v>
      </c>
      <c r="B739" s="328" t="s">
        <v>1432</v>
      </c>
      <c r="C739" s="239">
        <v>1.2121E-3</v>
      </c>
      <c r="D739" s="239">
        <v>1.2834000000000001E-3</v>
      </c>
      <c r="E739" s="329">
        <v>3310151</v>
      </c>
      <c r="F739" s="329"/>
      <c r="G739" s="329">
        <v>566782</v>
      </c>
      <c r="H739" s="329">
        <v>80739</v>
      </c>
      <c r="I739" s="329">
        <v>539500</v>
      </c>
      <c r="J739" s="329">
        <v>714</v>
      </c>
      <c r="K739" s="329">
        <v>1187735</v>
      </c>
      <c r="L739" s="329"/>
      <c r="M739" s="329">
        <v>0</v>
      </c>
      <c r="N739" s="329">
        <v>0</v>
      </c>
      <c r="O739" s="329">
        <v>32366</v>
      </c>
      <c r="P739" s="329">
        <v>32366</v>
      </c>
      <c r="Q739" s="329"/>
      <c r="R739" s="329">
        <v>1474535</v>
      </c>
      <c r="S739" s="329">
        <v>-5290</v>
      </c>
      <c r="T739" s="329">
        <v>1469245</v>
      </c>
    </row>
    <row r="740" spans="1:20">
      <c r="A740" s="335">
        <v>97913</v>
      </c>
      <c r="B740" s="328" t="s">
        <v>2770</v>
      </c>
      <c r="C740" s="239">
        <v>2.8600000000000001E-5</v>
      </c>
      <c r="D740" s="239">
        <v>3.3899999999999997E-5</v>
      </c>
      <c r="E740" s="329">
        <v>78104</v>
      </c>
      <c r="F740" s="329"/>
      <c r="G740" s="329">
        <v>13373</v>
      </c>
      <c r="H740" s="329">
        <v>1905</v>
      </c>
      <c r="I740" s="329">
        <v>12730</v>
      </c>
      <c r="J740" s="329">
        <v>14218</v>
      </c>
      <c r="K740" s="329">
        <v>42226</v>
      </c>
      <c r="L740" s="329"/>
      <c r="M740" s="329">
        <v>0</v>
      </c>
      <c r="N740" s="329">
        <v>0</v>
      </c>
      <c r="O740" s="329">
        <v>0</v>
      </c>
      <c r="P740" s="329">
        <v>0</v>
      </c>
      <c r="Q740" s="329"/>
      <c r="R740" s="329">
        <v>34792</v>
      </c>
      <c r="S740" s="329">
        <v>7475</v>
      </c>
      <c r="T740" s="329">
        <v>42267</v>
      </c>
    </row>
    <row r="741" spans="1:20">
      <c r="A741" s="335">
        <v>97917</v>
      </c>
      <c r="B741" s="328" t="s">
        <v>1434</v>
      </c>
      <c r="C741" s="239">
        <v>1.84E-5</v>
      </c>
      <c r="D741" s="239">
        <v>1.9700000000000001E-5</v>
      </c>
      <c r="E741" s="329">
        <v>50249</v>
      </c>
      <c r="F741" s="329"/>
      <c r="G741" s="329">
        <v>8604</v>
      </c>
      <c r="H741" s="329">
        <v>1226</v>
      </c>
      <c r="I741" s="329">
        <v>8190</v>
      </c>
      <c r="J741" s="329">
        <v>7317</v>
      </c>
      <c r="K741" s="329">
        <v>25337</v>
      </c>
      <c r="L741" s="329"/>
      <c r="M741" s="329">
        <v>0</v>
      </c>
      <c r="N741" s="329">
        <v>0</v>
      </c>
      <c r="O741" s="329">
        <v>0</v>
      </c>
      <c r="P741" s="329">
        <v>0</v>
      </c>
      <c r="Q741" s="329"/>
      <c r="R741" s="329">
        <v>22384</v>
      </c>
      <c r="S741" s="329">
        <v>3517</v>
      </c>
      <c r="T741" s="329">
        <v>25901</v>
      </c>
    </row>
    <row r="742" spans="1:20">
      <c r="A742" s="335">
        <v>97921</v>
      </c>
      <c r="B742" s="328" t="s">
        <v>1435</v>
      </c>
      <c r="C742" s="239">
        <v>2.073E-4</v>
      </c>
      <c r="D742" s="239">
        <v>2.2699999999999999E-4</v>
      </c>
      <c r="E742" s="329">
        <v>566120</v>
      </c>
      <c r="F742" s="329"/>
      <c r="G742" s="329">
        <v>96934</v>
      </c>
      <c r="H742" s="329">
        <v>13809</v>
      </c>
      <c r="I742" s="329">
        <v>92268</v>
      </c>
      <c r="J742" s="329">
        <v>5695</v>
      </c>
      <c r="K742" s="329">
        <v>208706</v>
      </c>
      <c r="L742" s="329"/>
      <c r="M742" s="329">
        <v>0</v>
      </c>
      <c r="N742" s="329">
        <v>0</v>
      </c>
      <c r="O742" s="329">
        <v>14528</v>
      </c>
      <c r="P742" s="329">
        <v>14528</v>
      </c>
      <c r="Q742" s="329"/>
      <c r="R742" s="329">
        <v>252183</v>
      </c>
      <c r="S742" s="329">
        <v>2315</v>
      </c>
      <c r="T742" s="329">
        <v>254498</v>
      </c>
    </row>
    <row r="743" spans="1:20">
      <c r="A743" s="335">
        <v>97931</v>
      </c>
      <c r="B743" s="328" t="s">
        <v>1436</v>
      </c>
      <c r="C743" s="239">
        <v>6.6699999999999995E-5</v>
      </c>
      <c r="D743" s="239">
        <v>6.7600000000000003E-5</v>
      </c>
      <c r="E743" s="329">
        <v>182152</v>
      </c>
      <c r="F743" s="329"/>
      <c r="G743" s="329">
        <v>31189</v>
      </c>
      <c r="H743" s="329">
        <v>4443</v>
      </c>
      <c r="I743" s="329">
        <v>29688</v>
      </c>
      <c r="J743" s="329">
        <v>3693</v>
      </c>
      <c r="K743" s="329">
        <v>69013</v>
      </c>
      <c r="L743" s="329"/>
      <c r="M743" s="329">
        <v>0</v>
      </c>
      <c r="N743" s="329">
        <v>0</v>
      </c>
      <c r="O743" s="329">
        <v>1945</v>
      </c>
      <c r="P743" s="329">
        <v>1945</v>
      </c>
      <c r="Q743" s="329"/>
      <c r="R743" s="329">
        <v>81141</v>
      </c>
      <c r="S743" s="329">
        <v>6142</v>
      </c>
      <c r="T743" s="329">
        <v>87283</v>
      </c>
    </row>
    <row r="744" spans="1:20">
      <c r="A744" s="335">
        <v>97941</v>
      </c>
      <c r="B744" s="328" t="s">
        <v>1437</v>
      </c>
      <c r="C744" s="239">
        <v>2.143E-4</v>
      </c>
      <c r="D744" s="239">
        <v>2.0159999999999999E-4</v>
      </c>
      <c r="E744" s="329">
        <v>585237</v>
      </c>
      <c r="F744" s="329"/>
      <c r="G744" s="329">
        <v>100207</v>
      </c>
      <c r="H744" s="329">
        <v>14275</v>
      </c>
      <c r="I744" s="329">
        <v>95384</v>
      </c>
      <c r="J744" s="329">
        <v>29447</v>
      </c>
      <c r="K744" s="329">
        <v>239313</v>
      </c>
      <c r="L744" s="329"/>
      <c r="M744" s="329">
        <v>0</v>
      </c>
      <c r="N744" s="329">
        <v>0</v>
      </c>
      <c r="O744" s="329">
        <v>4374</v>
      </c>
      <c r="P744" s="329">
        <v>4374</v>
      </c>
      <c r="Q744" s="329"/>
      <c r="R744" s="329">
        <v>260699</v>
      </c>
      <c r="S744" s="329">
        <v>13475</v>
      </c>
      <c r="T744" s="329">
        <v>274174</v>
      </c>
    </row>
    <row r="745" spans="1:20">
      <c r="A745" s="335">
        <v>97947</v>
      </c>
      <c r="B745" s="328" t="s">
        <v>1438</v>
      </c>
      <c r="C745" s="239">
        <v>1.52E-5</v>
      </c>
      <c r="D745" s="239">
        <v>1.47E-5</v>
      </c>
      <c r="E745" s="329">
        <v>41510</v>
      </c>
      <c r="F745" s="329"/>
      <c r="G745" s="329">
        <v>7108</v>
      </c>
      <c r="H745" s="329">
        <v>1013</v>
      </c>
      <c r="I745" s="329">
        <v>6765</v>
      </c>
      <c r="J745" s="329">
        <v>12028</v>
      </c>
      <c r="K745" s="329">
        <v>26914</v>
      </c>
      <c r="L745" s="329"/>
      <c r="M745" s="329">
        <v>0</v>
      </c>
      <c r="N745" s="329">
        <v>0</v>
      </c>
      <c r="O745" s="329">
        <v>0</v>
      </c>
      <c r="P745" s="329">
        <v>0</v>
      </c>
      <c r="Q745" s="329"/>
      <c r="R745" s="329">
        <v>18491</v>
      </c>
      <c r="S745" s="329">
        <v>5853</v>
      </c>
      <c r="T745" s="329">
        <v>24344</v>
      </c>
    </row>
    <row r="746" spans="1:20">
      <c r="A746" s="335">
        <v>97948</v>
      </c>
      <c r="B746" s="328" t="s">
        <v>3718</v>
      </c>
      <c r="C746" s="239">
        <v>2.6100000000000001E-5</v>
      </c>
      <c r="D746" s="239">
        <v>2.1299999999999999E-5</v>
      </c>
      <c r="E746" s="329">
        <v>71277</v>
      </c>
      <c r="F746" s="329"/>
      <c r="G746" s="329">
        <v>12204</v>
      </c>
      <c r="H746" s="329">
        <v>1739</v>
      </c>
      <c r="I746" s="329">
        <v>11617</v>
      </c>
      <c r="J746" s="329">
        <v>4166</v>
      </c>
      <c r="K746" s="329">
        <v>29726</v>
      </c>
      <c r="L746" s="329"/>
      <c r="M746" s="329">
        <v>0</v>
      </c>
      <c r="N746" s="329">
        <v>0</v>
      </c>
      <c r="O746" s="329">
        <v>4144</v>
      </c>
      <c r="P746" s="329">
        <v>4144</v>
      </c>
      <c r="Q746" s="329"/>
      <c r="R746" s="329">
        <v>31751</v>
      </c>
      <c r="S746" s="329">
        <v>-235</v>
      </c>
      <c r="T746" s="329">
        <v>31516</v>
      </c>
    </row>
    <row r="747" spans="1:20">
      <c r="A747" s="335">
        <v>97951</v>
      </c>
      <c r="B747" s="328" t="s">
        <v>1440</v>
      </c>
      <c r="C747" s="239">
        <v>1.1746E-3</v>
      </c>
      <c r="D747" s="239">
        <v>1.1826E-3</v>
      </c>
      <c r="E747" s="329">
        <v>3207741</v>
      </c>
      <c r="F747" s="329"/>
      <c r="G747" s="329">
        <v>549246</v>
      </c>
      <c r="H747" s="329">
        <v>78241</v>
      </c>
      <c r="I747" s="329">
        <v>522809</v>
      </c>
      <c r="J747" s="329">
        <v>44815</v>
      </c>
      <c r="K747" s="329">
        <v>1195111</v>
      </c>
      <c r="L747" s="329"/>
      <c r="M747" s="329">
        <v>0</v>
      </c>
      <c r="N747" s="329">
        <v>0</v>
      </c>
      <c r="O747" s="329">
        <v>75</v>
      </c>
      <c r="P747" s="329">
        <v>75</v>
      </c>
      <c r="Q747" s="329"/>
      <c r="R747" s="329">
        <v>1428916</v>
      </c>
      <c r="S747" s="329">
        <v>19096</v>
      </c>
      <c r="T747" s="329">
        <v>1448012</v>
      </c>
    </row>
    <row r="748" spans="1:20">
      <c r="A748" s="335">
        <v>97957</v>
      </c>
      <c r="B748" s="328" t="s">
        <v>1441</v>
      </c>
      <c r="C748" s="239">
        <v>1.49E-5</v>
      </c>
      <c r="D748" s="239">
        <v>1.7200000000000001E-5</v>
      </c>
      <c r="E748" s="329">
        <v>40691</v>
      </c>
      <c r="F748" s="329"/>
      <c r="G748" s="329">
        <v>6967</v>
      </c>
      <c r="H748" s="329">
        <v>993</v>
      </c>
      <c r="I748" s="329">
        <v>6632</v>
      </c>
      <c r="J748" s="329">
        <v>6596</v>
      </c>
      <c r="K748" s="329">
        <v>21188</v>
      </c>
      <c r="L748" s="329"/>
      <c r="M748" s="329">
        <v>0</v>
      </c>
      <c r="N748" s="329">
        <v>0</v>
      </c>
      <c r="O748" s="329">
        <v>0</v>
      </c>
      <c r="P748" s="329">
        <v>0</v>
      </c>
      <c r="Q748" s="329"/>
      <c r="R748" s="329">
        <v>18126</v>
      </c>
      <c r="S748" s="329">
        <v>2151</v>
      </c>
      <c r="T748" s="329">
        <v>20277</v>
      </c>
    </row>
    <row r="749" spans="1:20">
      <c r="A749" s="335">
        <v>98001</v>
      </c>
      <c r="B749" s="328" t="s">
        <v>1442</v>
      </c>
      <c r="C749" s="239">
        <v>5.3171E-3</v>
      </c>
      <c r="D749" s="239">
        <v>5.3728999999999999E-3</v>
      </c>
      <c r="E749" s="329">
        <v>14520585</v>
      </c>
      <c r="F749" s="329"/>
      <c r="G749" s="329">
        <v>2486292</v>
      </c>
      <c r="H749" s="329">
        <v>354177</v>
      </c>
      <c r="I749" s="329">
        <v>2366615</v>
      </c>
      <c r="J749" s="329">
        <v>189086</v>
      </c>
      <c r="K749" s="329">
        <v>5396170</v>
      </c>
      <c r="L749" s="329"/>
      <c r="M749" s="329">
        <v>0</v>
      </c>
      <c r="N749" s="329">
        <v>0</v>
      </c>
      <c r="O749" s="329">
        <v>54786</v>
      </c>
      <c r="P749" s="329">
        <v>54786</v>
      </c>
      <c r="Q749" s="329"/>
      <c r="R749" s="329">
        <v>6468321</v>
      </c>
      <c r="S749" s="329">
        <v>72716</v>
      </c>
      <c r="T749" s="329">
        <v>6541037</v>
      </c>
    </row>
    <row r="750" spans="1:20">
      <c r="A750" s="335">
        <v>98002</v>
      </c>
      <c r="B750" s="328" t="s">
        <v>1443</v>
      </c>
      <c r="C750" s="239">
        <v>6.1999999999999999E-6</v>
      </c>
      <c r="D750" s="239">
        <v>6.4999999999999996E-6</v>
      </c>
      <c r="E750" s="329">
        <v>16932</v>
      </c>
      <c r="F750" s="329"/>
      <c r="G750" s="329">
        <v>2899</v>
      </c>
      <c r="H750" s="329">
        <v>413</v>
      </c>
      <c r="I750" s="329">
        <v>2760</v>
      </c>
      <c r="J750" s="329">
        <v>2683</v>
      </c>
      <c r="K750" s="329">
        <v>8755</v>
      </c>
      <c r="L750" s="329"/>
      <c r="M750" s="329">
        <v>0</v>
      </c>
      <c r="N750" s="329">
        <v>0</v>
      </c>
      <c r="O750" s="329">
        <v>0</v>
      </c>
      <c r="P750" s="329">
        <v>0</v>
      </c>
      <c r="Q750" s="329"/>
      <c r="R750" s="329">
        <v>7542</v>
      </c>
      <c r="S750" s="329">
        <v>975</v>
      </c>
      <c r="T750" s="329">
        <v>8517</v>
      </c>
    </row>
    <row r="751" spans="1:20">
      <c r="A751" s="335">
        <v>98003</v>
      </c>
      <c r="B751" s="328" t="s">
        <v>3719</v>
      </c>
      <c r="C751" s="239">
        <v>6.9499999999999995E-5</v>
      </c>
      <c r="D751" s="239">
        <v>7.7000000000000001E-5</v>
      </c>
      <c r="E751" s="329">
        <v>189799</v>
      </c>
      <c r="F751" s="329"/>
      <c r="G751" s="329">
        <v>32498</v>
      </c>
      <c r="H751" s="329">
        <v>4629</v>
      </c>
      <c r="I751" s="329">
        <v>30934</v>
      </c>
      <c r="J751" s="329">
        <v>63059</v>
      </c>
      <c r="K751" s="329">
        <v>131120</v>
      </c>
      <c r="L751" s="329"/>
      <c r="M751" s="329">
        <v>0</v>
      </c>
      <c r="N751" s="329">
        <v>0</v>
      </c>
      <c r="O751" s="329">
        <v>0</v>
      </c>
      <c r="P751" s="329">
        <v>0</v>
      </c>
      <c r="Q751" s="329"/>
      <c r="R751" s="329">
        <v>84548</v>
      </c>
      <c r="S751" s="329">
        <v>29712</v>
      </c>
      <c r="T751" s="329">
        <v>114260</v>
      </c>
    </row>
    <row r="752" spans="1:20">
      <c r="A752" s="335">
        <v>98004</v>
      </c>
      <c r="B752" s="328" t="s">
        <v>1445</v>
      </c>
      <c r="C752" s="239">
        <v>1.2530000000000001E-4</v>
      </c>
      <c r="D752" s="239">
        <v>1.189E-4</v>
      </c>
      <c r="E752" s="329">
        <v>342185</v>
      </c>
      <c r="F752" s="329"/>
      <c r="G752" s="329">
        <v>58591</v>
      </c>
      <c r="H752" s="329">
        <v>8346</v>
      </c>
      <c r="I752" s="329">
        <v>55770</v>
      </c>
      <c r="J752" s="329">
        <v>53605</v>
      </c>
      <c r="K752" s="329">
        <v>176312</v>
      </c>
      <c r="L752" s="329"/>
      <c r="M752" s="329">
        <v>0</v>
      </c>
      <c r="N752" s="329">
        <v>0</v>
      </c>
      <c r="O752" s="329">
        <v>0</v>
      </c>
      <c r="P752" s="329">
        <v>0</v>
      </c>
      <c r="Q752" s="329"/>
      <c r="R752" s="329">
        <v>152429</v>
      </c>
      <c r="S752" s="329">
        <v>22227</v>
      </c>
      <c r="T752" s="329">
        <v>174656</v>
      </c>
    </row>
    <row r="753" spans="1:20" ht="30">
      <c r="A753" s="335">
        <v>98008</v>
      </c>
      <c r="B753" s="328" t="s">
        <v>3720</v>
      </c>
      <c r="C753" s="239">
        <v>7.1999999999999997E-6</v>
      </c>
      <c r="D753" s="239">
        <v>7.7000000000000008E-6</v>
      </c>
      <c r="E753" s="329">
        <v>19663</v>
      </c>
      <c r="F753" s="329"/>
      <c r="G753" s="329">
        <v>3367</v>
      </c>
      <c r="H753" s="329">
        <v>480</v>
      </c>
      <c r="I753" s="329">
        <v>3205</v>
      </c>
      <c r="J753" s="329">
        <v>14</v>
      </c>
      <c r="K753" s="329">
        <v>7066</v>
      </c>
      <c r="L753" s="329"/>
      <c r="M753" s="329">
        <v>0</v>
      </c>
      <c r="N753" s="329">
        <v>0</v>
      </c>
      <c r="O753" s="329">
        <v>598</v>
      </c>
      <c r="P753" s="329">
        <v>598</v>
      </c>
      <c r="Q753" s="329"/>
      <c r="R753" s="329">
        <v>8759</v>
      </c>
      <c r="S753" s="329">
        <v>-352</v>
      </c>
      <c r="T753" s="329">
        <v>8407</v>
      </c>
    </row>
    <row r="754" spans="1:20">
      <c r="A754" s="335">
        <v>98011</v>
      </c>
      <c r="B754" s="328" t="s">
        <v>1447</v>
      </c>
      <c r="C754" s="239">
        <v>3.4512000000000002E-3</v>
      </c>
      <c r="D754" s="239">
        <v>3.2946999999999998E-3</v>
      </c>
      <c r="E754" s="329">
        <v>9424958</v>
      </c>
      <c r="F754" s="329"/>
      <c r="G754" s="329">
        <v>1613791</v>
      </c>
      <c r="H754" s="329">
        <v>229888</v>
      </c>
      <c r="I754" s="329">
        <v>1536112</v>
      </c>
      <c r="J754" s="329">
        <v>95530</v>
      </c>
      <c r="K754" s="329">
        <v>3475321</v>
      </c>
      <c r="L754" s="329"/>
      <c r="M754" s="329">
        <v>0</v>
      </c>
      <c r="N754" s="329">
        <v>0</v>
      </c>
      <c r="O754" s="329">
        <v>74927</v>
      </c>
      <c r="P754" s="329">
        <v>74927</v>
      </c>
      <c r="Q754" s="329"/>
      <c r="R754" s="329">
        <v>4198430</v>
      </c>
      <c r="S754" s="329">
        <v>-64768</v>
      </c>
      <c r="T754" s="329">
        <v>4133662</v>
      </c>
    </row>
    <row r="755" spans="1:20">
      <c r="A755" s="335">
        <v>98013</v>
      </c>
      <c r="B755" s="328" t="s">
        <v>3721</v>
      </c>
      <c r="C755" s="239">
        <v>1.3990000000000001E-4</v>
      </c>
      <c r="D755" s="239">
        <v>1.3439999999999999E-4</v>
      </c>
      <c r="E755" s="329">
        <v>382056</v>
      </c>
      <c r="F755" s="329"/>
      <c r="G755" s="329">
        <v>65418</v>
      </c>
      <c r="H755" s="329">
        <v>9319</v>
      </c>
      <c r="I755" s="329">
        <v>62269</v>
      </c>
      <c r="J755" s="329">
        <v>145686</v>
      </c>
      <c r="K755" s="329">
        <v>282692</v>
      </c>
      <c r="L755" s="329"/>
      <c r="M755" s="329">
        <v>0</v>
      </c>
      <c r="N755" s="329">
        <v>0</v>
      </c>
      <c r="O755" s="329">
        <v>0</v>
      </c>
      <c r="P755" s="329">
        <v>0</v>
      </c>
      <c r="Q755" s="329"/>
      <c r="R755" s="329">
        <v>170190</v>
      </c>
      <c r="S755" s="329">
        <v>70745</v>
      </c>
      <c r="T755" s="329">
        <v>240935</v>
      </c>
    </row>
    <row r="756" spans="1:20">
      <c r="A756" s="335">
        <v>98021</v>
      </c>
      <c r="B756" s="328" t="s">
        <v>1449</v>
      </c>
      <c r="C756" s="239">
        <v>4.2400000000000001E-5</v>
      </c>
      <c r="D756" s="239">
        <v>3.6100000000000003E-5</v>
      </c>
      <c r="E756" s="329">
        <v>115791</v>
      </c>
      <c r="F756" s="329"/>
      <c r="G756" s="329">
        <v>19826</v>
      </c>
      <c r="H756" s="329">
        <v>2824</v>
      </c>
      <c r="I756" s="329">
        <v>18872</v>
      </c>
      <c r="J756" s="329">
        <v>10139</v>
      </c>
      <c r="K756" s="329">
        <v>51661</v>
      </c>
      <c r="L756" s="329"/>
      <c r="M756" s="329">
        <v>0</v>
      </c>
      <c r="N756" s="329">
        <v>0</v>
      </c>
      <c r="O756" s="329">
        <v>22161</v>
      </c>
      <c r="P756" s="329">
        <v>22161</v>
      </c>
      <c r="Q756" s="329"/>
      <c r="R756" s="329">
        <v>51580</v>
      </c>
      <c r="S756" s="329">
        <v>813</v>
      </c>
      <c r="T756" s="329">
        <v>52393</v>
      </c>
    </row>
    <row r="757" spans="1:20">
      <c r="A757" s="335">
        <v>98023</v>
      </c>
      <c r="B757" s="328" t="s">
        <v>1450</v>
      </c>
      <c r="C757" s="239">
        <v>8.8000000000000004E-6</v>
      </c>
      <c r="D757" s="239">
        <v>1.88E-5</v>
      </c>
      <c r="E757" s="329">
        <v>24032</v>
      </c>
      <c r="F757" s="329"/>
      <c r="G757" s="329">
        <v>4115</v>
      </c>
      <c r="H757" s="329">
        <v>586</v>
      </c>
      <c r="I757" s="329">
        <v>3917</v>
      </c>
      <c r="J757" s="329">
        <v>1269</v>
      </c>
      <c r="K757" s="329">
        <v>9887</v>
      </c>
      <c r="L757" s="329"/>
      <c r="M757" s="329">
        <v>0</v>
      </c>
      <c r="N757" s="329">
        <v>0</v>
      </c>
      <c r="O757" s="329">
        <v>9380</v>
      </c>
      <c r="P757" s="329">
        <v>9380</v>
      </c>
      <c r="Q757" s="329"/>
      <c r="R757" s="329">
        <v>10705</v>
      </c>
      <c r="S757" s="329">
        <v>-3499</v>
      </c>
      <c r="T757" s="329">
        <v>7206</v>
      </c>
    </row>
    <row r="758" spans="1:20">
      <c r="A758" s="335">
        <v>98031</v>
      </c>
      <c r="B758" s="328" t="s">
        <v>1451</v>
      </c>
      <c r="C758" s="239">
        <v>1.5410000000000001E-4</v>
      </c>
      <c r="D758" s="239">
        <v>1.717E-4</v>
      </c>
      <c r="E758" s="329">
        <v>420835</v>
      </c>
      <c r="F758" s="329"/>
      <c r="G758" s="329">
        <v>72058</v>
      </c>
      <c r="H758" s="329">
        <v>10264</v>
      </c>
      <c r="I758" s="329">
        <v>68589</v>
      </c>
      <c r="J758" s="329">
        <v>3878</v>
      </c>
      <c r="K758" s="329">
        <v>154789</v>
      </c>
      <c r="L758" s="329"/>
      <c r="M758" s="329">
        <v>0</v>
      </c>
      <c r="N758" s="329">
        <v>0</v>
      </c>
      <c r="O758" s="329">
        <v>22905</v>
      </c>
      <c r="P758" s="329">
        <v>22905</v>
      </c>
      <c r="Q758" s="329"/>
      <c r="R758" s="329">
        <v>187465</v>
      </c>
      <c r="S758" s="329">
        <v>-3910</v>
      </c>
      <c r="T758" s="329">
        <v>183555</v>
      </c>
    </row>
    <row r="759" spans="1:20">
      <c r="A759" s="335">
        <v>98041</v>
      </c>
      <c r="B759" s="328" t="s">
        <v>1452</v>
      </c>
      <c r="C759" s="239">
        <v>2.3560000000000001E-4</v>
      </c>
      <c r="D759" s="239">
        <v>2.242E-4</v>
      </c>
      <c r="E759" s="329">
        <v>643405</v>
      </c>
      <c r="F759" s="329"/>
      <c r="G759" s="329">
        <v>110167</v>
      </c>
      <c r="H759" s="329">
        <v>15693</v>
      </c>
      <c r="I759" s="329">
        <v>104864</v>
      </c>
      <c r="J759" s="329">
        <v>16120</v>
      </c>
      <c r="K759" s="329">
        <v>246844</v>
      </c>
      <c r="L759" s="329"/>
      <c r="M759" s="329">
        <v>0</v>
      </c>
      <c r="N759" s="329">
        <v>0</v>
      </c>
      <c r="O759" s="329">
        <v>2518</v>
      </c>
      <c r="P759" s="329">
        <v>2518</v>
      </c>
      <c r="Q759" s="329"/>
      <c r="R759" s="329">
        <v>286610</v>
      </c>
      <c r="S759" s="329">
        <v>5185</v>
      </c>
      <c r="T759" s="329">
        <v>291795</v>
      </c>
    </row>
    <row r="760" spans="1:20">
      <c r="A760" s="335">
        <v>98051</v>
      </c>
      <c r="B760" s="328" t="s">
        <v>1453</v>
      </c>
      <c r="C760" s="239">
        <v>2.9750000000000002E-4</v>
      </c>
      <c r="D760" s="239">
        <v>2.699E-4</v>
      </c>
      <c r="E760" s="329">
        <v>812449</v>
      </c>
      <c r="F760" s="329"/>
      <c r="G760" s="329">
        <v>139112</v>
      </c>
      <c r="H760" s="329">
        <v>19817</v>
      </c>
      <c r="I760" s="329">
        <v>132416</v>
      </c>
      <c r="J760" s="329">
        <v>21352</v>
      </c>
      <c r="K760" s="329">
        <v>312697</v>
      </c>
      <c r="L760" s="329"/>
      <c r="M760" s="329">
        <v>0</v>
      </c>
      <c r="N760" s="329">
        <v>0</v>
      </c>
      <c r="O760" s="329">
        <v>3702</v>
      </c>
      <c r="P760" s="329">
        <v>3702</v>
      </c>
      <c r="Q760" s="329"/>
      <c r="R760" s="329">
        <v>361913</v>
      </c>
      <c r="S760" s="329">
        <v>11173</v>
      </c>
      <c r="T760" s="329">
        <v>373086</v>
      </c>
    </row>
    <row r="761" spans="1:20">
      <c r="A761" s="335">
        <v>98061</v>
      </c>
      <c r="B761" s="328" t="s">
        <v>1454</v>
      </c>
      <c r="C761" s="239">
        <v>1.208E-4</v>
      </c>
      <c r="D761" s="239">
        <v>1.3420000000000001E-4</v>
      </c>
      <c r="E761" s="329">
        <v>329895</v>
      </c>
      <c r="F761" s="329"/>
      <c r="G761" s="329">
        <v>56486</v>
      </c>
      <c r="H761" s="329">
        <v>8047</v>
      </c>
      <c r="I761" s="329">
        <v>53767</v>
      </c>
      <c r="J761" s="329">
        <v>10437</v>
      </c>
      <c r="K761" s="329">
        <v>128737</v>
      </c>
      <c r="L761" s="329"/>
      <c r="M761" s="329">
        <v>0</v>
      </c>
      <c r="N761" s="329">
        <v>0</v>
      </c>
      <c r="O761" s="329">
        <v>19984</v>
      </c>
      <c r="P761" s="329">
        <v>19984</v>
      </c>
      <c r="Q761" s="329"/>
      <c r="R761" s="329">
        <v>146955</v>
      </c>
      <c r="S761" s="329">
        <v>-6536</v>
      </c>
      <c r="T761" s="329">
        <v>140419</v>
      </c>
    </row>
    <row r="762" spans="1:20">
      <c r="A762" s="335">
        <v>98071</v>
      </c>
      <c r="B762" s="328" t="s">
        <v>1455</v>
      </c>
      <c r="C762" s="239">
        <v>4.74E-5</v>
      </c>
      <c r="D762" s="239">
        <v>3.5800000000000003E-5</v>
      </c>
      <c r="E762" s="329">
        <v>129446</v>
      </c>
      <c r="F762" s="329"/>
      <c r="G762" s="329">
        <v>22164</v>
      </c>
      <c r="H762" s="329">
        <v>3157</v>
      </c>
      <c r="I762" s="329">
        <v>21098</v>
      </c>
      <c r="J762" s="329">
        <v>31632</v>
      </c>
      <c r="K762" s="329">
        <v>78051</v>
      </c>
      <c r="L762" s="329"/>
      <c r="M762" s="329">
        <v>0</v>
      </c>
      <c r="N762" s="329">
        <v>0</v>
      </c>
      <c r="O762" s="329">
        <v>0</v>
      </c>
      <c r="P762" s="329">
        <v>0</v>
      </c>
      <c r="Q762" s="329"/>
      <c r="R762" s="329">
        <v>57663</v>
      </c>
      <c r="S762" s="329">
        <v>11153</v>
      </c>
      <c r="T762" s="329">
        <v>68816</v>
      </c>
    </row>
    <row r="763" spans="1:20">
      <c r="A763" s="335">
        <v>98081</v>
      </c>
      <c r="B763" s="328" t="s">
        <v>1456</v>
      </c>
      <c r="C763" s="239">
        <v>1.5800000000000001E-5</v>
      </c>
      <c r="D763" s="239">
        <v>1.7200000000000001E-5</v>
      </c>
      <c r="E763" s="329">
        <v>43149</v>
      </c>
      <c r="F763" s="329"/>
      <c r="G763" s="329">
        <v>7388</v>
      </c>
      <c r="H763" s="329">
        <v>1052</v>
      </c>
      <c r="I763" s="329">
        <v>7033</v>
      </c>
      <c r="J763" s="329">
        <v>0</v>
      </c>
      <c r="K763" s="329">
        <v>15473</v>
      </c>
      <c r="L763" s="329"/>
      <c r="M763" s="329">
        <v>0</v>
      </c>
      <c r="N763" s="329">
        <v>0</v>
      </c>
      <c r="O763" s="329">
        <v>3066</v>
      </c>
      <c r="P763" s="329">
        <v>3066</v>
      </c>
      <c r="Q763" s="329"/>
      <c r="R763" s="329">
        <v>19221</v>
      </c>
      <c r="S763" s="329">
        <v>-1766</v>
      </c>
      <c r="T763" s="329">
        <v>17455</v>
      </c>
    </row>
    <row r="764" spans="1:20">
      <c r="A764" s="335">
        <v>98091</v>
      </c>
      <c r="B764" s="328" t="s">
        <v>1457</v>
      </c>
      <c r="C764" s="239">
        <v>6.7000000000000002E-5</v>
      </c>
      <c r="D764" s="239">
        <v>5.1600000000000001E-5</v>
      </c>
      <c r="E764" s="329">
        <v>182972</v>
      </c>
      <c r="F764" s="329"/>
      <c r="G764" s="329">
        <v>31329</v>
      </c>
      <c r="H764" s="329">
        <v>4463</v>
      </c>
      <c r="I764" s="329">
        <v>29821</v>
      </c>
      <c r="J764" s="329">
        <v>11344</v>
      </c>
      <c r="K764" s="329">
        <v>76957</v>
      </c>
      <c r="L764" s="329"/>
      <c r="M764" s="329">
        <v>0</v>
      </c>
      <c r="N764" s="329">
        <v>0</v>
      </c>
      <c r="O764" s="329">
        <v>0</v>
      </c>
      <c r="P764" s="329">
        <v>0</v>
      </c>
      <c r="Q764" s="329"/>
      <c r="R764" s="329">
        <v>81506</v>
      </c>
      <c r="S764" s="329">
        <v>3537</v>
      </c>
      <c r="T764" s="329">
        <v>85043</v>
      </c>
    </row>
    <row r="765" spans="1:20">
      <c r="A765" s="335">
        <v>98101</v>
      </c>
      <c r="B765" s="328" t="s">
        <v>1458</v>
      </c>
      <c r="C765" s="239">
        <v>2.6901E-3</v>
      </c>
      <c r="D765" s="239">
        <v>2.6497999999999999E-3</v>
      </c>
      <c r="E765" s="329">
        <v>7346453</v>
      </c>
      <c r="F765" s="329"/>
      <c r="G765" s="329">
        <v>1257899</v>
      </c>
      <c r="H765" s="329">
        <v>179191</v>
      </c>
      <c r="I765" s="329">
        <v>1197350</v>
      </c>
      <c r="J765" s="329">
        <v>107259</v>
      </c>
      <c r="K765" s="329">
        <v>2741699</v>
      </c>
      <c r="L765" s="329"/>
      <c r="M765" s="329">
        <v>0</v>
      </c>
      <c r="N765" s="329">
        <v>0</v>
      </c>
      <c r="O765" s="329">
        <v>150510</v>
      </c>
      <c r="P765" s="329">
        <v>150510</v>
      </c>
      <c r="Q765" s="329"/>
      <c r="R765" s="329">
        <v>3272542</v>
      </c>
      <c r="S765" s="329">
        <v>-15754</v>
      </c>
      <c r="T765" s="329">
        <v>3256788</v>
      </c>
    </row>
    <row r="766" spans="1:20">
      <c r="A766" s="335">
        <v>98102</v>
      </c>
      <c r="B766" s="328" t="s">
        <v>1459</v>
      </c>
      <c r="C766" s="239">
        <v>1.573E-4</v>
      </c>
      <c r="D766" s="239">
        <v>1.496E-4</v>
      </c>
      <c r="E766" s="329">
        <v>429574</v>
      </c>
      <c r="F766" s="329"/>
      <c r="G766" s="329">
        <v>73554</v>
      </c>
      <c r="H766" s="329">
        <v>10478</v>
      </c>
      <c r="I766" s="329">
        <v>70013</v>
      </c>
      <c r="J766" s="329">
        <v>8797</v>
      </c>
      <c r="K766" s="329">
        <v>162842</v>
      </c>
      <c r="L766" s="329"/>
      <c r="M766" s="329">
        <v>0</v>
      </c>
      <c r="N766" s="329">
        <v>0</v>
      </c>
      <c r="O766" s="329">
        <v>7652</v>
      </c>
      <c r="P766" s="329">
        <v>7652</v>
      </c>
      <c r="Q766" s="329"/>
      <c r="R766" s="329">
        <v>191357</v>
      </c>
      <c r="S766" s="329">
        <v>-3295</v>
      </c>
      <c r="T766" s="329">
        <v>188062</v>
      </c>
    </row>
    <row r="767" spans="1:20" ht="30">
      <c r="A767" s="335">
        <v>98103</v>
      </c>
      <c r="B767" s="328" t="s">
        <v>2792</v>
      </c>
      <c r="C767" s="239">
        <v>5.04E-4</v>
      </c>
      <c r="D767" s="239">
        <v>4.8450000000000001E-4</v>
      </c>
      <c r="E767" s="329">
        <v>1376385</v>
      </c>
      <c r="F767" s="329"/>
      <c r="G767" s="329">
        <v>235672</v>
      </c>
      <c r="H767" s="329">
        <v>33572</v>
      </c>
      <c r="I767" s="329">
        <v>224328</v>
      </c>
      <c r="J767" s="329">
        <v>30930</v>
      </c>
      <c r="K767" s="329">
        <v>524502</v>
      </c>
      <c r="L767" s="329"/>
      <c r="M767" s="329">
        <v>0</v>
      </c>
      <c r="N767" s="329">
        <v>0</v>
      </c>
      <c r="O767" s="329">
        <v>26014</v>
      </c>
      <c r="P767" s="329">
        <v>26014</v>
      </c>
      <c r="Q767" s="329"/>
      <c r="R767" s="329">
        <v>613123</v>
      </c>
      <c r="S767" s="329">
        <v>-4713</v>
      </c>
      <c r="T767" s="329">
        <v>608410</v>
      </c>
    </row>
    <row r="768" spans="1:20">
      <c r="A768" s="335">
        <v>98107</v>
      </c>
      <c r="B768" s="328" t="s">
        <v>1461</v>
      </c>
      <c r="C768" s="239">
        <v>9.3999999999999998E-6</v>
      </c>
      <c r="D768" s="239">
        <v>1.01E-5</v>
      </c>
      <c r="E768" s="329">
        <v>25671</v>
      </c>
      <c r="F768" s="329"/>
      <c r="G768" s="329">
        <v>4395</v>
      </c>
      <c r="H768" s="329">
        <v>627</v>
      </c>
      <c r="I768" s="329">
        <v>4184</v>
      </c>
      <c r="J768" s="329">
        <v>8882</v>
      </c>
      <c r="K768" s="329">
        <v>18088</v>
      </c>
      <c r="L768" s="329"/>
      <c r="M768" s="329">
        <v>0</v>
      </c>
      <c r="N768" s="329">
        <v>0</v>
      </c>
      <c r="O768" s="329">
        <v>0</v>
      </c>
      <c r="P768" s="329">
        <v>0</v>
      </c>
      <c r="Q768" s="329"/>
      <c r="R768" s="329">
        <v>11435</v>
      </c>
      <c r="S768" s="329">
        <v>4225</v>
      </c>
      <c r="T768" s="329">
        <v>15660</v>
      </c>
    </row>
    <row r="769" spans="1:20">
      <c r="A769" s="335">
        <v>98109</v>
      </c>
      <c r="B769" s="328" t="s">
        <v>3722</v>
      </c>
      <c r="C769" s="239">
        <v>1.595E-4</v>
      </c>
      <c r="D769" s="239">
        <v>1.4310000000000001E-4</v>
      </c>
      <c r="E769" s="329">
        <v>435582</v>
      </c>
      <c r="F769" s="329"/>
      <c r="G769" s="329">
        <v>74583</v>
      </c>
      <c r="H769" s="329">
        <v>10624</v>
      </c>
      <c r="I769" s="329">
        <v>70993</v>
      </c>
      <c r="J769" s="329">
        <v>29051</v>
      </c>
      <c r="K769" s="329">
        <v>185251</v>
      </c>
      <c r="L769" s="329"/>
      <c r="M769" s="329">
        <v>0</v>
      </c>
      <c r="N769" s="329">
        <v>0</v>
      </c>
      <c r="O769" s="329">
        <v>6185</v>
      </c>
      <c r="P769" s="329">
        <v>6185</v>
      </c>
      <c r="Q769" s="329"/>
      <c r="R769" s="329">
        <v>194034</v>
      </c>
      <c r="S769" s="329">
        <v>2254</v>
      </c>
      <c r="T769" s="329">
        <v>196288</v>
      </c>
    </row>
    <row r="770" spans="1:20">
      <c r="A770" s="335">
        <v>98111</v>
      </c>
      <c r="B770" s="328" t="s">
        <v>1463</v>
      </c>
      <c r="C770" s="239">
        <v>1.0231999999999999E-3</v>
      </c>
      <c r="D770" s="239">
        <v>1.0207E-3</v>
      </c>
      <c r="E770" s="329">
        <v>2794279</v>
      </c>
      <c r="F770" s="329"/>
      <c r="G770" s="329">
        <v>478451</v>
      </c>
      <c r="H770" s="329">
        <v>68157</v>
      </c>
      <c r="I770" s="329">
        <v>455421</v>
      </c>
      <c r="J770" s="329">
        <v>0</v>
      </c>
      <c r="K770" s="329">
        <v>1002029</v>
      </c>
      <c r="L770" s="329"/>
      <c r="M770" s="329">
        <v>0</v>
      </c>
      <c r="N770" s="329">
        <v>0</v>
      </c>
      <c r="O770" s="329">
        <v>80540</v>
      </c>
      <c r="P770" s="329">
        <v>80540</v>
      </c>
      <c r="Q770" s="329"/>
      <c r="R770" s="329">
        <v>1244736</v>
      </c>
      <c r="S770" s="329">
        <v>-36220</v>
      </c>
      <c r="T770" s="329">
        <v>1208516</v>
      </c>
    </row>
    <row r="771" spans="1:20">
      <c r="A771" s="335">
        <v>98113</v>
      </c>
      <c r="B771" s="328" t="s">
        <v>1464</v>
      </c>
      <c r="C771" s="239">
        <v>3.3899999999999997E-5</v>
      </c>
      <c r="D771" s="239">
        <v>3.8999999999999999E-5</v>
      </c>
      <c r="E771" s="329">
        <v>92578</v>
      </c>
      <c r="F771" s="329"/>
      <c r="G771" s="329">
        <v>15852</v>
      </c>
      <c r="H771" s="329">
        <v>2258</v>
      </c>
      <c r="I771" s="329">
        <v>15089</v>
      </c>
      <c r="J771" s="329">
        <v>6120</v>
      </c>
      <c r="K771" s="329">
        <v>39319</v>
      </c>
      <c r="L771" s="329"/>
      <c r="M771" s="329">
        <v>0</v>
      </c>
      <c r="N771" s="329">
        <v>0</v>
      </c>
      <c r="O771" s="329">
        <v>312</v>
      </c>
      <c r="P771" s="329">
        <v>312</v>
      </c>
      <c r="Q771" s="329"/>
      <c r="R771" s="329">
        <v>41240</v>
      </c>
      <c r="S771" s="329">
        <v>3840</v>
      </c>
      <c r="T771" s="329">
        <v>45080</v>
      </c>
    </row>
    <row r="772" spans="1:20">
      <c r="A772" s="335">
        <v>98121</v>
      </c>
      <c r="B772" s="328" t="s">
        <v>1465</v>
      </c>
      <c r="C772" s="239">
        <v>2.1259999999999999E-4</v>
      </c>
      <c r="D772" s="239">
        <v>2.241E-4</v>
      </c>
      <c r="E772" s="329">
        <v>580594</v>
      </c>
      <c r="F772" s="329"/>
      <c r="G772" s="329">
        <v>99412</v>
      </c>
      <c r="H772" s="329">
        <v>14162</v>
      </c>
      <c r="I772" s="329">
        <v>94627</v>
      </c>
      <c r="J772" s="329">
        <v>4071</v>
      </c>
      <c r="K772" s="329">
        <v>212272</v>
      </c>
      <c r="L772" s="329"/>
      <c r="M772" s="329">
        <v>0</v>
      </c>
      <c r="N772" s="329">
        <v>0</v>
      </c>
      <c r="O772" s="329">
        <v>24143</v>
      </c>
      <c r="P772" s="329">
        <v>24143</v>
      </c>
      <c r="Q772" s="329"/>
      <c r="R772" s="329">
        <v>258631</v>
      </c>
      <c r="S772" s="329">
        <v>-9032</v>
      </c>
      <c r="T772" s="329">
        <v>249599</v>
      </c>
    </row>
    <row r="773" spans="1:20">
      <c r="A773" s="335">
        <v>98131</v>
      </c>
      <c r="B773" s="328" t="s">
        <v>1466</v>
      </c>
      <c r="C773" s="239">
        <v>2.519E-4</v>
      </c>
      <c r="D773" s="239">
        <v>2.297E-4</v>
      </c>
      <c r="E773" s="329">
        <v>687919</v>
      </c>
      <c r="F773" s="329"/>
      <c r="G773" s="329">
        <v>117789</v>
      </c>
      <c r="H773" s="329">
        <v>16779</v>
      </c>
      <c r="I773" s="329">
        <v>112119</v>
      </c>
      <c r="J773" s="329">
        <v>23774</v>
      </c>
      <c r="K773" s="329">
        <v>270461</v>
      </c>
      <c r="L773" s="329"/>
      <c r="M773" s="329">
        <v>0</v>
      </c>
      <c r="N773" s="329">
        <v>0</v>
      </c>
      <c r="O773" s="329">
        <v>24067</v>
      </c>
      <c r="P773" s="329">
        <v>24067</v>
      </c>
      <c r="Q773" s="329"/>
      <c r="R773" s="329">
        <v>306440</v>
      </c>
      <c r="S773" s="329">
        <v>-10999</v>
      </c>
      <c r="T773" s="329">
        <v>295441</v>
      </c>
    </row>
    <row r="774" spans="1:20">
      <c r="A774" s="335">
        <v>98141</v>
      </c>
      <c r="B774" s="328" t="s">
        <v>1467</v>
      </c>
      <c r="C774" s="239">
        <v>2.8699999999999998E-4</v>
      </c>
      <c r="D774" s="239">
        <v>3.0160000000000001E-4</v>
      </c>
      <c r="E774" s="329">
        <v>783775</v>
      </c>
      <c r="F774" s="329"/>
      <c r="G774" s="329">
        <v>134202</v>
      </c>
      <c r="H774" s="329">
        <v>19118</v>
      </c>
      <c r="I774" s="329">
        <v>127742</v>
      </c>
      <c r="J774" s="329">
        <v>2132</v>
      </c>
      <c r="K774" s="329">
        <v>283194</v>
      </c>
      <c r="L774" s="329"/>
      <c r="M774" s="329">
        <v>0</v>
      </c>
      <c r="N774" s="329">
        <v>0</v>
      </c>
      <c r="O774" s="329">
        <v>28248</v>
      </c>
      <c r="P774" s="329">
        <v>28248</v>
      </c>
      <c r="Q774" s="329"/>
      <c r="R774" s="329">
        <v>349139</v>
      </c>
      <c r="S774" s="329">
        <v>-10163</v>
      </c>
      <c r="T774" s="329">
        <v>338976</v>
      </c>
    </row>
    <row r="775" spans="1:20">
      <c r="A775" s="335">
        <v>98147</v>
      </c>
      <c r="B775" s="328" t="s">
        <v>1468</v>
      </c>
      <c r="C775" s="239">
        <v>1.0699999999999999E-5</v>
      </c>
      <c r="D775" s="239">
        <v>1.15E-5</v>
      </c>
      <c r="E775" s="329">
        <v>29221</v>
      </c>
      <c r="F775" s="329"/>
      <c r="G775" s="329">
        <v>5003</v>
      </c>
      <c r="H775" s="329">
        <v>713</v>
      </c>
      <c r="I775" s="329">
        <v>4763</v>
      </c>
      <c r="J775" s="329">
        <v>8490</v>
      </c>
      <c r="K775" s="329">
        <v>18969</v>
      </c>
      <c r="L775" s="329"/>
      <c r="M775" s="329">
        <v>0</v>
      </c>
      <c r="N775" s="329">
        <v>0</v>
      </c>
      <c r="O775" s="329">
        <v>0</v>
      </c>
      <c r="P775" s="329">
        <v>0</v>
      </c>
      <c r="Q775" s="329"/>
      <c r="R775" s="329">
        <v>13017</v>
      </c>
      <c r="S775" s="329">
        <v>4099</v>
      </c>
      <c r="T775" s="329">
        <v>17116</v>
      </c>
    </row>
    <row r="776" spans="1:20">
      <c r="A776" s="335">
        <v>98161</v>
      </c>
      <c r="B776" s="328" t="s">
        <v>1469</v>
      </c>
      <c r="C776" s="239">
        <v>6.1999999999999999E-6</v>
      </c>
      <c r="D776" s="239">
        <v>6.7000000000000002E-6</v>
      </c>
      <c r="E776" s="329">
        <v>16932</v>
      </c>
      <c r="F776" s="329"/>
      <c r="G776" s="329">
        <v>2899</v>
      </c>
      <c r="H776" s="329">
        <v>413</v>
      </c>
      <c r="I776" s="329">
        <v>2760</v>
      </c>
      <c r="J776" s="329">
        <v>3318</v>
      </c>
      <c r="K776" s="329">
        <v>9390</v>
      </c>
      <c r="L776" s="329"/>
      <c r="M776" s="329">
        <v>0</v>
      </c>
      <c r="N776" s="329">
        <v>0</v>
      </c>
      <c r="O776" s="329">
        <v>0</v>
      </c>
      <c r="P776" s="329">
        <v>0</v>
      </c>
      <c r="Q776" s="329"/>
      <c r="R776" s="329">
        <v>7542</v>
      </c>
      <c r="S776" s="329">
        <v>1443</v>
      </c>
      <c r="T776" s="329">
        <v>8985</v>
      </c>
    </row>
    <row r="777" spans="1:20">
      <c r="A777" s="335">
        <v>98201</v>
      </c>
      <c r="B777" s="328" t="s">
        <v>1470</v>
      </c>
      <c r="C777" s="239">
        <v>3.3482999999999998E-3</v>
      </c>
      <c r="D777" s="239">
        <v>3.1725E-3</v>
      </c>
      <c r="E777" s="329">
        <v>9143946</v>
      </c>
      <c r="F777" s="329"/>
      <c r="G777" s="329">
        <v>1565675</v>
      </c>
      <c r="H777" s="329">
        <v>223034</v>
      </c>
      <c r="I777" s="329">
        <v>1490312</v>
      </c>
      <c r="J777" s="329">
        <v>130024</v>
      </c>
      <c r="K777" s="329">
        <v>3409045</v>
      </c>
      <c r="L777" s="329"/>
      <c r="M777" s="329">
        <v>0</v>
      </c>
      <c r="N777" s="329">
        <v>0</v>
      </c>
      <c r="O777" s="329">
        <v>28023</v>
      </c>
      <c r="P777" s="329">
        <v>28023</v>
      </c>
      <c r="Q777" s="329"/>
      <c r="R777" s="329">
        <v>4073250</v>
      </c>
      <c r="S777" s="329">
        <v>18041</v>
      </c>
      <c r="T777" s="329">
        <v>4091291</v>
      </c>
    </row>
    <row r="778" spans="1:20">
      <c r="A778" s="335">
        <v>98205</v>
      </c>
      <c r="B778" s="328" t="s">
        <v>2808</v>
      </c>
      <c r="C778" s="239">
        <v>4.0899999999999998E-5</v>
      </c>
      <c r="D778" s="239">
        <v>3.6100000000000003E-5</v>
      </c>
      <c r="E778" s="329">
        <v>111695</v>
      </c>
      <c r="F778" s="329"/>
      <c r="G778" s="329">
        <v>19125</v>
      </c>
      <c r="H778" s="329">
        <v>2725</v>
      </c>
      <c r="I778" s="329">
        <v>18204</v>
      </c>
      <c r="J778" s="329">
        <v>4162</v>
      </c>
      <c r="K778" s="329">
        <v>44216</v>
      </c>
      <c r="L778" s="329"/>
      <c r="M778" s="329">
        <v>0</v>
      </c>
      <c r="N778" s="329">
        <v>0</v>
      </c>
      <c r="O778" s="329">
        <v>4045</v>
      </c>
      <c r="P778" s="329">
        <v>4045</v>
      </c>
      <c r="Q778" s="329"/>
      <c r="R778" s="329">
        <v>49755</v>
      </c>
      <c r="S778" s="329">
        <v>-432</v>
      </c>
      <c r="T778" s="329">
        <v>49323</v>
      </c>
    </row>
    <row r="779" spans="1:20">
      <c r="A779" s="335">
        <v>98211</v>
      </c>
      <c r="B779" s="328" t="s">
        <v>1472</v>
      </c>
      <c r="C779" s="239">
        <v>9.0399999999999996E-4</v>
      </c>
      <c r="D779" s="239">
        <v>8.5470000000000001E-4</v>
      </c>
      <c r="E779" s="329">
        <v>2468753</v>
      </c>
      <c r="F779" s="329"/>
      <c r="G779" s="329">
        <v>422713</v>
      </c>
      <c r="H779" s="329">
        <v>60217</v>
      </c>
      <c r="I779" s="329">
        <v>402366</v>
      </c>
      <c r="J779" s="329">
        <v>25220</v>
      </c>
      <c r="K779" s="329">
        <v>910516</v>
      </c>
      <c r="L779" s="329"/>
      <c r="M779" s="329">
        <v>0</v>
      </c>
      <c r="N779" s="329">
        <v>0</v>
      </c>
      <c r="O779" s="329">
        <v>63246</v>
      </c>
      <c r="P779" s="329">
        <v>63246</v>
      </c>
      <c r="Q779" s="329"/>
      <c r="R779" s="329">
        <v>1099728</v>
      </c>
      <c r="S779" s="329">
        <v>-42769</v>
      </c>
      <c r="T779" s="329">
        <v>1056959</v>
      </c>
    </row>
    <row r="780" spans="1:20">
      <c r="A780" s="335">
        <v>98218</v>
      </c>
      <c r="B780" s="328" t="s">
        <v>1473</v>
      </c>
      <c r="C780" s="239">
        <v>1.8099999999999999E-5</v>
      </c>
      <c r="D780" s="239">
        <v>1.5500000000000001E-5</v>
      </c>
      <c r="E780" s="329">
        <v>49430</v>
      </c>
      <c r="F780" s="329"/>
      <c r="G780" s="329">
        <v>8464</v>
      </c>
      <c r="H780" s="329">
        <v>1206</v>
      </c>
      <c r="I780" s="329">
        <v>8056</v>
      </c>
      <c r="J780" s="329">
        <v>4872</v>
      </c>
      <c r="K780" s="329">
        <v>22598</v>
      </c>
      <c r="L780" s="329"/>
      <c r="M780" s="329">
        <v>0</v>
      </c>
      <c r="N780" s="329">
        <v>0</v>
      </c>
      <c r="O780" s="329">
        <v>36</v>
      </c>
      <c r="P780" s="329">
        <v>36</v>
      </c>
      <c r="Q780" s="329"/>
      <c r="R780" s="329">
        <v>22019</v>
      </c>
      <c r="S780" s="329">
        <v>1347</v>
      </c>
      <c r="T780" s="329">
        <v>23366</v>
      </c>
    </row>
    <row r="781" spans="1:20">
      <c r="A781" s="335">
        <v>98221</v>
      </c>
      <c r="B781" s="328" t="s">
        <v>1474</v>
      </c>
      <c r="C781" s="239">
        <v>2.72E-5</v>
      </c>
      <c r="D781" s="239">
        <v>1.8499999999999999E-5</v>
      </c>
      <c r="E781" s="329">
        <v>74281</v>
      </c>
      <c r="F781" s="329"/>
      <c r="G781" s="329">
        <v>12719</v>
      </c>
      <c r="H781" s="329">
        <v>1812</v>
      </c>
      <c r="I781" s="329">
        <v>12107</v>
      </c>
      <c r="J781" s="329">
        <v>8623</v>
      </c>
      <c r="K781" s="329">
        <v>35261</v>
      </c>
      <c r="L781" s="329"/>
      <c r="M781" s="329">
        <v>0</v>
      </c>
      <c r="N781" s="329">
        <v>0</v>
      </c>
      <c r="O781" s="329">
        <v>0</v>
      </c>
      <c r="P781" s="329">
        <v>0</v>
      </c>
      <c r="Q781" s="329"/>
      <c r="R781" s="329">
        <v>33089</v>
      </c>
      <c r="S781" s="329">
        <v>3240</v>
      </c>
      <c r="T781" s="329">
        <v>36329</v>
      </c>
    </row>
    <row r="782" spans="1:20">
      <c r="A782" s="335">
        <v>98231</v>
      </c>
      <c r="B782" s="328" t="s">
        <v>1475</v>
      </c>
      <c r="C782" s="239">
        <v>3.1699999999999998E-5</v>
      </c>
      <c r="D782" s="239">
        <v>3.1000000000000001E-5</v>
      </c>
      <c r="E782" s="329">
        <v>86570</v>
      </c>
      <c r="F782" s="329"/>
      <c r="G782" s="329">
        <v>14823</v>
      </c>
      <c r="H782" s="329">
        <v>2112</v>
      </c>
      <c r="I782" s="329">
        <v>14110</v>
      </c>
      <c r="J782" s="329">
        <v>6066</v>
      </c>
      <c r="K782" s="329">
        <v>37111</v>
      </c>
      <c r="L782" s="329"/>
      <c r="M782" s="329">
        <v>0</v>
      </c>
      <c r="N782" s="329">
        <v>0</v>
      </c>
      <c r="O782" s="329">
        <v>3192</v>
      </c>
      <c r="P782" s="329">
        <v>3192</v>
      </c>
      <c r="Q782" s="329"/>
      <c r="R782" s="329">
        <v>38563</v>
      </c>
      <c r="S782" s="329">
        <v>783</v>
      </c>
      <c r="T782" s="329">
        <v>39346</v>
      </c>
    </row>
    <row r="783" spans="1:20">
      <c r="A783" s="335">
        <v>98237</v>
      </c>
      <c r="B783" s="328" t="s">
        <v>1476</v>
      </c>
      <c r="C783" s="239">
        <v>6.7000000000000002E-6</v>
      </c>
      <c r="D783" s="239">
        <v>5.5999999999999997E-6</v>
      </c>
      <c r="E783" s="329">
        <v>18297</v>
      </c>
      <c r="F783" s="329"/>
      <c r="G783" s="329">
        <v>3133</v>
      </c>
      <c r="H783" s="329">
        <v>447</v>
      </c>
      <c r="I783" s="329">
        <v>2982</v>
      </c>
      <c r="J783" s="329">
        <v>3713</v>
      </c>
      <c r="K783" s="329">
        <v>10275</v>
      </c>
      <c r="L783" s="329"/>
      <c r="M783" s="329">
        <v>0</v>
      </c>
      <c r="N783" s="329">
        <v>0</v>
      </c>
      <c r="O783" s="329">
        <v>0</v>
      </c>
      <c r="P783" s="329">
        <v>0</v>
      </c>
      <c r="Q783" s="329"/>
      <c r="R783" s="329">
        <v>8151</v>
      </c>
      <c r="S783" s="329">
        <v>1825</v>
      </c>
      <c r="T783" s="329">
        <v>9976</v>
      </c>
    </row>
    <row r="784" spans="1:20">
      <c r="A784" s="335">
        <v>98241</v>
      </c>
      <c r="B784" s="328" t="s">
        <v>1477</v>
      </c>
      <c r="C784" s="239">
        <v>1.7799999999999999E-5</v>
      </c>
      <c r="D784" s="239">
        <v>1.22E-5</v>
      </c>
      <c r="E784" s="329">
        <v>48610</v>
      </c>
      <c r="F784" s="329"/>
      <c r="G784" s="329">
        <v>8323</v>
      </c>
      <c r="H784" s="329">
        <v>1186</v>
      </c>
      <c r="I784" s="329">
        <v>7923</v>
      </c>
      <c r="J784" s="329">
        <v>7390</v>
      </c>
      <c r="K784" s="329">
        <v>24822</v>
      </c>
      <c r="L784" s="329"/>
      <c r="M784" s="329">
        <v>0</v>
      </c>
      <c r="N784" s="329">
        <v>0</v>
      </c>
      <c r="O784" s="329">
        <v>1648</v>
      </c>
      <c r="P784" s="329">
        <v>1648</v>
      </c>
      <c r="Q784" s="329"/>
      <c r="R784" s="329">
        <v>21654</v>
      </c>
      <c r="S784" s="329">
        <v>2029</v>
      </c>
      <c r="T784" s="329">
        <v>23683</v>
      </c>
    </row>
    <row r="785" spans="1:20">
      <c r="A785" s="335">
        <v>98251</v>
      </c>
      <c r="B785" s="328" t="s">
        <v>1478</v>
      </c>
      <c r="C785" s="239">
        <v>2.5000000000000002E-6</v>
      </c>
      <c r="D785" s="239">
        <v>2.7E-6</v>
      </c>
      <c r="E785" s="329">
        <v>6827</v>
      </c>
      <c r="F785" s="329"/>
      <c r="G785" s="329">
        <v>1169</v>
      </c>
      <c r="H785" s="329">
        <v>167</v>
      </c>
      <c r="I785" s="329">
        <v>1113</v>
      </c>
      <c r="J785" s="329">
        <v>1784</v>
      </c>
      <c r="K785" s="329">
        <v>4233</v>
      </c>
      <c r="L785" s="329"/>
      <c r="M785" s="329">
        <v>0</v>
      </c>
      <c r="N785" s="329">
        <v>0</v>
      </c>
      <c r="O785" s="329">
        <v>0</v>
      </c>
      <c r="P785" s="329">
        <v>0</v>
      </c>
      <c r="Q785" s="329"/>
      <c r="R785" s="329">
        <v>3041</v>
      </c>
      <c r="S785" s="329">
        <v>796</v>
      </c>
      <c r="T785" s="329">
        <v>3837</v>
      </c>
    </row>
    <row r="786" spans="1:20">
      <c r="A786" s="335">
        <v>98261</v>
      </c>
      <c r="B786" s="328" t="s">
        <v>1479</v>
      </c>
      <c r="C786" s="239">
        <v>3.3699999999999999E-5</v>
      </c>
      <c r="D786" s="239">
        <v>3.3099999999999998E-5</v>
      </c>
      <c r="E786" s="329">
        <v>92032</v>
      </c>
      <c r="F786" s="329"/>
      <c r="G786" s="329">
        <v>15758</v>
      </c>
      <c r="H786" s="329">
        <v>2245</v>
      </c>
      <c r="I786" s="329">
        <v>15000</v>
      </c>
      <c r="J786" s="329">
        <v>5613</v>
      </c>
      <c r="K786" s="329">
        <v>38616</v>
      </c>
      <c r="L786" s="329"/>
      <c r="M786" s="329">
        <v>0</v>
      </c>
      <c r="N786" s="329">
        <v>0</v>
      </c>
      <c r="O786" s="329">
        <v>1480</v>
      </c>
      <c r="P786" s="329">
        <v>1480</v>
      </c>
      <c r="Q786" s="329"/>
      <c r="R786" s="329">
        <v>40996</v>
      </c>
      <c r="S786" s="329">
        <v>1591</v>
      </c>
      <c r="T786" s="329">
        <v>42587</v>
      </c>
    </row>
    <row r="787" spans="1:20">
      <c r="A787" s="335">
        <v>98271</v>
      </c>
      <c r="B787" s="328" t="s">
        <v>1480</v>
      </c>
      <c r="C787" s="239">
        <v>5.2000000000000002E-6</v>
      </c>
      <c r="D787" s="239">
        <v>5.3000000000000001E-6</v>
      </c>
      <c r="E787" s="329">
        <v>14201</v>
      </c>
      <c r="F787" s="329"/>
      <c r="G787" s="329">
        <v>2432</v>
      </c>
      <c r="H787" s="329">
        <v>346</v>
      </c>
      <c r="I787" s="329">
        <v>2314</v>
      </c>
      <c r="J787" s="329">
        <v>2894</v>
      </c>
      <c r="K787" s="329">
        <v>7986</v>
      </c>
      <c r="L787" s="329"/>
      <c r="M787" s="329">
        <v>0</v>
      </c>
      <c r="N787" s="329">
        <v>0</v>
      </c>
      <c r="O787" s="329">
        <v>0</v>
      </c>
      <c r="P787" s="329">
        <v>0</v>
      </c>
      <c r="Q787" s="329"/>
      <c r="R787" s="329">
        <v>6326</v>
      </c>
      <c r="S787" s="329">
        <v>1623</v>
      </c>
      <c r="T787" s="329">
        <v>7949</v>
      </c>
    </row>
    <row r="788" spans="1:20">
      <c r="A788" s="335">
        <v>98301</v>
      </c>
      <c r="B788" s="328" t="s">
        <v>1481</v>
      </c>
      <c r="C788" s="239">
        <v>1.7742000000000001E-3</v>
      </c>
      <c r="D788" s="239">
        <v>1.7489999999999999E-3</v>
      </c>
      <c r="E788" s="329">
        <v>4845202</v>
      </c>
      <c r="F788" s="329"/>
      <c r="G788" s="329">
        <v>829621</v>
      </c>
      <c r="H788" s="329">
        <v>118181</v>
      </c>
      <c r="I788" s="329">
        <v>789688</v>
      </c>
      <c r="J788" s="329">
        <v>83174</v>
      </c>
      <c r="K788" s="329">
        <v>1820664</v>
      </c>
      <c r="L788" s="329"/>
      <c r="M788" s="329">
        <v>0</v>
      </c>
      <c r="N788" s="329">
        <v>0</v>
      </c>
      <c r="O788" s="329">
        <v>0</v>
      </c>
      <c r="P788" s="329">
        <v>0</v>
      </c>
      <c r="Q788" s="329"/>
      <c r="R788" s="329">
        <v>2158337</v>
      </c>
      <c r="S788" s="329">
        <v>43157</v>
      </c>
      <c r="T788" s="329">
        <v>2201494</v>
      </c>
    </row>
    <row r="789" spans="1:20">
      <c r="A789" s="335">
        <v>98304</v>
      </c>
      <c r="B789" s="328" t="s">
        <v>1482</v>
      </c>
      <c r="C789" s="239">
        <v>2.0699999999999998E-5</v>
      </c>
      <c r="D789" s="239">
        <v>1.9300000000000002E-5</v>
      </c>
      <c r="E789" s="329">
        <v>56530</v>
      </c>
      <c r="F789" s="329"/>
      <c r="G789" s="329">
        <v>9679</v>
      </c>
      <c r="H789" s="329">
        <v>1379</v>
      </c>
      <c r="I789" s="329">
        <v>9213</v>
      </c>
      <c r="J789" s="329">
        <v>7671</v>
      </c>
      <c r="K789" s="329">
        <v>27942</v>
      </c>
      <c r="L789" s="329"/>
      <c r="M789" s="329">
        <v>0</v>
      </c>
      <c r="N789" s="329">
        <v>0</v>
      </c>
      <c r="O789" s="329">
        <v>0</v>
      </c>
      <c r="P789" s="329">
        <v>0</v>
      </c>
      <c r="Q789" s="329"/>
      <c r="R789" s="329">
        <v>25182</v>
      </c>
      <c r="S789" s="329">
        <v>2589</v>
      </c>
      <c r="T789" s="329">
        <v>27771</v>
      </c>
    </row>
    <row r="790" spans="1:20">
      <c r="A790" s="335">
        <v>98308</v>
      </c>
      <c r="B790" s="328" t="s">
        <v>1483</v>
      </c>
      <c r="C790" s="239">
        <v>1.6099999999999998E-5</v>
      </c>
      <c r="D790" s="239">
        <v>2.2399999999999999E-5</v>
      </c>
      <c r="E790" s="329">
        <v>43968</v>
      </c>
      <c r="F790" s="329"/>
      <c r="G790" s="329">
        <v>7528</v>
      </c>
      <c r="H790" s="329">
        <v>1072</v>
      </c>
      <c r="I790" s="329">
        <v>7166</v>
      </c>
      <c r="J790" s="329">
        <v>5235</v>
      </c>
      <c r="K790" s="329">
        <v>21001</v>
      </c>
      <c r="L790" s="329"/>
      <c r="M790" s="329">
        <v>0</v>
      </c>
      <c r="N790" s="329">
        <v>0</v>
      </c>
      <c r="O790" s="329">
        <v>0</v>
      </c>
      <c r="P790" s="329">
        <v>0</v>
      </c>
      <c r="Q790" s="329"/>
      <c r="R790" s="329">
        <v>19586</v>
      </c>
      <c r="S790" s="329">
        <v>3115</v>
      </c>
      <c r="T790" s="329">
        <v>22701</v>
      </c>
    </row>
    <row r="791" spans="1:20">
      <c r="A791" s="335">
        <v>98311</v>
      </c>
      <c r="B791" s="328" t="s">
        <v>1484</v>
      </c>
      <c r="C791" s="239">
        <v>1.1073999999999999E-3</v>
      </c>
      <c r="D791" s="239">
        <v>1.0931999999999999E-3</v>
      </c>
      <c r="E791" s="329">
        <v>3024223</v>
      </c>
      <c r="F791" s="329"/>
      <c r="G791" s="329">
        <v>517824</v>
      </c>
      <c r="H791" s="329">
        <v>73765</v>
      </c>
      <c r="I791" s="329">
        <v>492898</v>
      </c>
      <c r="J791" s="329">
        <v>0</v>
      </c>
      <c r="K791" s="329">
        <v>1084487</v>
      </c>
      <c r="L791" s="329"/>
      <c r="M791" s="329">
        <v>0</v>
      </c>
      <c r="N791" s="329">
        <v>0</v>
      </c>
      <c r="O791" s="329">
        <v>105793</v>
      </c>
      <c r="P791" s="329">
        <v>105793</v>
      </c>
      <c r="Q791" s="329"/>
      <c r="R791" s="329">
        <v>1347166</v>
      </c>
      <c r="S791" s="329">
        <v>-53029</v>
      </c>
      <c r="T791" s="329">
        <v>1294137</v>
      </c>
    </row>
    <row r="792" spans="1:20">
      <c r="A792" s="335">
        <v>98313</v>
      </c>
      <c r="B792" s="328" t="s">
        <v>1485</v>
      </c>
      <c r="C792" s="239">
        <v>2.1000000000000001E-4</v>
      </c>
      <c r="D792" s="239">
        <v>2.4240000000000001E-4</v>
      </c>
      <c r="E792" s="329">
        <v>573494</v>
      </c>
      <c r="F792" s="329"/>
      <c r="G792" s="329">
        <v>98197</v>
      </c>
      <c r="H792" s="329">
        <v>13989</v>
      </c>
      <c r="I792" s="329">
        <v>93470</v>
      </c>
      <c r="J792" s="329">
        <v>272208</v>
      </c>
      <c r="K792" s="329">
        <v>477864</v>
      </c>
      <c r="L792" s="329"/>
      <c r="M792" s="329">
        <v>0</v>
      </c>
      <c r="N792" s="329">
        <v>0</v>
      </c>
      <c r="O792" s="329">
        <v>0</v>
      </c>
      <c r="P792" s="329">
        <v>0</v>
      </c>
      <c r="Q792" s="329"/>
      <c r="R792" s="329">
        <v>255468</v>
      </c>
      <c r="S792" s="329">
        <v>129789</v>
      </c>
      <c r="T792" s="329">
        <v>385257</v>
      </c>
    </row>
    <row r="793" spans="1:20" s="340" customFormat="1">
      <c r="A793" s="335">
        <v>98321</v>
      </c>
      <c r="B793" s="328" t="s">
        <v>1486</v>
      </c>
      <c r="C793" s="239">
        <v>1.6900000000000001E-5</v>
      </c>
      <c r="D793" s="239">
        <v>1.9199999999999999E-5</v>
      </c>
      <c r="E793" s="329">
        <v>46153</v>
      </c>
      <c r="F793" s="329"/>
      <c r="G793" s="329">
        <v>7902</v>
      </c>
      <c r="H793" s="329">
        <v>1125</v>
      </c>
      <c r="I793" s="329">
        <v>7522</v>
      </c>
      <c r="J793" s="329">
        <v>42</v>
      </c>
      <c r="K793" s="329">
        <v>16591</v>
      </c>
      <c r="L793" s="329"/>
      <c r="M793" s="329">
        <v>0</v>
      </c>
      <c r="N793" s="329">
        <v>0</v>
      </c>
      <c r="O793" s="329">
        <v>1583</v>
      </c>
      <c r="P793" s="329">
        <v>1583</v>
      </c>
      <c r="Q793" s="329"/>
      <c r="R793" s="329">
        <v>20559</v>
      </c>
      <c r="S793" s="329">
        <v>-1260</v>
      </c>
      <c r="T793" s="329">
        <v>19299</v>
      </c>
    </row>
    <row r="794" spans="1:20">
      <c r="A794" s="335">
        <v>98331</v>
      </c>
      <c r="B794" s="328" t="s">
        <v>1487</v>
      </c>
      <c r="C794" s="239">
        <v>8.3999999999999992E-6</v>
      </c>
      <c r="D794" s="239">
        <v>9.3000000000000007E-6</v>
      </c>
      <c r="E794" s="329">
        <v>22940</v>
      </c>
      <c r="F794" s="329"/>
      <c r="G794" s="329">
        <v>3928</v>
      </c>
      <c r="H794" s="329">
        <v>559</v>
      </c>
      <c r="I794" s="329">
        <v>3739</v>
      </c>
      <c r="J794" s="329">
        <v>3116</v>
      </c>
      <c r="K794" s="329">
        <v>11342</v>
      </c>
      <c r="L794" s="329"/>
      <c r="M794" s="329">
        <v>0</v>
      </c>
      <c r="N794" s="329">
        <v>0</v>
      </c>
      <c r="O794" s="329">
        <v>0</v>
      </c>
      <c r="P794" s="329">
        <v>0</v>
      </c>
      <c r="Q794" s="329"/>
      <c r="R794" s="329">
        <v>10219</v>
      </c>
      <c r="S794" s="329">
        <v>1668</v>
      </c>
      <c r="T794" s="329">
        <v>11887</v>
      </c>
    </row>
    <row r="795" spans="1:20">
      <c r="A795" s="335">
        <v>98401</v>
      </c>
      <c r="B795" s="328" t="s">
        <v>1488</v>
      </c>
      <c r="C795" s="239">
        <v>2.9618000000000001E-3</v>
      </c>
      <c r="D795" s="239">
        <v>2.7358E-3</v>
      </c>
      <c r="E795" s="329">
        <v>8088445</v>
      </c>
      <c r="F795" s="329"/>
      <c r="G795" s="329">
        <v>1384947</v>
      </c>
      <c r="H795" s="329">
        <v>197289</v>
      </c>
      <c r="I795" s="329">
        <v>1318282</v>
      </c>
      <c r="J795" s="329">
        <v>353472</v>
      </c>
      <c r="K795" s="329">
        <v>3253990</v>
      </c>
      <c r="L795" s="329"/>
      <c r="M795" s="329">
        <v>0</v>
      </c>
      <c r="N795" s="329">
        <v>0</v>
      </c>
      <c r="O795" s="329">
        <v>1893</v>
      </c>
      <c r="P795" s="329">
        <v>1893</v>
      </c>
      <c r="Q795" s="329"/>
      <c r="R795" s="329">
        <v>3603068</v>
      </c>
      <c r="S795" s="329">
        <v>130566</v>
      </c>
      <c r="T795" s="329">
        <v>3733634</v>
      </c>
    </row>
    <row r="796" spans="1:20">
      <c r="A796" s="335">
        <v>98404</v>
      </c>
      <c r="B796" s="328" t="s">
        <v>1489</v>
      </c>
      <c r="C796" s="239">
        <v>1.43E-5</v>
      </c>
      <c r="D796" s="239">
        <v>1.5099999999999999E-5</v>
      </c>
      <c r="E796" s="329">
        <v>39052</v>
      </c>
      <c r="F796" s="329"/>
      <c r="G796" s="329">
        <v>6687</v>
      </c>
      <c r="H796" s="329">
        <v>952</v>
      </c>
      <c r="I796" s="329">
        <v>6365</v>
      </c>
      <c r="J796" s="329">
        <v>5183</v>
      </c>
      <c r="K796" s="329">
        <v>19187</v>
      </c>
      <c r="L796" s="329"/>
      <c r="M796" s="329">
        <v>0</v>
      </c>
      <c r="N796" s="329">
        <v>0</v>
      </c>
      <c r="O796" s="329">
        <v>336</v>
      </c>
      <c r="P796" s="329">
        <v>336</v>
      </c>
      <c r="Q796" s="329"/>
      <c r="R796" s="329">
        <v>17396</v>
      </c>
      <c r="S796" s="329">
        <v>2419</v>
      </c>
      <c r="T796" s="329">
        <v>19815</v>
      </c>
    </row>
    <row r="797" spans="1:20">
      <c r="A797" s="335">
        <v>98411</v>
      </c>
      <c r="B797" s="328" t="s">
        <v>1490</v>
      </c>
      <c r="C797" s="239">
        <v>1.9082000000000001E-3</v>
      </c>
      <c r="D797" s="239">
        <v>1.9327000000000001E-3</v>
      </c>
      <c r="E797" s="329">
        <v>5211145</v>
      </c>
      <c r="F797" s="329"/>
      <c r="G797" s="329">
        <v>892280</v>
      </c>
      <c r="H797" s="329">
        <v>127107</v>
      </c>
      <c r="I797" s="329">
        <v>849330</v>
      </c>
      <c r="J797" s="329">
        <v>0</v>
      </c>
      <c r="K797" s="329">
        <v>1868717</v>
      </c>
      <c r="L797" s="329"/>
      <c r="M797" s="329">
        <v>0</v>
      </c>
      <c r="N797" s="329">
        <v>0</v>
      </c>
      <c r="O797" s="329">
        <v>156014</v>
      </c>
      <c r="P797" s="329">
        <v>156014</v>
      </c>
      <c r="Q797" s="329"/>
      <c r="R797" s="329">
        <v>2321350</v>
      </c>
      <c r="S797" s="329">
        <v>-57998</v>
      </c>
      <c r="T797" s="329">
        <v>2263352</v>
      </c>
    </row>
    <row r="798" spans="1:20">
      <c r="A798" s="335">
        <v>98417</v>
      </c>
      <c r="B798" s="328" t="s">
        <v>1492</v>
      </c>
      <c r="C798" s="239">
        <v>2.23E-5</v>
      </c>
      <c r="D798" s="239">
        <v>2.1500000000000001E-5</v>
      </c>
      <c r="E798" s="329">
        <v>60900</v>
      </c>
      <c r="F798" s="329"/>
      <c r="G798" s="329">
        <v>10428</v>
      </c>
      <c r="H798" s="329">
        <v>1485</v>
      </c>
      <c r="I798" s="329">
        <v>9926</v>
      </c>
      <c r="J798" s="329">
        <v>8459</v>
      </c>
      <c r="K798" s="329">
        <v>30298</v>
      </c>
      <c r="L798" s="329"/>
      <c r="M798" s="329">
        <v>0</v>
      </c>
      <c r="N798" s="329">
        <v>0</v>
      </c>
      <c r="O798" s="329">
        <v>0</v>
      </c>
      <c r="P798" s="329">
        <v>0</v>
      </c>
      <c r="Q798" s="329"/>
      <c r="R798" s="329">
        <v>27128</v>
      </c>
      <c r="S798" s="329">
        <v>2772</v>
      </c>
      <c r="T798" s="329">
        <v>29900</v>
      </c>
    </row>
    <row r="799" spans="1:20">
      <c r="A799" s="335">
        <v>98421</v>
      </c>
      <c r="B799" s="328" t="s">
        <v>1493</v>
      </c>
      <c r="C799" s="239">
        <v>1.121E-4</v>
      </c>
      <c r="D799" s="239">
        <v>1.06E-4</v>
      </c>
      <c r="E799" s="329">
        <v>306136</v>
      </c>
      <c r="F799" s="329"/>
      <c r="G799" s="329">
        <v>52418</v>
      </c>
      <c r="H799" s="329">
        <v>7467</v>
      </c>
      <c r="I799" s="329">
        <v>49895</v>
      </c>
      <c r="J799" s="329">
        <v>13419</v>
      </c>
      <c r="K799" s="329">
        <v>123199</v>
      </c>
      <c r="L799" s="329"/>
      <c r="M799" s="329">
        <v>0</v>
      </c>
      <c r="N799" s="329">
        <v>0</v>
      </c>
      <c r="O799" s="329">
        <v>6043</v>
      </c>
      <c r="P799" s="329">
        <v>6043</v>
      </c>
      <c r="Q799" s="329"/>
      <c r="R799" s="329">
        <v>136371</v>
      </c>
      <c r="S799" s="329">
        <v>3557</v>
      </c>
      <c r="T799" s="329">
        <v>139928</v>
      </c>
    </row>
    <row r="800" spans="1:20">
      <c r="A800" s="335">
        <v>98427</v>
      </c>
      <c r="B800" s="328" t="s">
        <v>2799</v>
      </c>
      <c r="C800" s="239">
        <v>3.1E-6</v>
      </c>
      <c r="D800" s="239">
        <v>3.4000000000000001E-6</v>
      </c>
      <c r="E800" s="329">
        <v>8466</v>
      </c>
      <c r="F800" s="329"/>
      <c r="G800" s="329">
        <v>1450</v>
      </c>
      <c r="H800" s="329">
        <v>206</v>
      </c>
      <c r="I800" s="329">
        <v>1380</v>
      </c>
      <c r="J800" s="329">
        <v>2532</v>
      </c>
      <c r="K800" s="329">
        <v>5568</v>
      </c>
      <c r="L800" s="329"/>
      <c r="M800" s="329">
        <v>0</v>
      </c>
      <c r="N800" s="329">
        <v>0</v>
      </c>
      <c r="O800" s="329">
        <v>0</v>
      </c>
      <c r="P800" s="329">
        <v>0</v>
      </c>
      <c r="Q800" s="329"/>
      <c r="R800" s="329">
        <v>3771</v>
      </c>
      <c r="S800" s="329">
        <v>967</v>
      </c>
      <c r="T800" s="329">
        <v>4738</v>
      </c>
    </row>
    <row r="801" spans="1:20">
      <c r="A801" s="335">
        <v>98431</v>
      </c>
      <c r="B801" s="328" t="s">
        <v>1495</v>
      </c>
      <c r="C801" s="239">
        <v>1.997E-4</v>
      </c>
      <c r="D801" s="239">
        <v>1.961E-4</v>
      </c>
      <c r="E801" s="329">
        <v>545365</v>
      </c>
      <c r="F801" s="329"/>
      <c r="G801" s="329">
        <v>93380</v>
      </c>
      <c r="H801" s="329">
        <v>13303</v>
      </c>
      <c r="I801" s="329">
        <v>88885</v>
      </c>
      <c r="J801" s="329">
        <v>0</v>
      </c>
      <c r="K801" s="329">
        <v>195568</v>
      </c>
      <c r="L801" s="329"/>
      <c r="M801" s="329">
        <v>0</v>
      </c>
      <c r="N801" s="329">
        <v>0</v>
      </c>
      <c r="O801" s="329">
        <v>26324</v>
      </c>
      <c r="P801" s="329">
        <v>26324</v>
      </c>
      <c r="Q801" s="329"/>
      <c r="R801" s="329">
        <v>242938</v>
      </c>
      <c r="S801" s="329">
        <v>-14127</v>
      </c>
      <c r="T801" s="329">
        <v>228811</v>
      </c>
    </row>
    <row r="802" spans="1:20">
      <c r="A802" s="335">
        <v>98441</v>
      </c>
      <c r="B802" s="328" t="s">
        <v>1496</v>
      </c>
      <c r="C802" s="239">
        <v>1.0230000000000001E-4</v>
      </c>
      <c r="D802" s="239">
        <v>1.0900000000000001E-4</v>
      </c>
      <c r="E802" s="329">
        <v>279373</v>
      </c>
      <c r="F802" s="329"/>
      <c r="G802" s="329">
        <v>47836</v>
      </c>
      <c r="H802" s="329">
        <v>6815</v>
      </c>
      <c r="I802" s="329">
        <v>45533</v>
      </c>
      <c r="J802" s="329">
        <v>9054</v>
      </c>
      <c r="K802" s="329">
        <v>109238</v>
      </c>
      <c r="L802" s="329"/>
      <c r="M802" s="329">
        <v>0</v>
      </c>
      <c r="N802" s="329">
        <v>0</v>
      </c>
      <c r="O802" s="329">
        <v>15598</v>
      </c>
      <c r="P802" s="329">
        <v>15598</v>
      </c>
      <c r="Q802" s="329"/>
      <c r="R802" s="329">
        <v>124449</v>
      </c>
      <c r="S802" s="329">
        <v>-7248</v>
      </c>
      <c r="T802" s="329">
        <v>117201</v>
      </c>
    </row>
    <row r="803" spans="1:20">
      <c r="A803" s="335">
        <v>98451</v>
      </c>
      <c r="B803" s="328" t="s">
        <v>1497</v>
      </c>
      <c r="C803" s="239">
        <v>4.6100000000000002E-5</v>
      </c>
      <c r="D803" s="239">
        <v>4.88E-5</v>
      </c>
      <c r="E803" s="329">
        <v>125896</v>
      </c>
      <c r="F803" s="329"/>
      <c r="G803" s="329">
        <v>21556</v>
      </c>
      <c r="H803" s="329">
        <v>3070</v>
      </c>
      <c r="I803" s="329">
        <v>20519</v>
      </c>
      <c r="J803" s="329">
        <v>414</v>
      </c>
      <c r="K803" s="329">
        <v>45559</v>
      </c>
      <c r="L803" s="329"/>
      <c r="M803" s="329">
        <v>0</v>
      </c>
      <c r="N803" s="329">
        <v>0</v>
      </c>
      <c r="O803" s="329">
        <v>3016</v>
      </c>
      <c r="P803" s="329">
        <v>3016</v>
      </c>
      <c r="Q803" s="329"/>
      <c r="R803" s="329">
        <v>56081</v>
      </c>
      <c r="S803" s="329">
        <v>-1250</v>
      </c>
      <c r="T803" s="329">
        <v>54831</v>
      </c>
    </row>
    <row r="804" spans="1:20">
      <c r="A804" s="335">
        <v>98471</v>
      </c>
      <c r="B804" s="328" t="s">
        <v>1642</v>
      </c>
      <c r="C804" s="239">
        <v>6.3999999999999997E-6</v>
      </c>
      <c r="D804" s="239">
        <v>6.1E-6</v>
      </c>
      <c r="E804" s="329">
        <v>17478</v>
      </c>
      <c r="F804" s="329"/>
      <c r="G804" s="329">
        <v>2993</v>
      </c>
      <c r="H804" s="329">
        <v>426</v>
      </c>
      <c r="I804" s="329">
        <v>2849</v>
      </c>
      <c r="J804" s="329">
        <v>4967</v>
      </c>
      <c r="K804" s="329">
        <v>11235</v>
      </c>
      <c r="L804" s="329"/>
      <c r="M804" s="329">
        <v>0</v>
      </c>
      <c r="N804" s="329">
        <v>0</v>
      </c>
      <c r="O804" s="329">
        <v>0</v>
      </c>
      <c r="P804" s="329">
        <v>0</v>
      </c>
      <c r="Q804" s="329"/>
      <c r="R804" s="329">
        <v>7786</v>
      </c>
      <c r="S804" s="329">
        <v>1562</v>
      </c>
      <c r="T804" s="329">
        <v>9348</v>
      </c>
    </row>
    <row r="805" spans="1:20">
      <c r="A805" s="335">
        <v>98481</v>
      </c>
      <c r="B805" s="328" t="s">
        <v>1498</v>
      </c>
      <c r="C805" s="239">
        <v>6.1600000000000007E-5</v>
      </c>
      <c r="D805" s="239">
        <v>7.2000000000000002E-5</v>
      </c>
      <c r="E805" s="329">
        <v>168225</v>
      </c>
      <c r="F805" s="329"/>
      <c r="G805" s="329">
        <v>28804</v>
      </c>
      <c r="H805" s="329">
        <v>4103</v>
      </c>
      <c r="I805" s="329">
        <v>27418</v>
      </c>
      <c r="J805" s="329">
        <v>1639</v>
      </c>
      <c r="K805" s="329">
        <v>61964</v>
      </c>
      <c r="L805" s="329"/>
      <c r="M805" s="329">
        <v>0</v>
      </c>
      <c r="N805" s="329">
        <v>0</v>
      </c>
      <c r="O805" s="329">
        <v>11141</v>
      </c>
      <c r="P805" s="329">
        <v>11141</v>
      </c>
      <c r="Q805" s="329"/>
      <c r="R805" s="329">
        <v>74937</v>
      </c>
      <c r="S805" s="329">
        <v>-3187</v>
      </c>
      <c r="T805" s="329">
        <v>71750</v>
      </c>
    </row>
    <row r="806" spans="1:20">
      <c r="A806" s="335">
        <v>98501</v>
      </c>
      <c r="B806" s="328" t="s">
        <v>1499</v>
      </c>
      <c r="C806" s="239">
        <v>1.655E-3</v>
      </c>
      <c r="D806" s="239">
        <v>1.6239E-3</v>
      </c>
      <c r="E806" s="329">
        <v>4519676</v>
      </c>
      <c r="F806" s="329"/>
      <c r="G806" s="329">
        <v>773883</v>
      </c>
      <c r="H806" s="329">
        <v>110241</v>
      </c>
      <c r="I806" s="329">
        <v>736632</v>
      </c>
      <c r="J806" s="329">
        <v>141654</v>
      </c>
      <c r="K806" s="329">
        <v>1762410</v>
      </c>
      <c r="L806" s="329"/>
      <c r="M806" s="329">
        <v>0</v>
      </c>
      <c r="N806" s="329">
        <v>0</v>
      </c>
      <c r="O806" s="329">
        <v>0</v>
      </c>
      <c r="P806" s="329">
        <v>0</v>
      </c>
      <c r="Q806" s="329"/>
      <c r="R806" s="329">
        <v>2013329</v>
      </c>
      <c r="S806" s="329">
        <v>52916</v>
      </c>
      <c r="T806" s="329">
        <v>2066245</v>
      </c>
    </row>
    <row r="807" spans="1:20">
      <c r="A807" s="335">
        <v>98511</v>
      </c>
      <c r="B807" s="328" t="s">
        <v>1500</v>
      </c>
      <c r="C807" s="239">
        <v>4.9400000000000001E-5</v>
      </c>
      <c r="D807" s="239">
        <v>4.0000000000000003E-5</v>
      </c>
      <c r="E807" s="329">
        <v>134908</v>
      </c>
      <c r="F807" s="329"/>
      <c r="G807" s="329">
        <v>23100</v>
      </c>
      <c r="H807" s="329">
        <v>3291</v>
      </c>
      <c r="I807" s="329">
        <v>21988</v>
      </c>
      <c r="J807" s="329">
        <v>8529</v>
      </c>
      <c r="K807" s="329">
        <v>56908</v>
      </c>
      <c r="L807" s="329"/>
      <c r="M807" s="329">
        <v>0</v>
      </c>
      <c r="N807" s="329">
        <v>0</v>
      </c>
      <c r="O807" s="329">
        <v>2038</v>
      </c>
      <c r="P807" s="329">
        <v>2038</v>
      </c>
      <c r="Q807" s="329"/>
      <c r="R807" s="329">
        <v>60096</v>
      </c>
      <c r="S807" s="329">
        <v>1859</v>
      </c>
      <c r="T807" s="329">
        <v>61955</v>
      </c>
    </row>
    <row r="808" spans="1:20">
      <c r="A808" s="335">
        <v>98517</v>
      </c>
      <c r="B808" s="328" t="s">
        <v>1501</v>
      </c>
      <c r="C808" s="239">
        <v>2.3999999999999999E-6</v>
      </c>
      <c r="D808" s="239">
        <v>2.3E-6</v>
      </c>
      <c r="E808" s="329">
        <v>6554</v>
      </c>
      <c r="F808" s="329"/>
      <c r="G808" s="329">
        <v>1122</v>
      </c>
      <c r="H808" s="329">
        <v>160</v>
      </c>
      <c r="I808" s="329">
        <v>1068</v>
      </c>
      <c r="J808" s="329">
        <v>3726</v>
      </c>
      <c r="K808" s="329">
        <v>6076</v>
      </c>
      <c r="L808" s="329"/>
      <c r="M808" s="329">
        <v>0</v>
      </c>
      <c r="N808" s="329">
        <v>0</v>
      </c>
      <c r="O808" s="329">
        <v>0</v>
      </c>
      <c r="P808" s="329">
        <v>0</v>
      </c>
      <c r="Q808" s="329"/>
      <c r="R808" s="329">
        <v>2920</v>
      </c>
      <c r="S808" s="329">
        <v>1346</v>
      </c>
      <c r="T808" s="329">
        <v>4266</v>
      </c>
    </row>
    <row r="809" spans="1:20">
      <c r="A809" s="335">
        <v>98521</v>
      </c>
      <c r="B809" s="328" t="s">
        <v>1502</v>
      </c>
      <c r="C809" s="239">
        <v>6.3349999999999995E-4</v>
      </c>
      <c r="D809" s="239">
        <v>6.4780000000000003E-4</v>
      </c>
      <c r="E809" s="329">
        <v>1730039</v>
      </c>
      <c r="F809" s="329"/>
      <c r="G809" s="329">
        <v>296227</v>
      </c>
      <c r="H809" s="329">
        <v>42198</v>
      </c>
      <c r="I809" s="329">
        <v>281968</v>
      </c>
      <c r="J809" s="329">
        <v>17396</v>
      </c>
      <c r="K809" s="329">
        <v>637789</v>
      </c>
      <c r="L809" s="329"/>
      <c r="M809" s="329">
        <v>0</v>
      </c>
      <c r="N809" s="329">
        <v>0</v>
      </c>
      <c r="O809" s="329">
        <v>49380</v>
      </c>
      <c r="P809" s="329">
        <v>49380</v>
      </c>
      <c r="Q809" s="329"/>
      <c r="R809" s="329">
        <v>770661</v>
      </c>
      <c r="S809" s="329">
        <v>-17445</v>
      </c>
      <c r="T809" s="329">
        <v>753216</v>
      </c>
    </row>
    <row r="810" spans="1:20">
      <c r="A810" s="335">
        <v>98601</v>
      </c>
      <c r="B810" s="328" t="s">
        <v>1503</v>
      </c>
      <c r="C810" s="239">
        <v>3.5866000000000001E-3</v>
      </c>
      <c r="D810" s="239">
        <v>3.4765999999999998E-3</v>
      </c>
      <c r="E810" s="329">
        <v>9794725</v>
      </c>
      <c r="F810" s="329"/>
      <c r="G810" s="329">
        <v>1677105</v>
      </c>
      <c r="H810" s="329">
        <v>238907</v>
      </c>
      <c r="I810" s="329">
        <v>1596378</v>
      </c>
      <c r="J810" s="329">
        <v>16427</v>
      </c>
      <c r="K810" s="329">
        <v>3528817</v>
      </c>
      <c r="L810" s="329"/>
      <c r="M810" s="329">
        <v>0</v>
      </c>
      <c r="N810" s="329">
        <v>0</v>
      </c>
      <c r="O810" s="329">
        <v>72055</v>
      </c>
      <c r="P810" s="329">
        <v>72055</v>
      </c>
      <c r="Q810" s="329"/>
      <c r="R810" s="329">
        <v>4363146</v>
      </c>
      <c r="S810" s="329">
        <v>-56293</v>
      </c>
      <c r="T810" s="329">
        <v>4306853</v>
      </c>
    </row>
    <row r="811" spans="1:20">
      <c r="A811" s="335">
        <v>98607</v>
      </c>
      <c r="B811" s="328" t="s">
        <v>1505</v>
      </c>
      <c r="C811" s="239">
        <v>5.4E-6</v>
      </c>
      <c r="D811" s="239">
        <v>6.9E-6</v>
      </c>
      <c r="E811" s="329">
        <v>14747</v>
      </c>
      <c r="F811" s="329"/>
      <c r="G811" s="329">
        <v>2525</v>
      </c>
      <c r="H811" s="329">
        <v>360</v>
      </c>
      <c r="I811" s="329">
        <v>2404</v>
      </c>
      <c r="J811" s="329">
        <v>1068</v>
      </c>
      <c r="K811" s="329">
        <v>6357</v>
      </c>
      <c r="L811" s="329"/>
      <c r="M811" s="329">
        <v>0</v>
      </c>
      <c r="N811" s="329">
        <v>0</v>
      </c>
      <c r="O811" s="329">
        <v>780</v>
      </c>
      <c r="P811" s="329">
        <v>780</v>
      </c>
      <c r="Q811" s="329"/>
      <c r="R811" s="329">
        <v>6569</v>
      </c>
      <c r="S811" s="329">
        <v>-415</v>
      </c>
      <c r="T811" s="329">
        <v>6154</v>
      </c>
    </row>
    <row r="812" spans="1:20">
      <c r="A812" s="335">
        <v>98608</v>
      </c>
      <c r="B812" s="328" t="s">
        <v>1506</v>
      </c>
      <c r="C812" s="239">
        <v>5.1799999999999999E-5</v>
      </c>
      <c r="D812" s="239">
        <v>4.3099999999999997E-5</v>
      </c>
      <c r="E812" s="329">
        <v>141462</v>
      </c>
      <c r="F812" s="329"/>
      <c r="G812" s="329">
        <v>24222</v>
      </c>
      <c r="H812" s="329">
        <v>3451</v>
      </c>
      <c r="I812" s="329">
        <v>23056</v>
      </c>
      <c r="J812" s="329">
        <v>10260</v>
      </c>
      <c r="K812" s="329">
        <v>60989</v>
      </c>
      <c r="L812" s="329"/>
      <c r="M812" s="329">
        <v>0</v>
      </c>
      <c r="N812" s="329">
        <v>0</v>
      </c>
      <c r="O812" s="329">
        <v>2370</v>
      </c>
      <c r="P812" s="329">
        <v>2370</v>
      </c>
      <c r="Q812" s="329"/>
      <c r="R812" s="329">
        <v>63015</v>
      </c>
      <c r="S812" s="329">
        <v>2249</v>
      </c>
      <c r="T812" s="329">
        <v>65264</v>
      </c>
    </row>
    <row r="813" spans="1:20">
      <c r="A813" s="335">
        <v>98611</v>
      </c>
      <c r="B813" s="328" t="s">
        <v>1507</v>
      </c>
      <c r="C813" s="239">
        <v>1.1959999999999999E-4</v>
      </c>
      <c r="D813" s="239">
        <v>1.143E-4</v>
      </c>
      <c r="E813" s="329">
        <v>326618</v>
      </c>
      <c r="F813" s="329"/>
      <c r="G813" s="329">
        <v>55925</v>
      </c>
      <c r="H813" s="329">
        <v>7966</v>
      </c>
      <c r="I813" s="329">
        <v>53233</v>
      </c>
      <c r="J813" s="329">
        <v>26095</v>
      </c>
      <c r="K813" s="329">
        <v>143219</v>
      </c>
      <c r="L813" s="329"/>
      <c r="M813" s="329">
        <v>0</v>
      </c>
      <c r="N813" s="329">
        <v>0</v>
      </c>
      <c r="O813" s="329">
        <v>2863</v>
      </c>
      <c r="P813" s="329">
        <v>2863</v>
      </c>
      <c r="Q813" s="329"/>
      <c r="R813" s="329">
        <v>145495</v>
      </c>
      <c r="S813" s="329">
        <v>5882</v>
      </c>
      <c r="T813" s="329">
        <v>151377</v>
      </c>
    </row>
    <row r="814" spans="1:20">
      <c r="A814" s="335">
        <v>98621</v>
      </c>
      <c r="B814" s="328" t="s">
        <v>1508</v>
      </c>
      <c r="C814" s="239">
        <v>1.2899999999999999E-4</v>
      </c>
      <c r="D814" s="239">
        <v>1.371E-4</v>
      </c>
      <c r="E814" s="329">
        <v>352289</v>
      </c>
      <c r="F814" s="329"/>
      <c r="G814" s="329">
        <v>60321</v>
      </c>
      <c r="H814" s="329">
        <v>8593</v>
      </c>
      <c r="I814" s="329">
        <v>57417</v>
      </c>
      <c r="J814" s="329">
        <v>172</v>
      </c>
      <c r="K814" s="329">
        <v>126503</v>
      </c>
      <c r="L814" s="329"/>
      <c r="M814" s="329">
        <v>0</v>
      </c>
      <c r="N814" s="329">
        <v>0</v>
      </c>
      <c r="O814" s="329">
        <v>9273</v>
      </c>
      <c r="P814" s="329">
        <v>9273</v>
      </c>
      <c r="Q814" s="329"/>
      <c r="R814" s="329">
        <v>156930</v>
      </c>
      <c r="S814" s="329">
        <v>-5175</v>
      </c>
      <c r="T814" s="329">
        <v>151755</v>
      </c>
    </row>
    <row r="815" spans="1:20">
      <c r="A815" s="335">
        <v>98627</v>
      </c>
      <c r="B815" s="328" t="s">
        <v>3723</v>
      </c>
      <c r="C815" s="239">
        <v>7.7999999999999999E-6</v>
      </c>
      <c r="D815" s="239">
        <v>8.3000000000000002E-6</v>
      </c>
      <c r="E815" s="329">
        <v>21301</v>
      </c>
      <c r="F815" s="329"/>
      <c r="G815" s="329">
        <v>3647</v>
      </c>
      <c r="H815" s="329">
        <v>520</v>
      </c>
      <c r="I815" s="329">
        <v>3472</v>
      </c>
      <c r="J815" s="329">
        <v>96</v>
      </c>
      <c r="K815" s="329">
        <v>7735</v>
      </c>
      <c r="L815" s="329"/>
      <c r="M815" s="329">
        <v>0</v>
      </c>
      <c r="N815" s="329">
        <v>0</v>
      </c>
      <c r="O815" s="329">
        <v>1675</v>
      </c>
      <c r="P815" s="329">
        <v>1675</v>
      </c>
      <c r="Q815" s="329"/>
      <c r="R815" s="329">
        <v>9489</v>
      </c>
      <c r="S815" s="329">
        <v>-504</v>
      </c>
      <c r="T815" s="329">
        <v>8985</v>
      </c>
    </row>
    <row r="816" spans="1:20">
      <c r="A816" s="335">
        <v>98631</v>
      </c>
      <c r="B816" s="328" t="s">
        <v>1510</v>
      </c>
      <c r="C816" s="239">
        <v>1.0042E-3</v>
      </c>
      <c r="D816" s="239">
        <v>1.0238000000000001E-3</v>
      </c>
      <c r="E816" s="329">
        <v>2742392</v>
      </c>
      <c r="F816" s="329"/>
      <c r="G816" s="329">
        <v>469567</v>
      </c>
      <c r="H816" s="329">
        <v>66891</v>
      </c>
      <c r="I816" s="329">
        <v>446964</v>
      </c>
      <c r="J816" s="329">
        <v>14243</v>
      </c>
      <c r="K816" s="329">
        <v>997665</v>
      </c>
      <c r="L816" s="329"/>
      <c r="M816" s="329">
        <v>0</v>
      </c>
      <c r="N816" s="329">
        <v>0</v>
      </c>
      <c r="O816" s="329">
        <v>36728</v>
      </c>
      <c r="P816" s="329">
        <v>36728</v>
      </c>
      <c r="Q816" s="329"/>
      <c r="R816" s="329">
        <v>1221622</v>
      </c>
      <c r="S816" s="329">
        <v>-34212</v>
      </c>
      <c r="T816" s="329">
        <v>1187410</v>
      </c>
    </row>
    <row r="817" spans="1:20">
      <c r="A817" s="335">
        <v>98637</v>
      </c>
      <c r="B817" s="328" t="s">
        <v>1511</v>
      </c>
      <c r="C817" s="239">
        <v>1.5800000000000001E-5</v>
      </c>
      <c r="D817" s="239">
        <v>1.9000000000000001E-5</v>
      </c>
      <c r="E817" s="329">
        <v>43149</v>
      </c>
      <c r="F817" s="329"/>
      <c r="G817" s="329">
        <v>7388</v>
      </c>
      <c r="H817" s="329">
        <v>1052</v>
      </c>
      <c r="I817" s="329">
        <v>7033</v>
      </c>
      <c r="J817" s="329">
        <v>10024</v>
      </c>
      <c r="K817" s="329">
        <v>25497</v>
      </c>
      <c r="L817" s="329"/>
      <c r="M817" s="329">
        <v>0</v>
      </c>
      <c r="N817" s="329">
        <v>0</v>
      </c>
      <c r="O817" s="329">
        <v>0</v>
      </c>
      <c r="P817" s="329">
        <v>0</v>
      </c>
      <c r="Q817" s="329"/>
      <c r="R817" s="329">
        <v>19221</v>
      </c>
      <c r="S817" s="329">
        <v>4590</v>
      </c>
      <c r="T817" s="329">
        <v>23811</v>
      </c>
    </row>
    <row r="818" spans="1:20">
      <c r="A818" s="335">
        <v>98641</v>
      </c>
      <c r="B818" s="328" t="s">
        <v>1512</v>
      </c>
      <c r="C818" s="239">
        <v>2.7090000000000003E-4</v>
      </c>
      <c r="D818" s="239">
        <v>2.9080000000000002E-4</v>
      </c>
      <c r="E818" s="329">
        <v>739807</v>
      </c>
      <c r="F818" s="329"/>
      <c r="G818" s="329">
        <v>126674</v>
      </c>
      <c r="H818" s="329">
        <v>18045</v>
      </c>
      <c r="I818" s="329">
        <v>120576</v>
      </c>
      <c r="J818" s="329">
        <v>1402</v>
      </c>
      <c r="K818" s="329">
        <v>266697</v>
      </c>
      <c r="L818" s="329"/>
      <c r="M818" s="329">
        <v>0</v>
      </c>
      <c r="N818" s="329">
        <v>0</v>
      </c>
      <c r="O818" s="329">
        <v>8996</v>
      </c>
      <c r="P818" s="329">
        <v>8996</v>
      </c>
      <c r="Q818" s="329"/>
      <c r="R818" s="329">
        <v>329553</v>
      </c>
      <c r="S818" s="329">
        <v>-3836</v>
      </c>
      <c r="T818" s="329">
        <v>325717</v>
      </c>
    </row>
    <row r="819" spans="1:20">
      <c r="A819" s="335">
        <v>98701</v>
      </c>
      <c r="B819" s="328" t="s">
        <v>1513</v>
      </c>
      <c r="C819" s="239">
        <v>9.7790000000000008E-4</v>
      </c>
      <c r="D819" s="239">
        <v>1.0870000000000001E-3</v>
      </c>
      <c r="E819" s="329">
        <v>2670569</v>
      </c>
      <c r="F819" s="329"/>
      <c r="G819" s="329">
        <v>457269</v>
      </c>
      <c r="H819" s="329">
        <v>65139</v>
      </c>
      <c r="I819" s="329">
        <v>435258</v>
      </c>
      <c r="J819" s="329">
        <v>1031</v>
      </c>
      <c r="K819" s="329">
        <v>958697</v>
      </c>
      <c r="L819" s="329"/>
      <c r="M819" s="329">
        <v>0</v>
      </c>
      <c r="N819" s="329">
        <v>0</v>
      </c>
      <c r="O819" s="329">
        <v>125086</v>
      </c>
      <c r="P819" s="329">
        <v>125086</v>
      </c>
      <c r="Q819" s="329"/>
      <c r="R819" s="329">
        <v>1189628</v>
      </c>
      <c r="S819" s="329">
        <v>-49441</v>
      </c>
      <c r="T819" s="329">
        <v>1140187</v>
      </c>
    </row>
    <row r="820" spans="1:20">
      <c r="A820" s="335">
        <v>98711</v>
      </c>
      <c r="B820" s="328" t="s">
        <v>1514</v>
      </c>
      <c r="C820" s="239">
        <v>1.671E-4</v>
      </c>
      <c r="D820" s="239">
        <v>1.6679999999999999E-4</v>
      </c>
      <c r="E820" s="329">
        <v>456337</v>
      </c>
      <c r="F820" s="329"/>
      <c r="G820" s="329">
        <v>78136</v>
      </c>
      <c r="H820" s="329">
        <v>11130</v>
      </c>
      <c r="I820" s="329">
        <v>74375</v>
      </c>
      <c r="J820" s="329">
        <v>0</v>
      </c>
      <c r="K820" s="329">
        <v>163641</v>
      </c>
      <c r="L820" s="329"/>
      <c r="M820" s="329">
        <v>0</v>
      </c>
      <c r="N820" s="329">
        <v>0</v>
      </c>
      <c r="O820" s="329">
        <v>29840</v>
      </c>
      <c r="P820" s="329">
        <v>29840</v>
      </c>
      <c r="Q820" s="329"/>
      <c r="R820" s="329">
        <v>203279</v>
      </c>
      <c r="S820" s="329">
        <v>-12286</v>
      </c>
      <c r="T820" s="329">
        <v>190993</v>
      </c>
    </row>
    <row r="821" spans="1:20">
      <c r="A821" s="335">
        <v>98717</v>
      </c>
      <c r="B821" s="328" t="s">
        <v>1515</v>
      </c>
      <c r="C821" s="239">
        <v>2.2399999999999999E-5</v>
      </c>
      <c r="D821" s="239">
        <v>1.9599999999999999E-5</v>
      </c>
      <c r="E821" s="329">
        <v>61173</v>
      </c>
      <c r="F821" s="329"/>
      <c r="G821" s="329">
        <v>10474</v>
      </c>
      <c r="H821" s="329">
        <v>1492</v>
      </c>
      <c r="I821" s="329">
        <v>9970</v>
      </c>
      <c r="J821" s="329">
        <v>1953</v>
      </c>
      <c r="K821" s="329">
        <v>23889</v>
      </c>
      <c r="L821" s="329"/>
      <c r="M821" s="329">
        <v>0</v>
      </c>
      <c r="N821" s="329">
        <v>0</v>
      </c>
      <c r="O821" s="329">
        <v>1423</v>
      </c>
      <c r="P821" s="329">
        <v>1423</v>
      </c>
      <c r="Q821" s="329"/>
      <c r="R821" s="329">
        <v>27250</v>
      </c>
      <c r="S821" s="329">
        <v>254</v>
      </c>
      <c r="T821" s="329">
        <v>27504</v>
      </c>
    </row>
    <row r="822" spans="1:20">
      <c r="A822" s="335">
        <v>98801</v>
      </c>
      <c r="B822" s="328" t="s">
        <v>1516</v>
      </c>
      <c r="C822" s="239">
        <v>2.1632999999999999E-3</v>
      </c>
      <c r="D822" s="239">
        <v>2.1394999999999999E-3</v>
      </c>
      <c r="E822" s="329">
        <v>5907804</v>
      </c>
      <c r="F822" s="329"/>
      <c r="G822" s="329">
        <v>1011566</v>
      </c>
      <c r="H822" s="329">
        <v>144100</v>
      </c>
      <c r="I822" s="329">
        <v>962874</v>
      </c>
      <c r="J822" s="329">
        <v>101351</v>
      </c>
      <c r="K822" s="329">
        <v>2219891</v>
      </c>
      <c r="L822" s="329"/>
      <c r="M822" s="329">
        <v>0</v>
      </c>
      <c r="N822" s="329">
        <v>0</v>
      </c>
      <c r="O822" s="329">
        <v>57063</v>
      </c>
      <c r="P822" s="329">
        <v>57063</v>
      </c>
      <c r="Q822" s="329"/>
      <c r="R822" s="329">
        <v>2631683</v>
      </c>
      <c r="S822" s="329">
        <v>36575</v>
      </c>
      <c r="T822" s="329">
        <v>2668258</v>
      </c>
    </row>
    <row r="823" spans="1:20">
      <c r="A823" s="335">
        <v>98811</v>
      </c>
      <c r="B823" s="328" t="s">
        <v>1517</v>
      </c>
      <c r="C823" s="239">
        <v>6.8610000000000003E-4</v>
      </c>
      <c r="D823" s="239">
        <v>6.332E-4</v>
      </c>
      <c r="E823" s="329">
        <v>1873686</v>
      </c>
      <c r="F823" s="329"/>
      <c r="G823" s="329">
        <v>320822</v>
      </c>
      <c r="H823" s="329">
        <v>45702</v>
      </c>
      <c r="I823" s="329">
        <v>305380</v>
      </c>
      <c r="J823" s="329">
        <v>59453</v>
      </c>
      <c r="K823" s="329">
        <v>731357</v>
      </c>
      <c r="L823" s="329"/>
      <c r="M823" s="329">
        <v>0</v>
      </c>
      <c r="N823" s="329">
        <v>0</v>
      </c>
      <c r="O823" s="329">
        <v>18221</v>
      </c>
      <c r="P823" s="329">
        <v>18221</v>
      </c>
      <c r="Q823" s="329"/>
      <c r="R823" s="329">
        <v>834650</v>
      </c>
      <c r="S823" s="329">
        <v>4037</v>
      </c>
      <c r="T823" s="329">
        <v>838687</v>
      </c>
    </row>
    <row r="824" spans="1:20">
      <c r="A824" s="335">
        <v>98817</v>
      </c>
      <c r="B824" s="328" t="s">
        <v>1518</v>
      </c>
      <c r="C824" s="239">
        <v>1.7E-5</v>
      </c>
      <c r="D824" s="239">
        <v>2.4000000000000001E-5</v>
      </c>
      <c r="E824" s="329">
        <v>46426</v>
      </c>
      <c r="F824" s="329"/>
      <c r="G824" s="329">
        <v>7949</v>
      </c>
      <c r="H824" s="329">
        <v>1132</v>
      </c>
      <c r="I824" s="329">
        <v>7567</v>
      </c>
      <c r="J824" s="329">
        <v>2606</v>
      </c>
      <c r="K824" s="329">
        <v>19254</v>
      </c>
      <c r="L824" s="329"/>
      <c r="M824" s="329">
        <v>0</v>
      </c>
      <c r="N824" s="329">
        <v>0</v>
      </c>
      <c r="O824" s="329">
        <v>3818</v>
      </c>
      <c r="P824" s="329">
        <v>3818</v>
      </c>
      <c r="Q824" s="329"/>
      <c r="R824" s="329">
        <v>20681</v>
      </c>
      <c r="S824" s="329">
        <v>269</v>
      </c>
      <c r="T824" s="329">
        <v>20950</v>
      </c>
    </row>
    <row r="825" spans="1:20">
      <c r="A825" s="335">
        <v>98901</v>
      </c>
      <c r="B825" s="328" t="s">
        <v>1519</v>
      </c>
      <c r="C825" s="239">
        <v>2.8390000000000002E-4</v>
      </c>
      <c r="D825" s="239">
        <v>3.0289999999999999E-4</v>
      </c>
      <c r="E825" s="329">
        <v>775309</v>
      </c>
      <c r="F825" s="329"/>
      <c r="G825" s="329">
        <v>132752</v>
      </c>
      <c r="H825" s="329">
        <v>18911</v>
      </c>
      <c r="I825" s="329">
        <v>126362</v>
      </c>
      <c r="J825" s="329">
        <v>5350</v>
      </c>
      <c r="K825" s="329">
        <v>283375</v>
      </c>
      <c r="L825" s="329"/>
      <c r="M825" s="329">
        <v>0</v>
      </c>
      <c r="N825" s="329">
        <v>0</v>
      </c>
      <c r="O825" s="329">
        <v>17108</v>
      </c>
      <c r="P825" s="329">
        <v>17108</v>
      </c>
      <c r="Q825" s="329"/>
      <c r="R825" s="329">
        <v>345368</v>
      </c>
      <c r="S825" s="329">
        <v>-3457</v>
      </c>
      <c r="T825" s="329">
        <v>341911</v>
      </c>
    </row>
    <row r="826" spans="1:20">
      <c r="A826" s="335">
        <v>98904</v>
      </c>
      <c r="B826" s="328" t="s">
        <v>2789</v>
      </c>
      <c r="C826" s="239">
        <v>3.9999999999999998E-6</v>
      </c>
      <c r="D826" s="239">
        <v>3.9999999999999998E-6</v>
      </c>
      <c r="E826" s="329">
        <v>10924</v>
      </c>
      <c r="F826" s="329"/>
      <c r="G826" s="329">
        <v>1870</v>
      </c>
      <c r="H826" s="329">
        <v>267</v>
      </c>
      <c r="I826" s="329">
        <v>1780</v>
      </c>
      <c r="J826" s="329">
        <v>455</v>
      </c>
      <c r="K826" s="329">
        <v>4372</v>
      </c>
      <c r="L826" s="329"/>
      <c r="M826" s="329">
        <v>0</v>
      </c>
      <c r="N826" s="329">
        <v>0</v>
      </c>
      <c r="O826" s="329">
        <v>1079</v>
      </c>
      <c r="P826" s="329">
        <v>1079</v>
      </c>
      <c r="Q826" s="329"/>
      <c r="R826" s="329">
        <v>4866</v>
      </c>
      <c r="S826" s="329">
        <v>-279</v>
      </c>
      <c r="T826" s="329">
        <v>4587</v>
      </c>
    </row>
    <row r="827" spans="1:20">
      <c r="A827" s="335">
        <v>98911</v>
      </c>
      <c r="B827" s="328" t="s">
        <v>1521</v>
      </c>
      <c r="C827" s="239">
        <v>1.59E-5</v>
      </c>
      <c r="D827" s="239">
        <v>2.8900000000000001E-5</v>
      </c>
      <c r="E827" s="329">
        <v>43422</v>
      </c>
      <c r="F827" s="329"/>
      <c r="G827" s="329">
        <v>7435</v>
      </c>
      <c r="H827" s="329">
        <v>1059</v>
      </c>
      <c r="I827" s="329">
        <v>7077</v>
      </c>
      <c r="J827" s="329">
        <v>7092</v>
      </c>
      <c r="K827" s="329">
        <v>22663</v>
      </c>
      <c r="L827" s="329"/>
      <c r="M827" s="329">
        <v>0</v>
      </c>
      <c r="N827" s="329">
        <v>0</v>
      </c>
      <c r="O827" s="329">
        <v>1159</v>
      </c>
      <c r="P827" s="329">
        <v>1159</v>
      </c>
      <c r="Q827" s="329"/>
      <c r="R827" s="329">
        <v>19343</v>
      </c>
      <c r="S827" s="329">
        <v>5261</v>
      </c>
      <c r="T827" s="329">
        <v>24604</v>
      </c>
    </row>
    <row r="828" spans="1:20">
      <c r="A828" s="335">
        <v>99001</v>
      </c>
      <c r="B828" s="328" t="s">
        <v>1522</v>
      </c>
      <c r="C828" s="239">
        <v>8.8266000000000004E-3</v>
      </c>
      <c r="D828" s="239">
        <v>8.2226E-3</v>
      </c>
      <c r="E828" s="329">
        <v>24104756</v>
      </c>
      <c r="F828" s="329"/>
      <c r="G828" s="329">
        <v>4127345</v>
      </c>
      <c r="H828" s="329">
        <v>587948</v>
      </c>
      <c r="I828" s="329">
        <v>3928676</v>
      </c>
      <c r="J828" s="329">
        <v>530235</v>
      </c>
      <c r="K828" s="329">
        <v>9174204</v>
      </c>
      <c r="L828" s="329"/>
      <c r="M828" s="329">
        <v>0</v>
      </c>
      <c r="N828" s="329">
        <v>0</v>
      </c>
      <c r="O828" s="329">
        <v>0</v>
      </c>
      <c r="P828" s="329">
        <v>0</v>
      </c>
      <c r="Q828" s="329"/>
      <c r="R828" s="329">
        <v>10737674</v>
      </c>
      <c r="S828" s="329">
        <v>229227</v>
      </c>
      <c r="T828" s="329">
        <v>10966901</v>
      </c>
    </row>
    <row r="829" spans="1:20">
      <c r="A829" s="335">
        <v>99011</v>
      </c>
      <c r="B829" s="328" t="s">
        <v>1523</v>
      </c>
      <c r="C829" s="239">
        <v>3.8520999999999998E-3</v>
      </c>
      <c r="D829" s="239">
        <v>3.8665000000000001E-3</v>
      </c>
      <c r="E829" s="329">
        <v>10519785</v>
      </c>
      <c r="F829" s="329"/>
      <c r="G829" s="329">
        <v>1801254</v>
      </c>
      <c r="H829" s="329">
        <v>256592</v>
      </c>
      <c r="I829" s="329">
        <v>1714550</v>
      </c>
      <c r="J829" s="329">
        <v>22406</v>
      </c>
      <c r="K829" s="329">
        <v>3794802</v>
      </c>
      <c r="L829" s="329"/>
      <c r="M829" s="329">
        <v>0</v>
      </c>
      <c r="N829" s="329">
        <v>0</v>
      </c>
      <c r="O829" s="329">
        <v>71000</v>
      </c>
      <c r="P829" s="329">
        <v>71000</v>
      </c>
      <c r="Q829" s="329"/>
      <c r="R829" s="329">
        <v>4686130</v>
      </c>
      <c r="S829" s="329">
        <v>-107569</v>
      </c>
      <c r="T829" s="329">
        <v>4578561</v>
      </c>
    </row>
    <row r="830" spans="1:20">
      <c r="A830" s="335">
        <v>99013</v>
      </c>
      <c r="B830" s="328" t="s">
        <v>1524</v>
      </c>
      <c r="C830" s="239">
        <v>4.7599999999999998E-5</v>
      </c>
      <c r="D830" s="239">
        <v>4.8900000000000003E-5</v>
      </c>
      <c r="E830" s="329">
        <v>129992</v>
      </c>
      <c r="F830" s="329"/>
      <c r="G830" s="329">
        <v>22258</v>
      </c>
      <c r="H830" s="329">
        <v>3171</v>
      </c>
      <c r="I830" s="329">
        <v>21187</v>
      </c>
      <c r="J830" s="329">
        <v>3530</v>
      </c>
      <c r="K830" s="329">
        <v>50146</v>
      </c>
      <c r="L830" s="329"/>
      <c r="M830" s="329">
        <v>0</v>
      </c>
      <c r="N830" s="329">
        <v>0</v>
      </c>
      <c r="O830" s="329">
        <v>3602</v>
      </c>
      <c r="P830" s="329">
        <v>3602</v>
      </c>
      <c r="Q830" s="329"/>
      <c r="R830" s="329">
        <v>57906</v>
      </c>
      <c r="S830" s="329">
        <v>-2200</v>
      </c>
      <c r="T830" s="329">
        <v>55706</v>
      </c>
    </row>
    <row r="831" spans="1:20">
      <c r="A831" s="335">
        <v>99014</v>
      </c>
      <c r="B831" s="328" t="s">
        <v>1525</v>
      </c>
      <c r="C831" s="239">
        <v>2.1299999999999999E-5</v>
      </c>
      <c r="D831" s="239">
        <v>1.45E-5</v>
      </c>
      <c r="E831" s="329">
        <v>58169</v>
      </c>
      <c r="F831" s="329"/>
      <c r="G831" s="329">
        <v>9960</v>
      </c>
      <c r="H831" s="329">
        <v>1419</v>
      </c>
      <c r="I831" s="329">
        <v>9481</v>
      </c>
      <c r="J831" s="329">
        <v>14736</v>
      </c>
      <c r="K831" s="329">
        <v>35596</v>
      </c>
      <c r="L831" s="329"/>
      <c r="M831" s="329">
        <v>0</v>
      </c>
      <c r="N831" s="329">
        <v>0</v>
      </c>
      <c r="O831" s="329">
        <v>169</v>
      </c>
      <c r="P831" s="329">
        <v>169</v>
      </c>
      <c r="Q831" s="329"/>
      <c r="R831" s="329">
        <v>25912</v>
      </c>
      <c r="S831" s="329">
        <v>6955</v>
      </c>
      <c r="T831" s="329">
        <v>32867</v>
      </c>
    </row>
    <row r="832" spans="1:20">
      <c r="A832" s="335">
        <v>99017</v>
      </c>
      <c r="B832" s="328" t="s">
        <v>1526</v>
      </c>
      <c r="C832" s="239">
        <v>4.8600000000000002E-5</v>
      </c>
      <c r="D832" s="239">
        <v>4.5599999999999997E-5</v>
      </c>
      <c r="E832" s="329">
        <v>132723</v>
      </c>
      <c r="F832" s="329"/>
      <c r="G832" s="329">
        <v>22726</v>
      </c>
      <c r="H832" s="329">
        <v>3237</v>
      </c>
      <c r="I832" s="329">
        <v>21632</v>
      </c>
      <c r="J832" s="329">
        <v>4265</v>
      </c>
      <c r="K832" s="329">
        <v>51860</v>
      </c>
      <c r="L832" s="329"/>
      <c r="M832" s="329">
        <v>0</v>
      </c>
      <c r="N832" s="329">
        <v>0</v>
      </c>
      <c r="O832" s="329">
        <v>2470</v>
      </c>
      <c r="P832" s="329">
        <v>2470</v>
      </c>
      <c r="Q832" s="329"/>
      <c r="R832" s="329">
        <v>59123</v>
      </c>
      <c r="S832" s="329">
        <v>2106</v>
      </c>
      <c r="T832" s="329">
        <v>61229</v>
      </c>
    </row>
    <row r="833" spans="1:20">
      <c r="A833" s="335">
        <v>99021</v>
      </c>
      <c r="B833" s="328" t="s">
        <v>1527</v>
      </c>
      <c r="C833" s="239">
        <v>1.405E-4</v>
      </c>
      <c r="D833" s="239">
        <v>1.3200000000000001E-4</v>
      </c>
      <c r="E833" s="329">
        <v>383695</v>
      </c>
      <c r="F833" s="329"/>
      <c r="G833" s="329">
        <v>65698</v>
      </c>
      <c r="H833" s="329">
        <v>9359</v>
      </c>
      <c r="I833" s="329">
        <v>62536</v>
      </c>
      <c r="J833" s="329">
        <v>7662</v>
      </c>
      <c r="K833" s="329">
        <v>145255</v>
      </c>
      <c r="L833" s="329"/>
      <c r="M833" s="329">
        <v>0</v>
      </c>
      <c r="N833" s="329">
        <v>0</v>
      </c>
      <c r="O833" s="329">
        <v>10130</v>
      </c>
      <c r="P833" s="329">
        <v>10130</v>
      </c>
      <c r="Q833" s="329"/>
      <c r="R833" s="329">
        <v>170920</v>
      </c>
      <c r="S833" s="329">
        <v>734</v>
      </c>
      <c r="T833" s="329">
        <v>171654</v>
      </c>
    </row>
    <row r="834" spans="1:20">
      <c r="A834" s="335">
        <v>99022</v>
      </c>
      <c r="B834" s="328" t="s">
        <v>211</v>
      </c>
      <c r="C834" s="239">
        <v>8.8000000000000004E-6</v>
      </c>
      <c r="D834" s="239">
        <v>9.9000000000000001E-6</v>
      </c>
      <c r="E834" s="329">
        <v>24032</v>
      </c>
      <c r="F834" s="329"/>
      <c r="G834" s="329">
        <v>4115</v>
      </c>
      <c r="H834" s="329">
        <v>586</v>
      </c>
      <c r="I834" s="329">
        <v>3917</v>
      </c>
      <c r="J834" s="329">
        <v>12266</v>
      </c>
      <c r="K834" s="329">
        <v>20884</v>
      </c>
      <c r="L834" s="329"/>
      <c r="M834" s="329">
        <v>0</v>
      </c>
      <c r="N834" s="329">
        <v>0</v>
      </c>
      <c r="O834" s="329">
        <v>0</v>
      </c>
      <c r="P834" s="329">
        <v>0</v>
      </c>
      <c r="Q834" s="329"/>
      <c r="R834" s="329">
        <v>10705</v>
      </c>
      <c r="S834" s="329">
        <v>5476</v>
      </c>
      <c r="T834" s="329">
        <v>16181</v>
      </c>
    </row>
    <row r="835" spans="1:20">
      <c r="A835" s="335">
        <v>99031</v>
      </c>
      <c r="B835" s="328" t="s">
        <v>1528</v>
      </c>
      <c r="C835" s="239">
        <v>1.208E-4</v>
      </c>
      <c r="D835" s="239">
        <v>1.3669999999999999E-4</v>
      </c>
      <c r="E835" s="329">
        <v>329895</v>
      </c>
      <c r="F835" s="329"/>
      <c r="G835" s="329">
        <v>56486</v>
      </c>
      <c r="H835" s="329">
        <v>8047</v>
      </c>
      <c r="I835" s="329">
        <v>53767</v>
      </c>
      <c r="J835" s="329">
        <v>855</v>
      </c>
      <c r="K835" s="329">
        <v>119155</v>
      </c>
      <c r="L835" s="329"/>
      <c r="M835" s="329">
        <v>0</v>
      </c>
      <c r="N835" s="329">
        <v>0</v>
      </c>
      <c r="O835" s="329">
        <v>32741</v>
      </c>
      <c r="P835" s="329">
        <v>32741</v>
      </c>
      <c r="Q835" s="329"/>
      <c r="R835" s="329">
        <v>146955</v>
      </c>
      <c r="S835" s="329">
        <v>-11255</v>
      </c>
      <c r="T835" s="329">
        <v>135700</v>
      </c>
    </row>
    <row r="836" spans="1:20">
      <c r="A836" s="335">
        <v>99041</v>
      </c>
      <c r="B836" s="328" t="s">
        <v>1529</v>
      </c>
      <c r="C836" s="239">
        <v>6.3840000000000001E-4</v>
      </c>
      <c r="D836" s="239">
        <v>6.6399999999999999E-4</v>
      </c>
      <c r="E836" s="329">
        <v>1743421</v>
      </c>
      <c r="F836" s="329"/>
      <c r="G836" s="329">
        <v>298518</v>
      </c>
      <c r="H836" s="329">
        <v>42525</v>
      </c>
      <c r="I836" s="329">
        <v>284149</v>
      </c>
      <c r="J836" s="329">
        <v>10836</v>
      </c>
      <c r="K836" s="329">
        <v>636028</v>
      </c>
      <c r="L836" s="329"/>
      <c r="M836" s="329">
        <v>0</v>
      </c>
      <c r="N836" s="329">
        <v>0</v>
      </c>
      <c r="O836" s="329">
        <v>46850</v>
      </c>
      <c r="P836" s="329">
        <v>46850</v>
      </c>
      <c r="Q836" s="329"/>
      <c r="R836" s="329">
        <v>776622</v>
      </c>
      <c r="S836" s="329">
        <v>697</v>
      </c>
      <c r="T836" s="329">
        <v>777319</v>
      </c>
    </row>
    <row r="837" spans="1:20">
      <c r="A837" s="335">
        <v>99047</v>
      </c>
      <c r="B837" s="328" t="s">
        <v>1530</v>
      </c>
      <c r="C837" s="239">
        <v>1.33E-5</v>
      </c>
      <c r="D837" s="239">
        <v>1.56E-5</v>
      </c>
      <c r="E837" s="329">
        <v>36321</v>
      </c>
      <c r="F837" s="329"/>
      <c r="G837" s="329">
        <v>6219</v>
      </c>
      <c r="H837" s="329">
        <v>886</v>
      </c>
      <c r="I837" s="329">
        <v>5920</v>
      </c>
      <c r="J837" s="329">
        <v>6831</v>
      </c>
      <c r="K837" s="329">
        <v>19856</v>
      </c>
      <c r="L837" s="329"/>
      <c r="M837" s="329">
        <v>0</v>
      </c>
      <c r="N837" s="329">
        <v>0</v>
      </c>
      <c r="O837" s="329">
        <v>0</v>
      </c>
      <c r="P837" s="329">
        <v>0</v>
      </c>
      <c r="Q837" s="329"/>
      <c r="R837" s="329">
        <v>16180</v>
      </c>
      <c r="S837" s="329">
        <v>3039</v>
      </c>
      <c r="T837" s="329">
        <v>19219</v>
      </c>
    </row>
    <row r="838" spans="1:20">
      <c r="A838" s="335">
        <v>99051</v>
      </c>
      <c r="B838" s="328" t="s">
        <v>1531</v>
      </c>
      <c r="C838" s="239">
        <v>3.4049999999999998E-4</v>
      </c>
      <c r="D838" s="239">
        <v>3.5330000000000002E-4</v>
      </c>
      <c r="E838" s="329">
        <v>929879</v>
      </c>
      <c r="F838" s="329"/>
      <c r="G838" s="329">
        <v>159219</v>
      </c>
      <c r="H838" s="329">
        <v>22681</v>
      </c>
      <c r="I838" s="329">
        <v>151555</v>
      </c>
      <c r="J838" s="329">
        <v>2211</v>
      </c>
      <c r="K838" s="329">
        <v>335666</v>
      </c>
      <c r="L838" s="329"/>
      <c r="M838" s="329">
        <v>0</v>
      </c>
      <c r="N838" s="329">
        <v>0</v>
      </c>
      <c r="O838" s="329">
        <v>26623</v>
      </c>
      <c r="P838" s="329">
        <v>26623</v>
      </c>
      <c r="Q838" s="329"/>
      <c r="R838" s="329">
        <v>414223</v>
      </c>
      <c r="S838" s="329">
        <v>-3868</v>
      </c>
      <c r="T838" s="329">
        <v>410355</v>
      </c>
    </row>
    <row r="839" spans="1:20">
      <c r="A839" s="335">
        <v>99061</v>
      </c>
      <c r="B839" s="328" t="s">
        <v>1532</v>
      </c>
      <c r="C839" s="239">
        <v>6.1E-6</v>
      </c>
      <c r="D839" s="239">
        <v>7.5000000000000002E-6</v>
      </c>
      <c r="E839" s="329">
        <v>16659</v>
      </c>
      <c r="F839" s="329"/>
      <c r="G839" s="329">
        <v>2852</v>
      </c>
      <c r="H839" s="329">
        <v>406</v>
      </c>
      <c r="I839" s="329">
        <v>2715</v>
      </c>
      <c r="J839" s="329">
        <v>4807</v>
      </c>
      <c r="K839" s="329">
        <v>10780</v>
      </c>
      <c r="L839" s="329"/>
      <c r="M839" s="329">
        <v>0</v>
      </c>
      <c r="N839" s="329">
        <v>0</v>
      </c>
      <c r="O839" s="329">
        <v>0</v>
      </c>
      <c r="P839" s="329">
        <v>0</v>
      </c>
      <c r="Q839" s="329"/>
      <c r="R839" s="329">
        <v>7421</v>
      </c>
      <c r="S839" s="329">
        <v>3240</v>
      </c>
      <c r="T839" s="329">
        <v>10661</v>
      </c>
    </row>
    <row r="840" spans="1:20">
      <c r="A840" s="335">
        <v>99071</v>
      </c>
      <c r="B840" s="328" t="s">
        <v>1533</v>
      </c>
      <c r="C840" s="239">
        <v>2.4499999999999999E-5</v>
      </c>
      <c r="D840" s="239">
        <v>2.2799999999999999E-5</v>
      </c>
      <c r="E840" s="329">
        <v>66908</v>
      </c>
      <c r="F840" s="329"/>
      <c r="G840" s="329">
        <v>11456</v>
      </c>
      <c r="H840" s="329">
        <v>1632</v>
      </c>
      <c r="I840" s="329">
        <v>10905</v>
      </c>
      <c r="J840" s="329">
        <v>4950</v>
      </c>
      <c r="K840" s="329">
        <v>28943</v>
      </c>
      <c r="L840" s="329"/>
      <c r="M840" s="329">
        <v>0</v>
      </c>
      <c r="N840" s="329">
        <v>0</v>
      </c>
      <c r="O840" s="329">
        <v>2699</v>
      </c>
      <c r="P840" s="329">
        <v>2699</v>
      </c>
      <c r="Q840" s="329"/>
      <c r="R840" s="329">
        <v>29805</v>
      </c>
      <c r="S840" s="329">
        <v>-141</v>
      </c>
      <c r="T840" s="329">
        <v>29664</v>
      </c>
    </row>
    <row r="841" spans="1:20">
      <c r="A841" s="335">
        <v>99081</v>
      </c>
      <c r="B841" s="328" t="s">
        <v>1534</v>
      </c>
      <c r="C841" s="239">
        <v>3.65E-5</v>
      </c>
      <c r="D841" s="239">
        <v>1.4600000000000001E-5</v>
      </c>
      <c r="E841" s="329">
        <v>99679</v>
      </c>
      <c r="F841" s="329"/>
      <c r="G841" s="329">
        <v>17068</v>
      </c>
      <c r="H841" s="329">
        <v>2431</v>
      </c>
      <c r="I841" s="329">
        <v>16246</v>
      </c>
      <c r="J841" s="329">
        <v>18833</v>
      </c>
      <c r="K841" s="329">
        <v>54578</v>
      </c>
      <c r="L841" s="329"/>
      <c r="M841" s="329">
        <v>0</v>
      </c>
      <c r="N841" s="329">
        <v>0</v>
      </c>
      <c r="O841" s="329">
        <v>5145</v>
      </c>
      <c r="P841" s="329">
        <v>5145</v>
      </c>
      <c r="Q841" s="329"/>
      <c r="R841" s="329">
        <v>44403</v>
      </c>
      <c r="S841" s="329">
        <v>3373</v>
      </c>
      <c r="T841" s="329">
        <v>47776</v>
      </c>
    </row>
    <row r="842" spans="1:20">
      <c r="A842" s="335">
        <v>99091</v>
      </c>
      <c r="B842" s="328" t="s">
        <v>1535</v>
      </c>
      <c r="C842" s="239">
        <v>5.4E-6</v>
      </c>
      <c r="D842" s="239">
        <v>3.4999999999999999E-6</v>
      </c>
      <c r="E842" s="329">
        <v>14747</v>
      </c>
      <c r="F842" s="329"/>
      <c r="G842" s="329">
        <v>2525</v>
      </c>
      <c r="H842" s="329">
        <v>360</v>
      </c>
      <c r="I842" s="329">
        <v>2404</v>
      </c>
      <c r="J842" s="329">
        <v>9359</v>
      </c>
      <c r="K842" s="329">
        <v>14648</v>
      </c>
      <c r="L842" s="329"/>
      <c r="M842" s="329">
        <v>0</v>
      </c>
      <c r="N842" s="329">
        <v>0</v>
      </c>
      <c r="O842" s="329">
        <v>0</v>
      </c>
      <c r="P842" s="329">
        <v>0</v>
      </c>
      <c r="Q842" s="329"/>
      <c r="R842" s="329">
        <v>6569</v>
      </c>
      <c r="S842" s="329">
        <v>3384</v>
      </c>
      <c r="T842" s="329">
        <v>9953</v>
      </c>
    </row>
    <row r="843" spans="1:20">
      <c r="A843" s="335">
        <v>99101</v>
      </c>
      <c r="B843" s="328" t="s">
        <v>1536</v>
      </c>
      <c r="C843" s="239">
        <v>2.1218000000000001E-3</v>
      </c>
      <c r="D843" s="239">
        <v>2.1986000000000002E-3</v>
      </c>
      <c r="E843" s="329">
        <v>5794470</v>
      </c>
      <c r="F843" s="329"/>
      <c r="G843" s="329">
        <v>992160</v>
      </c>
      <c r="H843" s="329">
        <v>141335</v>
      </c>
      <c r="I843" s="329">
        <v>944403</v>
      </c>
      <c r="J843" s="329">
        <v>21629</v>
      </c>
      <c r="K843" s="329">
        <v>2099527</v>
      </c>
      <c r="L843" s="329"/>
      <c r="M843" s="329">
        <v>0</v>
      </c>
      <c r="N843" s="329">
        <v>0</v>
      </c>
      <c r="O843" s="329">
        <v>146931</v>
      </c>
      <c r="P843" s="329">
        <v>146931</v>
      </c>
      <c r="Q843" s="329"/>
      <c r="R843" s="329">
        <v>2581197</v>
      </c>
      <c r="S843" s="329">
        <v>-33243</v>
      </c>
      <c r="T843" s="329">
        <v>2547954</v>
      </c>
    </row>
    <row r="844" spans="1:20">
      <c r="A844" s="335">
        <v>99104</v>
      </c>
      <c r="B844" s="328" t="s">
        <v>2788</v>
      </c>
      <c r="C844" s="239">
        <v>3.2700000000000002E-5</v>
      </c>
      <c r="D844" s="239">
        <v>3.4E-5</v>
      </c>
      <c r="E844" s="329">
        <v>89301</v>
      </c>
      <c r="F844" s="329"/>
      <c r="G844" s="329">
        <v>15291</v>
      </c>
      <c r="H844" s="329">
        <v>2178</v>
      </c>
      <c r="I844" s="329">
        <v>14555</v>
      </c>
      <c r="J844" s="329">
        <v>17421</v>
      </c>
      <c r="K844" s="329">
        <v>49445</v>
      </c>
      <c r="L844" s="329"/>
      <c r="M844" s="329">
        <v>0</v>
      </c>
      <c r="N844" s="329">
        <v>0</v>
      </c>
      <c r="O844" s="329">
        <v>0</v>
      </c>
      <c r="P844" s="329">
        <v>0</v>
      </c>
      <c r="Q844" s="329"/>
      <c r="R844" s="329">
        <v>39780</v>
      </c>
      <c r="S844" s="329">
        <v>8370</v>
      </c>
      <c r="T844" s="329">
        <v>48150</v>
      </c>
    </row>
    <row r="845" spans="1:20">
      <c r="A845" s="335">
        <v>99109</v>
      </c>
      <c r="B845" s="328" t="s">
        <v>2807</v>
      </c>
      <c r="C845" s="239">
        <v>1.169E-4</v>
      </c>
      <c r="D845" s="239">
        <v>1.194E-4</v>
      </c>
      <c r="E845" s="329">
        <v>319245</v>
      </c>
      <c r="F845" s="329"/>
      <c r="G845" s="329">
        <v>54663</v>
      </c>
      <c r="H845" s="329">
        <v>7787</v>
      </c>
      <c r="I845" s="329">
        <v>52032</v>
      </c>
      <c r="J845" s="329">
        <v>1517</v>
      </c>
      <c r="K845" s="329">
        <v>115999</v>
      </c>
      <c r="L845" s="329"/>
      <c r="M845" s="329">
        <v>0</v>
      </c>
      <c r="N845" s="329">
        <v>0</v>
      </c>
      <c r="O845" s="329">
        <v>7073</v>
      </c>
      <c r="P845" s="329">
        <v>7073</v>
      </c>
      <c r="Q845" s="329"/>
      <c r="R845" s="329">
        <v>142210</v>
      </c>
      <c r="S845" s="329">
        <v>-2269</v>
      </c>
      <c r="T845" s="329">
        <v>139941</v>
      </c>
    </row>
    <row r="846" spans="1:20">
      <c r="A846" s="335">
        <v>99110</v>
      </c>
      <c r="B846" s="328" t="s">
        <v>1539</v>
      </c>
      <c r="C846" s="239">
        <v>1.437E-4</v>
      </c>
      <c r="D846" s="239">
        <v>1.75E-4</v>
      </c>
      <c r="E846" s="329">
        <v>392433</v>
      </c>
      <c r="F846" s="329"/>
      <c r="G846" s="329">
        <v>67195</v>
      </c>
      <c r="H846" s="329">
        <v>9572</v>
      </c>
      <c r="I846" s="329">
        <v>63960</v>
      </c>
      <c r="J846" s="329">
        <v>56906</v>
      </c>
      <c r="K846" s="329">
        <v>197633</v>
      </c>
      <c r="L846" s="329"/>
      <c r="M846" s="329">
        <v>0</v>
      </c>
      <c r="N846" s="329">
        <v>0</v>
      </c>
      <c r="O846" s="329">
        <v>0</v>
      </c>
      <c r="P846" s="329">
        <v>0</v>
      </c>
      <c r="Q846" s="329"/>
      <c r="R846" s="329">
        <v>174813</v>
      </c>
      <c r="S846" s="329">
        <v>33579</v>
      </c>
      <c r="T846" s="329">
        <v>208392</v>
      </c>
    </row>
    <row r="847" spans="1:20">
      <c r="A847" s="335">
        <v>99111</v>
      </c>
      <c r="B847" s="328" t="s">
        <v>1540</v>
      </c>
      <c r="C847" s="239">
        <v>1.3064999999999999E-3</v>
      </c>
      <c r="D847" s="239">
        <v>1.3067E-3</v>
      </c>
      <c r="E847" s="329">
        <v>3567950</v>
      </c>
      <c r="F847" s="329"/>
      <c r="G847" s="329">
        <v>610923</v>
      </c>
      <c r="H847" s="329">
        <v>87027</v>
      </c>
      <c r="I847" s="329">
        <v>581517</v>
      </c>
      <c r="J847" s="329">
        <v>0</v>
      </c>
      <c r="K847" s="329">
        <v>1279467</v>
      </c>
      <c r="L847" s="329"/>
      <c r="M847" s="329">
        <v>0</v>
      </c>
      <c r="N847" s="329">
        <v>0</v>
      </c>
      <c r="O847" s="329">
        <v>65270</v>
      </c>
      <c r="P847" s="329">
        <v>65270</v>
      </c>
      <c r="Q847" s="329"/>
      <c r="R847" s="329">
        <v>1589374</v>
      </c>
      <c r="S847" s="329">
        <v>-52514</v>
      </c>
      <c r="T847" s="329">
        <v>1536860</v>
      </c>
    </row>
    <row r="848" spans="1:20">
      <c r="A848" s="335">
        <v>99201</v>
      </c>
      <c r="B848" s="328" t="s">
        <v>1541</v>
      </c>
      <c r="C848" s="239">
        <v>3.5284299999999998E-2</v>
      </c>
      <c r="D848" s="239">
        <v>3.4217999999999998E-2</v>
      </c>
      <c r="E848" s="329">
        <v>96358671</v>
      </c>
      <c r="F848" s="329"/>
      <c r="G848" s="329">
        <v>16499045</v>
      </c>
      <c r="H848" s="329">
        <v>2350323</v>
      </c>
      <c r="I848" s="329">
        <v>15704866</v>
      </c>
      <c r="J848" s="329">
        <v>1453972</v>
      </c>
      <c r="K848" s="329">
        <v>36008206</v>
      </c>
      <c r="L848" s="329"/>
      <c r="M848" s="329">
        <v>0</v>
      </c>
      <c r="N848" s="329">
        <v>0</v>
      </c>
      <c r="O848" s="329">
        <v>0</v>
      </c>
      <c r="P848" s="329">
        <v>0</v>
      </c>
      <c r="Q848" s="329"/>
      <c r="R848" s="329">
        <v>42923810</v>
      </c>
      <c r="S848" s="329">
        <v>748620</v>
      </c>
      <c r="T848" s="329">
        <v>43672430</v>
      </c>
    </row>
    <row r="849" spans="1:20">
      <c r="A849" s="335">
        <v>99202</v>
      </c>
      <c r="B849" s="328" t="s">
        <v>1542</v>
      </c>
      <c r="C849" s="239">
        <v>2.8322E-3</v>
      </c>
      <c r="D849" s="239">
        <v>2.7011000000000001E-3</v>
      </c>
      <c r="E849" s="329">
        <v>7734517</v>
      </c>
      <c r="F849" s="329"/>
      <c r="G849" s="329">
        <v>1324345</v>
      </c>
      <c r="H849" s="329">
        <v>188655</v>
      </c>
      <c r="I849" s="329">
        <v>1260598</v>
      </c>
      <c r="J849" s="329">
        <v>0</v>
      </c>
      <c r="K849" s="329">
        <v>2773598</v>
      </c>
      <c r="L849" s="329"/>
      <c r="M849" s="329">
        <v>0</v>
      </c>
      <c r="N849" s="329">
        <v>0</v>
      </c>
      <c r="O849" s="329">
        <v>63886</v>
      </c>
      <c r="P849" s="329">
        <v>63886</v>
      </c>
      <c r="Q849" s="329"/>
      <c r="R849" s="329">
        <v>3445408</v>
      </c>
      <c r="S849" s="329">
        <v>-61035</v>
      </c>
      <c r="T849" s="329">
        <v>3384373</v>
      </c>
    </row>
    <row r="850" spans="1:20">
      <c r="A850" s="335">
        <v>99203</v>
      </c>
      <c r="B850" s="328" t="s">
        <v>1543</v>
      </c>
      <c r="C850" s="239">
        <v>3.5179999999999999E-4</v>
      </c>
      <c r="D850" s="239">
        <v>2.9760000000000002E-4</v>
      </c>
      <c r="E850" s="329">
        <v>960738</v>
      </c>
      <c r="F850" s="329"/>
      <c r="G850" s="329">
        <v>164503</v>
      </c>
      <c r="H850" s="329">
        <v>23433</v>
      </c>
      <c r="I850" s="329">
        <v>156584</v>
      </c>
      <c r="J850" s="329">
        <v>38620</v>
      </c>
      <c r="K850" s="329">
        <v>383140</v>
      </c>
      <c r="L850" s="329"/>
      <c r="M850" s="329">
        <v>0</v>
      </c>
      <c r="N850" s="329">
        <v>0</v>
      </c>
      <c r="O850" s="329">
        <v>18355</v>
      </c>
      <c r="P850" s="329">
        <v>18355</v>
      </c>
      <c r="Q850" s="329"/>
      <c r="R850" s="329">
        <v>427969</v>
      </c>
      <c r="S850" s="329">
        <v>5343</v>
      </c>
      <c r="T850" s="329">
        <v>433312</v>
      </c>
    </row>
    <row r="851" spans="1:20">
      <c r="A851" s="335">
        <v>99204</v>
      </c>
      <c r="B851" s="328" t="s">
        <v>1544</v>
      </c>
      <c r="C851" s="239">
        <v>9.4149999999999995E-4</v>
      </c>
      <c r="D851" s="239">
        <v>9.2520000000000005E-4</v>
      </c>
      <c r="E851" s="329">
        <v>2571163</v>
      </c>
      <c r="F851" s="329"/>
      <c r="G851" s="329">
        <v>440248</v>
      </c>
      <c r="H851" s="329">
        <v>62714</v>
      </c>
      <c r="I851" s="329">
        <v>419057</v>
      </c>
      <c r="J851" s="329">
        <v>82702</v>
      </c>
      <c r="K851" s="329">
        <v>1004721</v>
      </c>
      <c r="L851" s="329"/>
      <c r="M851" s="329">
        <v>0</v>
      </c>
      <c r="N851" s="329">
        <v>0</v>
      </c>
      <c r="O851" s="329">
        <v>0</v>
      </c>
      <c r="P851" s="329">
        <v>0</v>
      </c>
      <c r="Q851" s="329"/>
      <c r="R851" s="329">
        <v>1145347</v>
      </c>
      <c r="S851" s="329">
        <v>47211</v>
      </c>
      <c r="T851" s="329">
        <v>1192558</v>
      </c>
    </row>
    <row r="852" spans="1:20">
      <c r="A852" s="335">
        <v>99206</v>
      </c>
      <c r="B852" s="328" t="s">
        <v>1545</v>
      </c>
      <c r="C852" s="239">
        <v>1.6375999999999999E-3</v>
      </c>
      <c r="D852" s="239">
        <v>1.7377E-3</v>
      </c>
      <c r="E852" s="329">
        <v>4472158</v>
      </c>
      <c r="F852" s="329"/>
      <c r="G852" s="329">
        <v>765747</v>
      </c>
      <c r="H852" s="329">
        <v>109083</v>
      </c>
      <c r="I852" s="329">
        <v>728888</v>
      </c>
      <c r="J852" s="329">
        <v>534608</v>
      </c>
      <c r="K852" s="329">
        <v>2138326</v>
      </c>
      <c r="L852" s="329"/>
      <c r="M852" s="329">
        <v>0</v>
      </c>
      <c r="N852" s="329">
        <v>0</v>
      </c>
      <c r="O852" s="329">
        <v>100910</v>
      </c>
      <c r="P852" s="329">
        <v>100910</v>
      </c>
      <c r="Q852" s="329"/>
      <c r="R852" s="329">
        <v>1992162</v>
      </c>
      <c r="S852" s="329">
        <v>280512</v>
      </c>
      <c r="T852" s="329">
        <v>2272674</v>
      </c>
    </row>
    <row r="853" spans="1:20">
      <c r="A853" s="335">
        <v>99207</v>
      </c>
      <c r="B853" s="328" t="s">
        <v>1546</v>
      </c>
      <c r="C853" s="239">
        <v>1.206E-4</v>
      </c>
      <c r="D853" s="239">
        <v>1.3990000000000001E-4</v>
      </c>
      <c r="E853" s="329">
        <v>329349</v>
      </c>
      <c r="F853" s="329"/>
      <c r="G853" s="329">
        <v>56393</v>
      </c>
      <c r="H853" s="329">
        <v>8034</v>
      </c>
      <c r="I853" s="329">
        <v>53678</v>
      </c>
      <c r="J853" s="329">
        <v>218751</v>
      </c>
      <c r="K853" s="329">
        <v>336856</v>
      </c>
      <c r="L853" s="329"/>
      <c r="M853" s="329">
        <v>0</v>
      </c>
      <c r="N853" s="329">
        <v>0</v>
      </c>
      <c r="O853" s="329">
        <v>0</v>
      </c>
      <c r="P853" s="329">
        <v>0</v>
      </c>
      <c r="Q853" s="329"/>
      <c r="R853" s="329">
        <v>146711</v>
      </c>
      <c r="S853" s="329">
        <v>89133</v>
      </c>
      <c r="T853" s="329">
        <v>235844</v>
      </c>
    </row>
    <row r="854" spans="1:20">
      <c r="A854" s="335">
        <v>99208</v>
      </c>
      <c r="B854" s="328" t="s">
        <v>1547</v>
      </c>
      <c r="C854" s="239">
        <v>3.0939999999999999E-4</v>
      </c>
      <c r="D854" s="239">
        <v>2.3560000000000001E-4</v>
      </c>
      <c r="E854" s="329">
        <v>844947</v>
      </c>
      <c r="F854" s="329"/>
      <c r="G854" s="329">
        <v>144676</v>
      </c>
      <c r="H854" s="329">
        <v>20609</v>
      </c>
      <c r="I854" s="329">
        <v>137712</v>
      </c>
      <c r="J854" s="329">
        <v>67706</v>
      </c>
      <c r="K854" s="329">
        <v>370703</v>
      </c>
      <c r="L854" s="329"/>
      <c r="M854" s="329">
        <v>0</v>
      </c>
      <c r="N854" s="329">
        <v>0</v>
      </c>
      <c r="O854" s="329">
        <v>7190</v>
      </c>
      <c r="P854" s="329">
        <v>7190</v>
      </c>
      <c r="Q854" s="329"/>
      <c r="R854" s="329">
        <v>376389</v>
      </c>
      <c r="S854" s="329">
        <v>9175</v>
      </c>
      <c r="T854" s="329">
        <v>385564</v>
      </c>
    </row>
    <row r="855" spans="1:20">
      <c r="A855" s="335">
        <v>99210</v>
      </c>
      <c r="B855" s="328" t="s">
        <v>3724</v>
      </c>
      <c r="C855" s="239">
        <v>1.7913E-3</v>
      </c>
      <c r="D855" s="239">
        <v>1.6613000000000001E-3</v>
      </c>
      <c r="E855" s="329">
        <v>4891901</v>
      </c>
      <c r="F855" s="329"/>
      <c r="G855" s="329">
        <v>837617</v>
      </c>
      <c r="H855" s="329">
        <v>119320</v>
      </c>
      <c r="I855" s="329">
        <v>797299</v>
      </c>
      <c r="J855" s="329">
        <v>271936</v>
      </c>
      <c r="K855" s="329">
        <v>2026172</v>
      </c>
      <c r="L855" s="329"/>
      <c r="M855" s="329">
        <v>0</v>
      </c>
      <c r="N855" s="329">
        <v>0</v>
      </c>
      <c r="O855" s="329">
        <v>0</v>
      </c>
      <c r="P855" s="329">
        <v>0</v>
      </c>
      <c r="Q855" s="329"/>
      <c r="R855" s="329">
        <v>2179140</v>
      </c>
      <c r="S855" s="329">
        <v>98691</v>
      </c>
      <c r="T855" s="329">
        <v>2277831</v>
      </c>
    </row>
    <row r="856" spans="1:20">
      <c r="A856" s="335">
        <v>99211</v>
      </c>
      <c r="B856" s="328" t="s">
        <v>1549</v>
      </c>
      <c r="C856" s="239">
        <v>3.8786099999999997E-2</v>
      </c>
      <c r="D856" s="239">
        <v>3.8652899999999997E-2</v>
      </c>
      <c r="E856" s="329">
        <v>105921814</v>
      </c>
      <c r="F856" s="329"/>
      <c r="G856" s="329">
        <v>18136497</v>
      </c>
      <c r="H856" s="329">
        <v>2583581</v>
      </c>
      <c r="I856" s="329">
        <v>17263499</v>
      </c>
      <c r="J856" s="329">
        <v>487522</v>
      </c>
      <c r="K856" s="329">
        <v>38471099</v>
      </c>
      <c r="L856" s="329"/>
      <c r="M856" s="329">
        <v>0</v>
      </c>
      <c r="N856" s="329">
        <v>0</v>
      </c>
      <c r="O856" s="329">
        <v>1274165</v>
      </c>
      <c r="P856" s="329">
        <v>1274165</v>
      </c>
      <c r="Q856" s="329"/>
      <c r="R856" s="329">
        <v>47183795</v>
      </c>
      <c r="S856" s="329">
        <v>-513660</v>
      </c>
      <c r="T856" s="329">
        <v>46670135</v>
      </c>
    </row>
    <row r="857" spans="1:20">
      <c r="A857" s="335">
        <v>99212</v>
      </c>
      <c r="B857" s="328" t="s">
        <v>3725</v>
      </c>
      <c r="C857" s="239">
        <v>6.7999999999999999E-5</v>
      </c>
      <c r="D857" s="239">
        <v>7.2200000000000007E-5</v>
      </c>
      <c r="E857" s="329">
        <v>185703</v>
      </c>
      <c r="F857" s="329"/>
      <c r="G857" s="329">
        <v>31797</v>
      </c>
      <c r="H857" s="329">
        <v>4530</v>
      </c>
      <c r="I857" s="329">
        <v>30266</v>
      </c>
      <c r="J857" s="329">
        <v>120</v>
      </c>
      <c r="K857" s="329">
        <v>66713</v>
      </c>
      <c r="L857" s="329"/>
      <c r="M857" s="329">
        <v>0</v>
      </c>
      <c r="N857" s="329">
        <v>0</v>
      </c>
      <c r="O857" s="329">
        <v>18681</v>
      </c>
      <c r="P857" s="329">
        <v>18681</v>
      </c>
      <c r="Q857" s="329"/>
      <c r="R857" s="329">
        <v>82723</v>
      </c>
      <c r="S857" s="329">
        <v>-14987</v>
      </c>
      <c r="T857" s="329">
        <v>67736</v>
      </c>
    </row>
    <row r="858" spans="1:20">
      <c r="A858" s="335">
        <v>99213</v>
      </c>
      <c r="B858" s="328" t="s">
        <v>1551</v>
      </c>
      <c r="C858" s="239">
        <v>6.7770000000000005E-4</v>
      </c>
      <c r="D858" s="239">
        <v>7.6519999999999995E-4</v>
      </c>
      <c r="E858" s="329">
        <v>1850746</v>
      </c>
      <c r="F858" s="329"/>
      <c r="G858" s="329">
        <v>316895</v>
      </c>
      <c r="H858" s="329">
        <v>45142</v>
      </c>
      <c r="I858" s="329">
        <v>301641</v>
      </c>
      <c r="J858" s="329">
        <v>10970</v>
      </c>
      <c r="K858" s="329">
        <v>674648</v>
      </c>
      <c r="L858" s="329"/>
      <c r="M858" s="329">
        <v>0</v>
      </c>
      <c r="N858" s="329">
        <v>0</v>
      </c>
      <c r="O858" s="329">
        <v>84903</v>
      </c>
      <c r="P858" s="329">
        <v>84903</v>
      </c>
      <c r="Q858" s="329"/>
      <c r="R858" s="329">
        <v>824431</v>
      </c>
      <c r="S858" s="329">
        <v>-22471</v>
      </c>
      <c r="T858" s="329">
        <v>801960</v>
      </c>
    </row>
    <row r="859" spans="1:20">
      <c r="A859" s="335">
        <v>99218</v>
      </c>
      <c r="B859" s="328" t="s">
        <v>1552</v>
      </c>
      <c r="C859" s="239">
        <v>3.4424E-3</v>
      </c>
      <c r="D859" s="239">
        <v>3.3276999999999998E-3</v>
      </c>
      <c r="E859" s="329">
        <v>9400926</v>
      </c>
      <c r="F859" s="329"/>
      <c r="G859" s="329">
        <v>1609677</v>
      </c>
      <c r="H859" s="329">
        <v>229302</v>
      </c>
      <c r="I859" s="329">
        <v>1532195</v>
      </c>
      <c r="J859" s="329">
        <v>328185</v>
      </c>
      <c r="K859" s="329">
        <v>3699359</v>
      </c>
      <c r="L859" s="329"/>
      <c r="M859" s="329">
        <v>0</v>
      </c>
      <c r="N859" s="329">
        <v>0</v>
      </c>
      <c r="O859" s="329">
        <v>0</v>
      </c>
      <c r="P859" s="329">
        <v>0</v>
      </c>
      <c r="Q859" s="329"/>
      <c r="R859" s="329">
        <v>4187724</v>
      </c>
      <c r="S859" s="329">
        <v>140332</v>
      </c>
      <c r="T859" s="329">
        <v>4328056</v>
      </c>
    </row>
    <row r="860" spans="1:20">
      <c r="A860" s="335">
        <v>99221</v>
      </c>
      <c r="B860" s="328" t="s">
        <v>1553</v>
      </c>
      <c r="C860" s="239">
        <v>1.26739E-2</v>
      </c>
      <c r="D860" s="239">
        <v>1.26885E-2</v>
      </c>
      <c r="E860" s="329">
        <v>34611432</v>
      </c>
      <c r="F860" s="329"/>
      <c r="G860" s="329">
        <v>5926354</v>
      </c>
      <c r="H860" s="329">
        <v>844221</v>
      </c>
      <c r="I860" s="329">
        <v>5641090</v>
      </c>
      <c r="J860" s="329">
        <v>0</v>
      </c>
      <c r="K860" s="329">
        <v>12411665</v>
      </c>
      <c r="L860" s="329"/>
      <c r="M860" s="329">
        <v>0</v>
      </c>
      <c r="N860" s="329">
        <v>0</v>
      </c>
      <c r="O860" s="329">
        <v>426571</v>
      </c>
      <c r="P860" s="329">
        <v>426571</v>
      </c>
      <c r="Q860" s="329"/>
      <c r="R860" s="329">
        <v>15417964</v>
      </c>
      <c r="S860" s="329">
        <v>-272889</v>
      </c>
      <c r="T860" s="329">
        <v>15145075</v>
      </c>
    </row>
    <row r="861" spans="1:20">
      <c r="A861" s="335">
        <v>99222</v>
      </c>
      <c r="B861" s="328" t="s">
        <v>1554</v>
      </c>
      <c r="C861" s="239">
        <v>3.5599999999999998E-5</v>
      </c>
      <c r="D861" s="239">
        <v>3.7200000000000003E-5</v>
      </c>
      <c r="E861" s="329">
        <v>97221</v>
      </c>
      <c r="F861" s="329"/>
      <c r="G861" s="329">
        <v>16647</v>
      </c>
      <c r="H861" s="329">
        <v>2371</v>
      </c>
      <c r="I861" s="329">
        <v>15845</v>
      </c>
      <c r="J861" s="329">
        <v>0</v>
      </c>
      <c r="K861" s="329">
        <v>34863</v>
      </c>
      <c r="L861" s="329"/>
      <c r="M861" s="329">
        <v>0</v>
      </c>
      <c r="N861" s="329">
        <v>0</v>
      </c>
      <c r="O861" s="329">
        <v>5943</v>
      </c>
      <c r="P861" s="329">
        <v>5943</v>
      </c>
      <c r="Q861" s="329"/>
      <c r="R861" s="329">
        <v>43308</v>
      </c>
      <c r="S861" s="329">
        <v>-1198</v>
      </c>
      <c r="T861" s="329">
        <v>42110</v>
      </c>
    </row>
    <row r="862" spans="1:20">
      <c r="A862" s="335">
        <v>99231</v>
      </c>
      <c r="B862" s="328" t="s">
        <v>1555</v>
      </c>
      <c r="C862" s="239">
        <v>3.5159999999999998E-4</v>
      </c>
      <c r="D862" s="239">
        <v>3.6329999999999999E-4</v>
      </c>
      <c r="E862" s="329">
        <v>960192</v>
      </c>
      <c r="F862" s="329"/>
      <c r="G862" s="329">
        <v>164409</v>
      </c>
      <c r="H862" s="329">
        <v>23420</v>
      </c>
      <c r="I862" s="329">
        <v>156495</v>
      </c>
      <c r="J862" s="329">
        <v>0</v>
      </c>
      <c r="K862" s="329">
        <v>344324</v>
      </c>
      <c r="L862" s="329"/>
      <c r="M862" s="329">
        <v>0</v>
      </c>
      <c r="N862" s="329">
        <v>0</v>
      </c>
      <c r="O862" s="329">
        <v>26580</v>
      </c>
      <c r="P862" s="329">
        <v>26580</v>
      </c>
      <c r="Q862" s="329"/>
      <c r="R862" s="329">
        <v>427726</v>
      </c>
      <c r="S862" s="329">
        <v>-12529</v>
      </c>
      <c r="T862" s="329">
        <v>415197</v>
      </c>
    </row>
    <row r="863" spans="1:20">
      <c r="A863" s="335">
        <v>99241</v>
      </c>
      <c r="B863" s="328" t="s">
        <v>1556</v>
      </c>
      <c r="C863" s="239">
        <v>5.6070000000000002E-4</v>
      </c>
      <c r="D863" s="239">
        <v>5.488E-4</v>
      </c>
      <c r="E863" s="329">
        <v>1531228</v>
      </c>
      <c r="F863" s="329"/>
      <c r="G863" s="329">
        <v>262185</v>
      </c>
      <c r="H863" s="329">
        <v>37349</v>
      </c>
      <c r="I863" s="329">
        <v>249565</v>
      </c>
      <c r="J863" s="329">
        <v>0</v>
      </c>
      <c r="K863" s="329">
        <v>549099</v>
      </c>
      <c r="L863" s="329"/>
      <c r="M863" s="329">
        <v>0</v>
      </c>
      <c r="N863" s="329">
        <v>0</v>
      </c>
      <c r="O863" s="329">
        <v>37966</v>
      </c>
      <c r="P863" s="329">
        <v>37966</v>
      </c>
      <c r="Q863" s="329"/>
      <c r="R863" s="329">
        <v>682099</v>
      </c>
      <c r="S863" s="329">
        <v>-32859</v>
      </c>
      <c r="T863" s="329">
        <v>649240</v>
      </c>
    </row>
    <row r="864" spans="1:20">
      <c r="A864" s="335">
        <v>99251</v>
      </c>
      <c r="B864" s="328" t="s">
        <v>1557</v>
      </c>
      <c r="C864" s="239">
        <v>1.6358E-3</v>
      </c>
      <c r="D864" s="239">
        <v>1.5935000000000001E-3</v>
      </c>
      <c r="E864" s="329">
        <v>4467242</v>
      </c>
      <c r="F864" s="329"/>
      <c r="G864" s="329">
        <v>764905</v>
      </c>
      <c r="H864" s="329">
        <v>108962</v>
      </c>
      <c r="I864" s="329">
        <v>728086</v>
      </c>
      <c r="J864" s="329">
        <v>9898</v>
      </c>
      <c r="K864" s="329">
        <v>1611851</v>
      </c>
      <c r="L864" s="329"/>
      <c r="M864" s="329">
        <v>0</v>
      </c>
      <c r="N864" s="329">
        <v>0</v>
      </c>
      <c r="O864" s="329">
        <v>23833</v>
      </c>
      <c r="P864" s="329">
        <v>23833</v>
      </c>
      <c r="Q864" s="329"/>
      <c r="R864" s="329">
        <v>1989972</v>
      </c>
      <c r="S864" s="329">
        <v>-6485</v>
      </c>
      <c r="T864" s="329">
        <v>1983487</v>
      </c>
    </row>
    <row r="865" spans="1:20">
      <c r="A865" s="335">
        <v>99252</v>
      </c>
      <c r="B865" s="328" t="s">
        <v>3726</v>
      </c>
      <c r="C865" s="239">
        <v>6.6200000000000005E-4</v>
      </c>
      <c r="D865" s="239">
        <v>6.7239999999999997E-4</v>
      </c>
      <c r="E865" s="329">
        <v>1807870</v>
      </c>
      <c r="F865" s="329"/>
      <c r="G865" s="329">
        <v>309553</v>
      </c>
      <c r="H865" s="329">
        <v>44097</v>
      </c>
      <c r="I865" s="329">
        <v>294653</v>
      </c>
      <c r="J865" s="329">
        <v>0</v>
      </c>
      <c r="K865" s="329">
        <v>648303</v>
      </c>
      <c r="L865" s="329"/>
      <c r="M865" s="329">
        <v>0</v>
      </c>
      <c r="N865" s="329">
        <v>0</v>
      </c>
      <c r="O865" s="329">
        <v>156511</v>
      </c>
      <c r="P865" s="329">
        <v>156511</v>
      </c>
      <c r="Q865" s="329"/>
      <c r="R865" s="329">
        <v>805332</v>
      </c>
      <c r="S865" s="329">
        <v>-97206</v>
      </c>
      <c r="T865" s="329">
        <v>708126</v>
      </c>
    </row>
    <row r="866" spans="1:20">
      <c r="A866" s="335">
        <v>99261</v>
      </c>
      <c r="B866" s="328" t="s">
        <v>1559</v>
      </c>
      <c r="C866" s="239">
        <v>2.2407E-3</v>
      </c>
      <c r="D866" s="239">
        <v>2.0975999999999998E-3</v>
      </c>
      <c r="E866" s="329">
        <v>6119177</v>
      </c>
      <c r="F866" s="329"/>
      <c r="G866" s="329">
        <v>1047758</v>
      </c>
      <c r="H866" s="329">
        <v>149255</v>
      </c>
      <c r="I866" s="329">
        <v>997324</v>
      </c>
      <c r="J866" s="329">
        <v>1882</v>
      </c>
      <c r="K866" s="329">
        <v>2196219</v>
      </c>
      <c r="L866" s="329"/>
      <c r="M866" s="329">
        <v>0</v>
      </c>
      <c r="N866" s="329">
        <v>0</v>
      </c>
      <c r="O866" s="329">
        <v>52149</v>
      </c>
      <c r="P866" s="329">
        <v>52149</v>
      </c>
      <c r="Q866" s="329"/>
      <c r="R866" s="329">
        <v>2725841</v>
      </c>
      <c r="S866" s="329">
        <v>-49397</v>
      </c>
      <c r="T866" s="329">
        <v>2676444</v>
      </c>
    </row>
    <row r="867" spans="1:20">
      <c r="A867" s="335">
        <v>99271</v>
      </c>
      <c r="B867" s="328" t="s">
        <v>1560</v>
      </c>
      <c r="C867" s="239">
        <v>4.2773000000000004E-3</v>
      </c>
      <c r="D867" s="239">
        <v>4.2411999999999997E-3</v>
      </c>
      <c r="E867" s="329">
        <v>11680973</v>
      </c>
      <c r="F867" s="329"/>
      <c r="G867" s="329">
        <v>2000078</v>
      </c>
      <c r="H867" s="329">
        <v>284915</v>
      </c>
      <c r="I867" s="329">
        <v>1903805</v>
      </c>
      <c r="J867" s="329">
        <v>55819</v>
      </c>
      <c r="K867" s="329">
        <v>4244617</v>
      </c>
      <c r="L867" s="329"/>
      <c r="M867" s="329">
        <v>0</v>
      </c>
      <c r="N867" s="329">
        <v>0</v>
      </c>
      <c r="O867" s="329">
        <v>119333</v>
      </c>
      <c r="P867" s="329">
        <v>119333</v>
      </c>
      <c r="Q867" s="329"/>
      <c r="R867" s="329">
        <v>5203391</v>
      </c>
      <c r="S867" s="329">
        <v>-45027</v>
      </c>
      <c r="T867" s="329">
        <v>5158364</v>
      </c>
    </row>
    <row r="868" spans="1:20">
      <c r="A868" s="335">
        <v>99281</v>
      </c>
      <c r="B868" s="328" t="s">
        <v>1561</v>
      </c>
      <c r="C868" s="239">
        <v>2.4237E-3</v>
      </c>
      <c r="D868" s="239">
        <v>2.3770000000000002E-3</v>
      </c>
      <c r="E868" s="329">
        <v>6618936</v>
      </c>
      <c r="F868" s="329"/>
      <c r="G868" s="329">
        <v>1133329</v>
      </c>
      <c r="H868" s="329">
        <v>161445</v>
      </c>
      <c r="I868" s="329">
        <v>1078777</v>
      </c>
      <c r="J868" s="329">
        <v>14286</v>
      </c>
      <c r="K868" s="329">
        <v>2387837</v>
      </c>
      <c r="L868" s="329"/>
      <c r="M868" s="329">
        <v>0</v>
      </c>
      <c r="N868" s="329">
        <v>0</v>
      </c>
      <c r="O868" s="329">
        <v>42367</v>
      </c>
      <c r="P868" s="329">
        <v>42367</v>
      </c>
      <c r="Q868" s="329"/>
      <c r="R868" s="329">
        <v>2948463</v>
      </c>
      <c r="S868" s="329">
        <v>-37423</v>
      </c>
      <c r="T868" s="329">
        <v>2911040</v>
      </c>
    </row>
    <row r="869" spans="1:20">
      <c r="A869" s="335">
        <v>99291</v>
      </c>
      <c r="B869" s="328" t="s">
        <v>1562</v>
      </c>
      <c r="C869" s="239">
        <v>8.4909999999999998E-4</v>
      </c>
      <c r="D869" s="239">
        <v>8.2370000000000002E-4</v>
      </c>
      <c r="E869" s="329">
        <v>2318826</v>
      </c>
      <c r="F869" s="329"/>
      <c r="G869" s="329">
        <v>397042</v>
      </c>
      <c r="H869" s="329">
        <v>56560</v>
      </c>
      <c r="I869" s="329">
        <v>377930</v>
      </c>
      <c r="J869" s="329">
        <v>9422</v>
      </c>
      <c r="K869" s="329">
        <v>840954</v>
      </c>
      <c r="L869" s="329"/>
      <c r="M869" s="329">
        <v>0</v>
      </c>
      <c r="N869" s="329">
        <v>0</v>
      </c>
      <c r="O869" s="329">
        <v>75555</v>
      </c>
      <c r="P869" s="329">
        <v>75555</v>
      </c>
      <c r="Q869" s="329"/>
      <c r="R869" s="329">
        <v>1032941</v>
      </c>
      <c r="S869" s="329">
        <v>-46960</v>
      </c>
      <c r="T869" s="329">
        <v>985981</v>
      </c>
    </row>
    <row r="870" spans="1:20">
      <c r="A870" s="335">
        <v>99301</v>
      </c>
      <c r="B870" s="328" t="s">
        <v>1563</v>
      </c>
      <c r="C870" s="239">
        <v>1.6092999999999999E-3</v>
      </c>
      <c r="D870" s="239">
        <v>1.7239E-3</v>
      </c>
      <c r="E870" s="329">
        <v>4394873</v>
      </c>
      <c r="F870" s="329"/>
      <c r="G870" s="329">
        <v>752514</v>
      </c>
      <c r="H870" s="329">
        <v>107197</v>
      </c>
      <c r="I870" s="329">
        <v>716291</v>
      </c>
      <c r="J870" s="329">
        <v>0</v>
      </c>
      <c r="K870" s="329">
        <v>1576002</v>
      </c>
      <c r="L870" s="329"/>
      <c r="M870" s="329">
        <v>0</v>
      </c>
      <c r="N870" s="329">
        <v>0</v>
      </c>
      <c r="O870" s="329">
        <v>179811</v>
      </c>
      <c r="P870" s="329">
        <v>179811</v>
      </c>
      <c r="Q870" s="329"/>
      <c r="R870" s="329">
        <v>1957734</v>
      </c>
      <c r="S870" s="329">
        <v>-44257</v>
      </c>
      <c r="T870" s="329">
        <v>1913477</v>
      </c>
    </row>
    <row r="871" spans="1:20">
      <c r="A871" s="335">
        <v>99304</v>
      </c>
      <c r="B871" s="328" t="s">
        <v>1564</v>
      </c>
      <c r="C871" s="239">
        <v>7.6000000000000001E-6</v>
      </c>
      <c r="D871" s="239">
        <v>8.4999999999999999E-6</v>
      </c>
      <c r="E871" s="329">
        <v>20755</v>
      </c>
      <c r="F871" s="329"/>
      <c r="G871" s="329">
        <v>3554</v>
      </c>
      <c r="H871" s="329">
        <v>506</v>
      </c>
      <c r="I871" s="329">
        <v>3383</v>
      </c>
      <c r="J871" s="329">
        <v>6440</v>
      </c>
      <c r="K871" s="329">
        <v>13883</v>
      </c>
      <c r="L871" s="329"/>
      <c r="M871" s="329">
        <v>0</v>
      </c>
      <c r="N871" s="329">
        <v>0</v>
      </c>
      <c r="O871" s="329">
        <v>0</v>
      </c>
      <c r="P871" s="329">
        <v>0</v>
      </c>
      <c r="Q871" s="329"/>
      <c r="R871" s="329">
        <v>9245</v>
      </c>
      <c r="S871" s="329">
        <v>2920</v>
      </c>
      <c r="T871" s="329">
        <v>12165</v>
      </c>
    </row>
    <row r="872" spans="1:20">
      <c r="A872" s="335">
        <v>99311</v>
      </c>
      <c r="B872" s="328" t="s">
        <v>1565</v>
      </c>
      <c r="C872" s="239">
        <v>5.9700000000000001E-5</v>
      </c>
      <c r="D872" s="239">
        <v>6.0699999999999998E-5</v>
      </c>
      <c r="E872" s="329">
        <v>163036</v>
      </c>
      <c r="F872" s="329"/>
      <c r="G872" s="329">
        <v>27916</v>
      </c>
      <c r="H872" s="329">
        <v>3977</v>
      </c>
      <c r="I872" s="329">
        <v>26572</v>
      </c>
      <c r="J872" s="329">
        <v>3059</v>
      </c>
      <c r="K872" s="329">
        <v>61524</v>
      </c>
      <c r="L872" s="329"/>
      <c r="M872" s="329">
        <v>0</v>
      </c>
      <c r="N872" s="329">
        <v>0</v>
      </c>
      <c r="O872" s="329">
        <v>6159</v>
      </c>
      <c r="P872" s="329">
        <v>6159</v>
      </c>
      <c r="Q872" s="329"/>
      <c r="R872" s="329">
        <v>72626</v>
      </c>
      <c r="S872" s="329">
        <v>-1670</v>
      </c>
      <c r="T872" s="329">
        <v>70956</v>
      </c>
    </row>
    <row r="873" spans="1:20">
      <c r="A873" s="335">
        <v>99321</v>
      </c>
      <c r="B873" s="328" t="s">
        <v>1566</v>
      </c>
      <c r="C873" s="239">
        <v>8.6399999999999999E-5</v>
      </c>
      <c r="D873" s="239">
        <v>8.7000000000000001E-5</v>
      </c>
      <c r="E873" s="329">
        <v>235952</v>
      </c>
      <c r="F873" s="329"/>
      <c r="G873" s="329">
        <v>40401</v>
      </c>
      <c r="H873" s="329">
        <v>5755</v>
      </c>
      <c r="I873" s="329">
        <v>38456</v>
      </c>
      <c r="J873" s="329">
        <v>90082</v>
      </c>
      <c r="K873" s="329">
        <v>174694</v>
      </c>
      <c r="L873" s="329"/>
      <c r="M873" s="329">
        <v>0</v>
      </c>
      <c r="N873" s="329">
        <v>0</v>
      </c>
      <c r="O873" s="329">
        <v>0</v>
      </c>
      <c r="P873" s="329">
        <v>0</v>
      </c>
      <c r="Q873" s="329"/>
      <c r="R873" s="329">
        <v>105107</v>
      </c>
      <c r="S873" s="329">
        <v>46127</v>
      </c>
      <c r="T873" s="329">
        <v>151234</v>
      </c>
    </row>
    <row r="874" spans="1:20">
      <c r="A874" s="335">
        <v>99401</v>
      </c>
      <c r="B874" s="328" t="s">
        <v>1567</v>
      </c>
      <c r="C874" s="239">
        <v>7.7590000000000005E-4</v>
      </c>
      <c r="D874" s="239">
        <v>8.3949999999999997E-4</v>
      </c>
      <c r="E874" s="329">
        <v>2118922</v>
      </c>
      <c r="F874" s="329"/>
      <c r="G874" s="329">
        <v>362813</v>
      </c>
      <c r="H874" s="329">
        <v>51683</v>
      </c>
      <c r="I874" s="329">
        <v>345349</v>
      </c>
      <c r="J874" s="329">
        <v>3138</v>
      </c>
      <c r="K874" s="329">
        <v>762983</v>
      </c>
      <c r="L874" s="329"/>
      <c r="M874" s="329">
        <v>0</v>
      </c>
      <c r="N874" s="329">
        <v>0</v>
      </c>
      <c r="O874" s="329">
        <v>81149</v>
      </c>
      <c r="P874" s="329">
        <v>81149</v>
      </c>
      <c r="Q874" s="329"/>
      <c r="R874" s="329">
        <v>943892</v>
      </c>
      <c r="S874" s="329">
        <v>-21502</v>
      </c>
      <c r="T874" s="329">
        <v>922390</v>
      </c>
    </row>
    <row r="875" spans="1:20">
      <c r="A875" s="335">
        <v>99404</v>
      </c>
      <c r="B875" s="328" t="s">
        <v>1568</v>
      </c>
      <c r="C875" s="239">
        <v>8.4999999999999999E-6</v>
      </c>
      <c r="D875" s="239">
        <v>9.0999999999999993E-6</v>
      </c>
      <c r="E875" s="329">
        <v>23213</v>
      </c>
      <c r="F875" s="329"/>
      <c r="G875" s="329">
        <v>3975</v>
      </c>
      <c r="H875" s="329">
        <v>566</v>
      </c>
      <c r="I875" s="329">
        <v>3783</v>
      </c>
      <c r="J875" s="329">
        <v>1858</v>
      </c>
      <c r="K875" s="329">
        <v>10182</v>
      </c>
      <c r="L875" s="329"/>
      <c r="M875" s="329">
        <v>0</v>
      </c>
      <c r="N875" s="329">
        <v>0</v>
      </c>
      <c r="O875" s="329">
        <v>0</v>
      </c>
      <c r="P875" s="329">
        <v>0</v>
      </c>
      <c r="Q875" s="329"/>
      <c r="R875" s="329">
        <v>10340</v>
      </c>
      <c r="S875" s="329">
        <v>768</v>
      </c>
      <c r="T875" s="329">
        <v>11108</v>
      </c>
    </row>
    <row r="876" spans="1:20">
      <c r="A876" s="335">
        <v>99405</v>
      </c>
      <c r="B876" s="328" t="s">
        <v>1569</v>
      </c>
      <c r="C876" s="239">
        <v>5.9799999999999997E-5</v>
      </c>
      <c r="D876" s="239">
        <v>5.2200000000000002E-5</v>
      </c>
      <c r="E876" s="329">
        <v>163309</v>
      </c>
      <c r="F876" s="329"/>
      <c r="G876" s="329">
        <v>27963</v>
      </c>
      <c r="H876" s="329">
        <v>3984</v>
      </c>
      <c r="I876" s="329">
        <v>26617</v>
      </c>
      <c r="J876" s="329">
        <v>21724</v>
      </c>
      <c r="K876" s="329">
        <v>80288</v>
      </c>
      <c r="L876" s="329"/>
      <c r="M876" s="329">
        <v>0</v>
      </c>
      <c r="N876" s="329">
        <v>0</v>
      </c>
      <c r="O876" s="329">
        <v>0</v>
      </c>
      <c r="P876" s="329">
        <v>0</v>
      </c>
      <c r="Q876" s="329"/>
      <c r="R876" s="329">
        <v>72747</v>
      </c>
      <c r="S876" s="329">
        <v>9982</v>
      </c>
      <c r="T876" s="329">
        <v>82729</v>
      </c>
    </row>
    <row r="877" spans="1:20">
      <c r="A877" s="335">
        <v>99411</v>
      </c>
      <c r="B877" s="328" t="s">
        <v>1570</v>
      </c>
      <c r="C877" s="239">
        <v>1.7139999999999999E-4</v>
      </c>
      <c r="D877" s="239">
        <v>1.7239999999999999E-4</v>
      </c>
      <c r="E877" s="329">
        <v>468080</v>
      </c>
      <c r="F877" s="329"/>
      <c r="G877" s="329">
        <v>80147</v>
      </c>
      <c r="H877" s="329">
        <v>11417</v>
      </c>
      <c r="I877" s="329">
        <v>76289</v>
      </c>
      <c r="J877" s="329">
        <v>28947</v>
      </c>
      <c r="K877" s="329">
        <v>196800</v>
      </c>
      <c r="L877" s="329"/>
      <c r="M877" s="329">
        <v>0</v>
      </c>
      <c r="N877" s="329">
        <v>0</v>
      </c>
      <c r="O877" s="329">
        <v>0</v>
      </c>
      <c r="P877" s="329">
        <v>0</v>
      </c>
      <c r="Q877" s="329"/>
      <c r="R877" s="329">
        <v>208510</v>
      </c>
      <c r="S877" s="329">
        <v>16596</v>
      </c>
      <c r="T877" s="329">
        <v>225106</v>
      </c>
    </row>
    <row r="878" spans="1:20">
      <c r="A878" s="335">
        <v>99413</v>
      </c>
      <c r="B878" s="328" t="s">
        <v>1571</v>
      </c>
      <c r="C878" s="239">
        <v>2.0400000000000001E-5</v>
      </c>
      <c r="D878" s="239">
        <v>1.98E-5</v>
      </c>
      <c r="E878" s="329">
        <v>55711</v>
      </c>
      <c r="F878" s="329"/>
      <c r="G878" s="329">
        <v>9539</v>
      </c>
      <c r="H878" s="329">
        <v>1359</v>
      </c>
      <c r="I878" s="329">
        <v>9080</v>
      </c>
      <c r="J878" s="329">
        <v>8664</v>
      </c>
      <c r="K878" s="329">
        <v>28642</v>
      </c>
      <c r="L878" s="329"/>
      <c r="M878" s="329">
        <v>0</v>
      </c>
      <c r="N878" s="329">
        <v>0</v>
      </c>
      <c r="O878" s="329">
        <v>3196</v>
      </c>
      <c r="P878" s="329">
        <v>3196</v>
      </c>
      <c r="Q878" s="329"/>
      <c r="R878" s="329">
        <v>24817</v>
      </c>
      <c r="S878" s="329">
        <v>878</v>
      </c>
      <c r="T878" s="329">
        <v>25695</v>
      </c>
    </row>
    <row r="879" spans="1:20">
      <c r="A879" s="335">
        <v>99421</v>
      </c>
      <c r="B879" s="328" t="s">
        <v>1572</v>
      </c>
      <c r="C879" s="239">
        <v>1.3499999999999999E-5</v>
      </c>
      <c r="D879" s="239">
        <v>1.24E-5</v>
      </c>
      <c r="E879" s="329">
        <v>36867</v>
      </c>
      <c r="F879" s="329"/>
      <c r="G879" s="329">
        <v>6313</v>
      </c>
      <c r="H879" s="329">
        <v>899</v>
      </c>
      <c r="I879" s="329">
        <v>6009</v>
      </c>
      <c r="J879" s="329">
        <v>979</v>
      </c>
      <c r="K879" s="329">
        <v>14200</v>
      </c>
      <c r="L879" s="329"/>
      <c r="M879" s="329">
        <v>0</v>
      </c>
      <c r="N879" s="329">
        <v>0</v>
      </c>
      <c r="O879" s="329">
        <v>1752</v>
      </c>
      <c r="P879" s="329">
        <v>1752</v>
      </c>
      <c r="Q879" s="329"/>
      <c r="R879" s="329">
        <v>16423</v>
      </c>
      <c r="S879" s="329">
        <v>-1499</v>
      </c>
      <c r="T879" s="329">
        <v>14924</v>
      </c>
    </row>
    <row r="880" spans="1:20">
      <c r="A880" s="335">
        <v>99431</v>
      </c>
      <c r="B880" s="328" t="s">
        <v>1573</v>
      </c>
      <c r="C880" s="239">
        <v>1.4800000000000001E-5</v>
      </c>
      <c r="D880" s="239">
        <v>2.1999999999999999E-5</v>
      </c>
      <c r="E880" s="329">
        <v>40418</v>
      </c>
      <c r="F880" s="329"/>
      <c r="G880" s="329">
        <v>6921</v>
      </c>
      <c r="H880" s="329">
        <v>986</v>
      </c>
      <c r="I880" s="329">
        <v>6587</v>
      </c>
      <c r="J880" s="329">
        <v>0</v>
      </c>
      <c r="K880" s="329">
        <v>14494</v>
      </c>
      <c r="L880" s="329"/>
      <c r="M880" s="329">
        <v>0</v>
      </c>
      <c r="N880" s="329">
        <v>0</v>
      </c>
      <c r="O880" s="329">
        <v>8580</v>
      </c>
      <c r="P880" s="329">
        <v>8580</v>
      </c>
      <c r="Q880" s="329"/>
      <c r="R880" s="329">
        <v>18004</v>
      </c>
      <c r="S880" s="329">
        <v>-2925</v>
      </c>
      <c r="T880" s="329">
        <v>15079</v>
      </c>
    </row>
    <row r="881" spans="1:20">
      <c r="A881" s="335">
        <v>99501</v>
      </c>
      <c r="B881" s="328" t="s">
        <v>1574</v>
      </c>
      <c r="C881" s="239">
        <v>1.6478E-3</v>
      </c>
      <c r="D881" s="239">
        <v>1.6559000000000001E-3</v>
      </c>
      <c r="E881" s="329">
        <v>4500013</v>
      </c>
      <c r="F881" s="329"/>
      <c r="G881" s="329">
        <v>770516</v>
      </c>
      <c r="H881" s="329">
        <v>109762</v>
      </c>
      <c r="I881" s="329">
        <v>733428</v>
      </c>
      <c r="J881" s="329">
        <v>58807</v>
      </c>
      <c r="K881" s="329">
        <v>1672513</v>
      </c>
      <c r="L881" s="329"/>
      <c r="M881" s="329">
        <v>0</v>
      </c>
      <c r="N881" s="329">
        <v>0</v>
      </c>
      <c r="O881" s="329">
        <v>10753</v>
      </c>
      <c r="P881" s="329">
        <v>10753</v>
      </c>
      <c r="Q881" s="329"/>
      <c r="R881" s="329">
        <v>2004570</v>
      </c>
      <c r="S881" s="329">
        <v>12254</v>
      </c>
      <c r="T881" s="329">
        <v>2016824</v>
      </c>
    </row>
    <row r="882" spans="1:20">
      <c r="A882" s="335">
        <v>99502</v>
      </c>
      <c r="B882" s="328" t="s">
        <v>1575</v>
      </c>
      <c r="C882" s="239">
        <v>1.4459999999999999E-4</v>
      </c>
      <c r="D882" s="239">
        <v>1.5699999999999999E-4</v>
      </c>
      <c r="E882" s="329">
        <v>394891</v>
      </c>
      <c r="F882" s="329"/>
      <c r="G882" s="329">
        <v>67615</v>
      </c>
      <c r="H882" s="329">
        <v>9632</v>
      </c>
      <c r="I882" s="329">
        <v>64361</v>
      </c>
      <c r="J882" s="329">
        <v>10285</v>
      </c>
      <c r="K882" s="329">
        <v>151893</v>
      </c>
      <c r="L882" s="329"/>
      <c r="M882" s="329">
        <v>0</v>
      </c>
      <c r="N882" s="329">
        <v>0</v>
      </c>
      <c r="O882" s="329">
        <v>12975</v>
      </c>
      <c r="P882" s="329">
        <v>12975</v>
      </c>
      <c r="Q882" s="329"/>
      <c r="R882" s="329">
        <v>175908</v>
      </c>
      <c r="S882" s="329">
        <v>7458</v>
      </c>
      <c r="T882" s="329">
        <v>183366</v>
      </c>
    </row>
    <row r="883" spans="1:20" ht="30">
      <c r="A883" s="335">
        <v>99508</v>
      </c>
      <c r="B883" s="328" t="s">
        <v>1576</v>
      </c>
      <c r="C883" s="239">
        <v>2.0999999999999999E-5</v>
      </c>
      <c r="D883" s="239">
        <v>2.1699999999999999E-5</v>
      </c>
      <c r="E883" s="329">
        <v>57349</v>
      </c>
      <c r="F883" s="329"/>
      <c r="G883" s="329">
        <v>9820</v>
      </c>
      <c r="H883" s="329">
        <v>1399</v>
      </c>
      <c r="I883" s="329">
        <v>9347</v>
      </c>
      <c r="J883" s="329">
        <v>19</v>
      </c>
      <c r="K883" s="329">
        <v>20585</v>
      </c>
      <c r="L883" s="329"/>
      <c r="M883" s="329">
        <v>0</v>
      </c>
      <c r="N883" s="329">
        <v>0</v>
      </c>
      <c r="O883" s="329">
        <v>683</v>
      </c>
      <c r="P883" s="329">
        <v>683</v>
      </c>
      <c r="Q883" s="329"/>
      <c r="R883" s="329">
        <v>25547</v>
      </c>
      <c r="S883" s="329">
        <v>-506</v>
      </c>
      <c r="T883" s="329">
        <v>25041</v>
      </c>
    </row>
    <row r="884" spans="1:20">
      <c r="A884" s="335">
        <v>99509</v>
      </c>
      <c r="B884" s="328" t="s">
        <v>3727</v>
      </c>
      <c r="C884" s="239">
        <v>2.5199999999999999E-5</v>
      </c>
      <c r="D884" s="239">
        <v>2.62E-5</v>
      </c>
      <c r="E884" s="329">
        <v>68819</v>
      </c>
      <c r="F884" s="329"/>
      <c r="G884" s="329">
        <v>11784</v>
      </c>
      <c r="H884" s="329">
        <v>1679</v>
      </c>
      <c r="I884" s="329">
        <v>11216</v>
      </c>
      <c r="J884" s="329">
        <v>0</v>
      </c>
      <c r="K884" s="329">
        <v>24679</v>
      </c>
      <c r="L884" s="329"/>
      <c r="M884" s="329">
        <v>0</v>
      </c>
      <c r="N884" s="329">
        <v>0</v>
      </c>
      <c r="O884" s="329">
        <v>3017</v>
      </c>
      <c r="P884" s="329">
        <v>3017</v>
      </c>
      <c r="Q884" s="329"/>
      <c r="R884" s="329">
        <v>30656</v>
      </c>
      <c r="S884" s="329">
        <v>-1611</v>
      </c>
      <c r="T884" s="329">
        <v>29045</v>
      </c>
    </row>
    <row r="885" spans="1:20">
      <c r="A885" s="335">
        <v>99511</v>
      </c>
      <c r="B885" s="328" t="s">
        <v>1578</v>
      </c>
      <c r="C885" s="239">
        <v>1.3293999999999999E-3</v>
      </c>
      <c r="D885" s="239">
        <v>1.3468E-3</v>
      </c>
      <c r="E885" s="329">
        <v>3630488</v>
      </c>
      <c r="F885" s="329"/>
      <c r="G885" s="329">
        <v>621631</v>
      </c>
      <c r="H885" s="329">
        <v>88553</v>
      </c>
      <c r="I885" s="329">
        <v>591709</v>
      </c>
      <c r="J885" s="329">
        <v>0</v>
      </c>
      <c r="K885" s="329">
        <v>1301893</v>
      </c>
      <c r="L885" s="329"/>
      <c r="M885" s="329">
        <v>0</v>
      </c>
      <c r="N885" s="329">
        <v>0</v>
      </c>
      <c r="O885" s="329">
        <v>147705</v>
      </c>
      <c r="P885" s="329">
        <v>147705</v>
      </c>
      <c r="Q885" s="329"/>
      <c r="R885" s="329">
        <v>1617232</v>
      </c>
      <c r="S885" s="329">
        <v>-57397</v>
      </c>
      <c r="T885" s="329">
        <v>1559835</v>
      </c>
    </row>
    <row r="886" spans="1:20">
      <c r="A886" s="335">
        <v>99521</v>
      </c>
      <c r="B886" s="328" t="s">
        <v>1579</v>
      </c>
      <c r="C886" s="239">
        <v>4.8200000000000001E-4</v>
      </c>
      <c r="D886" s="239">
        <v>4.9669999999999998E-4</v>
      </c>
      <c r="E886" s="329">
        <v>1316304</v>
      </c>
      <c r="F886" s="329"/>
      <c r="G886" s="329">
        <v>225385</v>
      </c>
      <c r="H886" s="329">
        <v>32107</v>
      </c>
      <c r="I886" s="329">
        <v>214536</v>
      </c>
      <c r="J886" s="329">
        <v>16554</v>
      </c>
      <c r="K886" s="329">
        <v>488582</v>
      </c>
      <c r="L886" s="329"/>
      <c r="M886" s="329">
        <v>0</v>
      </c>
      <c r="N886" s="329">
        <v>0</v>
      </c>
      <c r="O886" s="329">
        <v>43035</v>
      </c>
      <c r="P886" s="329">
        <v>43035</v>
      </c>
      <c r="Q886" s="329"/>
      <c r="R886" s="329">
        <v>586359</v>
      </c>
      <c r="S886" s="329">
        <v>-10008</v>
      </c>
      <c r="T886" s="329">
        <v>576351</v>
      </c>
    </row>
    <row r="887" spans="1:20">
      <c r="A887" s="335">
        <v>99527</v>
      </c>
      <c r="B887" s="328" t="s">
        <v>3728</v>
      </c>
      <c r="C887" s="239">
        <v>1.1E-5</v>
      </c>
      <c r="D887" s="239">
        <v>1.15E-5</v>
      </c>
      <c r="E887" s="329">
        <v>30040</v>
      </c>
      <c r="F887" s="329"/>
      <c r="G887" s="329">
        <v>5144</v>
      </c>
      <c r="H887" s="329">
        <v>733</v>
      </c>
      <c r="I887" s="329">
        <v>4896</v>
      </c>
      <c r="J887" s="329">
        <v>1319</v>
      </c>
      <c r="K887" s="329">
        <v>12092</v>
      </c>
      <c r="L887" s="329"/>
      <c r="M887" s="329">
        <v>0</v>
      </c>
      <c r="N887" s="329">
        <v>0</v>
      </c>
      <c r="O887" s="329">
        <v>0</v>
      </c>
      <c r="P887" s="329">
        <v>0</v>
      </c>
      <c r="Q887" s="329"/>
      <c r="R887" s="329">
        <v>13382</v>
      </c>
      <c r="S887" s="329">
        <v>634</v>
      </c>
      <c r="T887" s="329">
        <v>14016</v>
      </c>
    </row>
    <row r="888" spans="1:20">
      <c r="A888" s="335">
        <v>99531</v>
      </c>
      <c r="B888" s="328" t="s">
        <v>1581</v>
      </c>
      <c r="C888" s="239">
        <v>8.6299999999999997E-5</v>
      </c>
      <c r="D888" s="239">
        <v>8.8800000000000004E-5</v>
      </c>
      <c r="E888" s="329">
        <v>235679</v>
      </c>
      <c r="F888" s="329"/>
      <c r="G888" s="329">
        <v>40354</v>
      </c>
      <c r="H888" s="329">
        <v>5749</v>
      </c>
      <c r="I888" s="329">
        <v>38412</v>
      </c>
      <c r="J888" s="329">
        <v>62360</v>
      </c>
      <c r="K888" s="329">
        <v>146875</v>
      </c>
      <c r="L888" s="329"/>
      <c r="M888" s="329">
        <v>0</v>
      </c>
      <c r="N888" s="329">
        <v>0</v>
      </c>
      <c r="O888" s="329">
        <v>0</v>
      </c>
      <c r="P888" s="329">
        <v>0</v>
      </c>
      <c r="Q888" s="329"/>
      <c r="R888" s="329">
        <v>104985</v>
      </c>
      <c r="S888" s="329">
        <v>29697</v>
      </c>
      <c r="T888" s="329">
        <v>134682</v>
      </c>
    </row>
    <row r="889" spans="1:20">
      <c r="A889" s="335">
        <v>99601</v>
      </c>
      <c r="B889" s="328" t="s">
        <v>1582</v>
      </c>
      <c r="C889" s="239">
        <v>5.9021999999999998E-3</v>
      </c>
      <c r="D889" s="239">
        <v>5.9616000000000001E-3</v>
      </c>
      <c r="E889" s="329">
        <v>16118448</v>
      </c>
      <c r="F889" s="329"/>
      <c r="G889" s="329">
        <v>2759886</v>
      </c>
      <c r="H889" s="329">
        <v>393152</v>
      </c>
      <c r="I889" s="329">
        <v>2627040</v>
      </c>
      <c r="J889" s="329">
        <v>129154</v>
      </c>
      <c r="K889" s="329">
        <v>5909232</v>
      </c>
      <c r="L889" s="329"/>
      <c r="M889" s="329">
        <v>0</v>
      </c>
      <c r="N889" s="329">
        <v>0</v>
      </c>
      <c r="O889" s="329">
        <v>222243</v>
      </c>
      <c r="P889" s="329">
        <v>222243</v>
      </c>
      <c r="Q889" s="329"/>
      <c r="R889" s="329">
        <v>7180103</v>
      </c>
      <c r="S889" s="329">
        <v>7285</v>
      </c>
      <c r="T889" s="329">
        <v>7187388</v>
      </c>
    </row>
    <row r="890" spans="1:20">
      <c r="A890" s="335">
        <v>99602</v>
      </c>
      <c r="B890" s="328" t="s">
        <v>3729</v>
      </c>
      <c r="C890" s="239">
        <v>6.1500000000000004E-5</v>
      </c>
      <c r="D890" s="239">
        <v>6.0800000000000001E-5</v>
      </c>
      <c r="E890" s="329">
        <v>167952</v>
      </c>
      <c r="F890" s="329"/>
      <c r="G890" s="329">
        <v>28758</v>
      </c>
      <c r="H890" s="329">
        <v>4096</v>
      </c>
      <c r="I890" s="329">
        <v>27373</v>
      </c>
      <c r="J890" s="329">
        <v>3756</v>
      </c>
      <c r="K890" s="329">
        <v>63983</v>
      </c>
      <c r="L890" s="329"/>
      <c r="M890" s="329">
        <v>0</v>
      </c>
      <c r="N890" s="329">
        <v>0</v>
      </c>
      <c r="O890" s="329">
        <v>4078</v>
      </c>
      <c r="P890" s="329">
        <v>4078</v>
      </c>
      <c r="Q890" s="329"/>
      <c r="R890" s="329">
        <v>74816</v>
      </c>
      <c r="S890" s="329">
        <v>2122</v>
      </c>
      <c r="T890" s="329">
        <v>76938</v>
      </c>
    </row>
    <row r="891" spans="1:20">
      <c r="A891" s="335">
        <v>99603</v>
      </c>
      <c r="B891" s="328" t="s">
        <v>3730</v>
      </c>
      <c r="C891" s="239">
        <v>1.5540000000000001E-4</v>
      </c>
      <c r="D891" s="239">
        <v>1.7550000000000001E-4</v>
      </c>
      <c r="E891" s="329">
        <v>424385</v>
      </c>
      <c r="F891" s="329"/>
      <c r="G891" s="329">
        <v>72666</v>
      </c>
      <c r="H891" s="329">
        <v>10351</v>
      </c>
      <c r="I891" s="329">
        <v>69168</v>
      </c>
      <c r="J891" s="329">
        <v>38434</v>
      </c>
      <c r="K891" s="329">
        <v>190619</v>
      </c>
      <c r="L891" s="329"/>
      <c r="M891" s="329">
        <v>0</v>
      </c>
      <c r="N891" s="329">
        <v>0</v>
      </c>
      <c r="O891" s="329">
        <v>7619</v>
      </c>
      <c r="P891" s="329">
        <v>7619</v>
      </c>
      <c r="Q891" s="329"/>
      <c r="R891" s="329">
        <v>189046</v>
      </c>
      <c r="S891" s="329">
        <v>35533</v>
      </c>
      <c r="T891" s="329">
        <v>224579</v>
      </c>
    </row>
    <row r="892" spans="1:20">
      <c r="A892" s="335">
        <v>99604</v>
      </c>
      <c r="B892" s="328" t="s">
        <v>1585</v>
      </c>
      <c r="C892" s="239">
        <v>9.1100000000000005E-5</v>
      </c>
      <c r="D892" s="239">
        <v>1.02E-4</v>
      </c>
      <c r="E892" s="329">
        <v>248787</v>
      </c>
      <c r="F892" s="329"/>
      <c r="G892" s="329">
        <v>42599</v>
      </c>
      <c r="H892" s="329">
        <v>6069</v>
      </c>
      <c r="I892" s="329">
        <v>40548</v>
      </c>
      <c r="J892" s="329">
        <v>13275</v>
      </c>
      <c r="K892" s="329">
        <v>102491</v>
      </c>
      <c r="L892" s="329"/>
      <c r="M892" s="329">
        <v>0</v>
      </c>
      <c r="N892" s="329">
        <v>0</v>
      </c>
      <c r="O892" s="329">
        <v>0</v>
      </c>
      <c r="P892" s="329">
        <v>0</v>
      </c>
      <c r="Q892" s="329"/>
      <c r="R892" s="329">
        <v>110824</v>
      </c>
      <c r="S892" s="329">
        <v>8485</v>
      </c>
      <c r="T892" s="329">
        <v>119309</v>
      </c>
    </row>
    <row r="893" spans="1:20">
      <c r="A893" s="335">
        <v>99609</v>
      </c>
      <c r="B893" s="328" t="s">
        <v>1586</v>
      </c>
      <c r="C893" s="239">
        <v>2.8799999999999999E-5</v>
      </c>
      <c r="D893" s="239">
        <v>2.0100000000000001E-5</v>
      </c>
      <c r="E893" s="329">
        <v>78651</v>
      </c>
      <c r="F893" s="329"/>
      <c r="G893" s="329">
        <v>13467</v>
      </c>
      <c r="H893" s="329">
        <v>1918</v>
      </c>
      <c r="I893" s="329">
        <v>12819</v>
      </c>
      <c r="J893" s="329">
        <v>8634</v>
      </c>
      <c r="K893" s="329">
        <v>36838</v>
      </c>
      <c r="L893" s="329"/>
      <c r="M893" s="329">
        <v>0</v>
      </c>
      <c r="N893" s="329">
        <v>0</v>
      </c>
      <c r="O893" s="329">
        <v>761</v>
      </c>
      <c r="P893" s="329">
        <v>761</v>
      </c>
      <c r="Q893" s="329"/>
      <c r="R893" s="329">
        <v>35036</v>
      </c>
      <c r="S893" s="329">
        <v>2870</v>
      </c>
      <c r="T893" s="329">
        <v>37906</v>
      </c>
    </row>
    <row r="894" spans="1:20">
      <c r="A894" s="335">
        <v>99610</v>
      </c>
      <c r="B894" s="328" t="s">
        <v>3731</v>
      </c>
      <c r="C894" s="239">
        <v>1.683E-4</v>
      </c>
      <c r="D894" s="239">
        <v>1.872E-4</v>
      </c>
      <c r="E894" s="329">
        <v>459614</v>
      </c>
      <c r="F894" s="329"/>
      <c r="G894" s="329">
        <v>78698</v>
      </c>
      <c r="H894" s="329">
        <v>11211</v>
      </c>
      <c r="I894" s="329">
        <v>74909</v>
      </c>
      <c r="J894" s="329">
        <v>396</v>
      </c>
      <c r="K894" s="329">
        <v>165214</v>
      </c>
      <c r="L894" s="329"/>
      <c r="M894" s="329">
        <v>0</v>
      </c>
      <c r="N894" s="329">
        <v>0</v>
      </c>
      <c r="O894" s="329">
        <v>15245</v>
      </c>
      <c r="P894" s="329">
        <v>15245</v>
      </c>
      <c r="Q894" s="329"/>
      <c r="R894" s="329">
        <v>204739</v>
      </c>
      <c r="S894" s="329">
        <v>-4474</v>
      </c>
      <c r="T894" s="329">
        <v>200265</v>
      </c>
    </row>
    <row r="895" spans="1:20">
      <c r="A895" s="335">
        <v>99611</v>
      </c>
      <c r="B895" s="328" t="s">
        <v>1588</v>
      </c>
      <c r="C895" s="239">
        <v>3.2022000000000001E-3</v>
      </c>
      <c r="D895" s="239">
        <v>3.2894E-3</v>
      </c>
      <c r="E895" s="329">
        <v>8744958</v>
      </c>
      <c r="F895" s="329"/>
      <c r="G895" s="329">
        <v>1497358</v>
      </c>
      <c r="H895" s="329">
        <v>213302</v>
      </c>
      <c r="I895" s="329">
        <v>1425283</v>
      </c>
      <c r="J895" s="329">
        <v>44081</v>
      </c>
      <c r="K895" s="329">
        <v>3180024</v>
      </c>
      <c r="L895" s="329"/>
      <c r="M895" s="329">
        <v>0</v>
      </c>
      <c r="N895" s="329">
        <v>0</v>
      </c>
      <c r="O895" s="329">
        <v>146995</v>
      </c>
      <c r="P895" s="329">
        <v>146995</v>
      </c>
      <c r="Q895" s="329"/>
      <c r="R895" s="329">
        <v>3895518</v>
      </c>
      <c r="S895" s="329">
        <v>-70007</v>
      </c>
      <c r="T895" s="329">
        <v>3825511</v>
      </c>
    </row>
    <row r="896" spans="1:20">
      <c r="A896" s="335">
        <v>99613</v>
      </c>
      <c r="B896" s="328" t="s">
        <v>1589</v>
      </c>
      <c r="C896" s="239">
        <v>3.3720000000000001E-4</v>
      </c>
      <c r="D896" s="239">
        <v>3.57E-4</v>
      </c>
      <c r="E896" s="329">
        <v>920867</v>
      </c>
      <c r="F896" s="329"/>
      <c r="G896" s="329">
        <v>157676</v>
      </c>
      <c r="H896" s="329">
        <v>22461</v>
      </c>
      <c r="I896" s="329">
        <v>150086</v>
      </c>
      <c r="J896" s="329">
        <v>213061</v>
      </c>
      <c r="K896" s="329">
        <v>543284</v>
      </c>
      <c r="L896" s="329"/>
      <c r="M896" s="329">
        <v>0</v>
      </c>
      <c r="N896" s="329">
        <v>0</v>
      </c>
      <c r="O896" s="329">
        <v>14394</v>
      </c>
      <c r="P896" s="329">
        <v>14394</v>
      </c>
      <c r="Q896" s="329"/>
      <c r="R896" s="329">
        <v>410208</v>
      </c>
      <c r="S896" s="329">
        <v>126025</v>
      </c>
      <c r="T896" s="329">
        <v>536233</v>
      </c>
    </row>
    <row r="897" spans="1:20">
      <c r="A897" s="335">
        <v>99621</v>
      </c>
      <c r="B897" s="328" t="s">
        <v>1590</v>
      </c>
      <c r="C897" s="239">
        <v>3.5530000000000002E-4</v>
      </c>
      <c r="D897" s="239">
        <v>3.7399999999999998E-4</v>
      </c>
      <c r="E897" s="329">
        <v>970297</v>
      </c>
      <c r="F897" s="329"/>
      <c r="G897" s="329">
        <v>166139</v>
      </c>
      <c r="H897" s="329">
        <v>23667</v>
      </c>
      <c r="I897" s="329">
        <v>158142</v>
      </c>
      <c r="J897" s="329">
        <v>16281</v>
      </c>
      <c r="K897" s="329">
        <v>364229</v>
      </c>
      <c r="L897" s="329"/>
      <c r="M897" s="329">
        <v>0</v>
      </c>
      <c r="N897" s="329">
        <v>0</v>
      </c>
      <c r="O897" s="329">
        <v>23623</v>
      </c>
      <c r="P897" s="329">
        <v>23623</v>
      </c>
      <c r="Q897" s="329"/>
      <c r="R897" s="329">
        <v>432227</v>
      </c>
      <c r="S897" s="329">
        <v>2438</v>
      </c>
      <c r="T897" s="329">
        <v>434665</v>
      </c>
    </row>
    <row r="898" spans="1:20">
      <c r="A898" s="335">
        <v>99623</v>
      </c>
      <c r="B898" s="328" t="s">
        <v>3507</v>
      </c>
      <c r="C898" s="239">
        <v>1.08E-5</v>
      </c>
      <c r="D898" s="239">
        <v>3.4799999999999999E-5</v>
      </c>
      <c r="E898" s="329">
        <v>29494</v>
      </c>
      <c r="F898" s="329"/>
      <c r="G898" s="329">
        <v>5050</v>
      </c>
      <c r="H898" s="329">
        <v>719</v>
      </c>
      <c r="I898" s="329">
        <v>4807</v>
      </c>
      <c r="J898" s="329">
        <v>298</v>
      </c>
      <c r="K898" s="329">
        <v>10874</v>
      </c>
      <c r="L898" s="329"/>
      <c r="M898" s="329">
        <v>0</v>
      </c>
      <c r="N898" s="329">
        <v>0</v>
      </c>
      <c r="O898" s="329">
        <v>20704</v>
      </c>
      <c r="P898" s="329">
        <v>20704</v>
      </c>
      <c r="Q898" s="329"/>
      <c r="R898" s="329">
        <v>13138</v>
      </c>
      <c r="S898" s="329">
        <v>-4510</v>
      </c>
      <c r="T898" s="329">
        <v>8628</v>
      </c>
    </row>
    <row r="899" spans="1:20">
      <c r="A899" s="335">
        <v>99631</v>
      </c>
      <c r="B899" s="328" t="s">
        <v>1592</v>
      </c>
      <c r="C899" s="239">
        <v>1.078E-4</v>
      </c>
      <c r="D899" s="239">
        <v>1.11E-4</v>
      </c>
      <c r="E899" s="329">
        <v>294393</v>
      </c>
      <c r="F899" s="329"/>
      <c r="G899" s="329">
        <v>50408</v>
      </c>
      <c r="H899" s="329">
        <v>7181</v>
      </c>
      <c r="I899" s="329">
        <v>47981</v>
      </c>
      <c r="J899" s="329">
        <v>535</v>
      </c>
      <c r="K899" s="329">
        <v>106105</v>
      </c>
      <c r="L899" s="329"/>
      <c r="M899" s="329">
        <v>0</v>
      </c>
      <c r="N899" s="329">
        <v>0</v>
      </c>
      <c r="O899" s="329">
        <v>11066</v>
      </c>
      <c r="P899" s="329">
        <v>11066</v>
      </c>
      <c r="Q899" s="329"/>
      <c r="R899" s="329">
        <v>131140</v>
      </c>
      <c r="S899" s="329">
        <v>-3213</v>
      </c>
      <c r="T899" s="329">
        <v>127927</v>
      </c>
    </row>
    <row r="900" spans="1:20">
      <c r="A900" s="335">
        <v>99651</v>
      </c>
      <c r="B900" s="328" t="s">
        <v>1593</v>
      </c>
      <c r="C900" s="239">
        <v>6.5300000000000002E-5</v>
      </c>
      <c r="D900" s="239">
        <v>5.7000000000000003E-5</v>
      </c>
      <c r="E900" s="329">
        <v>178329</v>
      </c>
      <c r="F900" s="329"/>
      <c r="G900" s="329">
        <v>30534</v>
      </c>
      <c r="H900" s="329">
        <v>4350</v>
      </c>
      <c r="I900" s="329">
        <v>29065</v>
      </c>
      <c r="J900" s="329">
        <v>8279</v>
      </c>
      <c r="K900" s="329">
        <v>72228</v>
      </c>
      <c r="L900" s="329"/>
      <c r="M900" s="329">
        <v>0</v>
      </c>
      <c r="N900" s="329">
        <v>0</v>
      </c>
      <c r="O900" s="329">
        <v>4878</v>
      </c>
      <c r="P900" s="329">
        <v>4878</v>
      </c>
      <c r="Q900" s="329"/>
      <c r="R900" s="329">
        <v>79438</v>
      </c>
      <c r="S900" s="329">
        <v>2716</v>
      </c>
      <c r="T900" s="329">
        <v>82154</v>
      </c>
    </row>
    <row r="901" spans="1:20">
      <c r="A901" s="335">
        <v>99661</v>
      </c>
      <c r="B901" s="328" t="s">
        <v>1594</v>
      </c>
      <c r="C901" s="239">
        <v>3.4799999999999999E-5</v>
      </c>
      <c r="D901" s="239">
        <v>2.5999999999999998E-5</v>
      </c>
      <c r="E901" s="329">
        <v>95036</v>
      </c>
      <c r="F901" s="329"/>
      <c r="G901" s="329">
        <v>16273</v>
      </c>
      <c r="H901" s="329">
        <v>2318</v>
      </c>
      <c r="I901" s="329">
        <v>15489</v>
      </c>
      <c r="J901" s="329">
        <v>57991</v>
      </c>
      <c r="K901" s="329">
        <v>92071</v>
      </c>
      <c r="L901" s="329"/>
      <c r="M901" s="329">
        <v>0</v>
      </c>
      <c r="N901" s="329">
        <v>0</v>
      </c>
      <c r="O901" s="329">
        <v>0</v>
      </c>
      <c r="P901" s="329">
        <v>0</v>
      </c>
      <c r="Q901" s="329"/>
      <c r="R901" s="329">
        <v>42335</v>
      </c>
      <c r="S901" s="329">
        <v>24607</v>
      </c>
      <c r="T901" s="329">
        <v>66942</v>
      </c>
    </row>
    <row r="902" spans="1:20">
      <c r="A902" s="335">
        <v>99701</v>
      </c>
      <c r="B902" s="328" t="s">
        <v>1595</v>
      </c>
      <c r="C902" s="239">
        <v>2.9930999999999998E-3</v>
      </c>
      <c r="D902" s="239">
        <v>2.9659E-3</v>
      </c>
      <c r="E902" s="329">
        <v>8173923</v>
      </c>
      <c r="F902" s="329"/>
      <c r="G902" s="329">
        <v>1399583</v>
      </c>
      <c r="H902" s="329">
        <v>199373</v>
      </c>
      <c r="I902" s="329">
        <v>1332214</v>
      </c>
      <c r="J902" s="329">
        <v>2637</v>
      </c>
      <c r="K902" s="329">
        <v>2933807</v>
      </c>
      <c r="L902" s="329"/>
      <c r="M902" s="329">
        <v>0</v>
      </c>
      <c r="N902" s="329">
        <v>0</v>
      </c>
      <c r="O902" s="329">
        <v>28515</v>
      </c>
      <c r="P902" s="329">
        <v>28515</v>
      </c>
      <c r="Q902" s="329"/>
      <c r="R902" s="329">
        <v>3641145</v>
      </c>
      <c r="S902" s="329">
        <v>-375</v>
      </c>
      <c r="T902" s="329">
        <v>3640770</v>
      </c>
    </row>
    <row r="903" spans="1:20">
      <c r="A903" s="335">
        <v>99705</v>
      </c>
      <c r="B903" s="328" t="s">
        <v>1596</v>
      </c>
      <c r="C903" s="239">
        <v>1.5530000000000001E-4</v>
      </c>
      <c r="D903" s="239">
        <v>1.6349999999999999E-4</v>
      </c>
      <c r="E903" s="329">
        <v>424112</v>
      </c>
      <c r="F903" s="329"/>
      <c r="G903" s="329">
        <v>72619</v>
      </c>
      <c r="H903" s="329">
        <v>10345</v>
      </c>
      <c r="I903" s="329">
        <v>69123</v>
      </c>
      <c r="J903" s="329">
        <v>16349</v>
      </c>
      <c r="K903" s="329">
        <v>168436</v>
      </c>
      <c r="L903" s="329"/>
      <c r="M903" s="329">
        <v>0</v>
      </c>
      <c r="N903" s="329">
        <v>0</v>
      </c>
      <c r="O903" s="329">
        <v>0</v>
      </c>
      <c r="P903" s="329">
        <v>0</v>
      </c>
      <c r="Q903" s="329"/>
      <c r="R903" s="329">
        <v>188924</v>
      </c>
      <c r="S903" s="329">
        <v>5207</v>
      </c>
      <c r="T903" s="329">
        <v>194131</v>
      </c>
    </row>
    <row r="904" spans="1:20">
      <c r="A904" s="335">
        <v>99711</v>
      </c>
      <c r="B904" s="328" t="s">
        <v>3732</v>
      </c>
      <c r="C904" s="239">
        <v>4.2489999999999997E-4</v>
      </c>
      <c r="D904" s="239">
        <v>4.462E-4</v>
      </c>
      <c r="E904" s="329">
        <v>1160369</v>
      </c>
      <c r="F904" s="329"/>
      <c r="G904" s="329">
        <v>198685</v>
      </c>
      <c r="H904" s="329">
        <v>28303</v>
      </c>
      <c r="I904" s="329">
        <v>189121</v>
      </c>
      <c r="J904" s="329">
        <v>6755</v>
      </c>
      <c r="K904" s="329">
        <v>422864</v>
      </c>
      <c r="L904" s="329"/>
      <c r="M904" s="329">
        <v>0</v>
      </c>
      <c r="N904" s="329">
        <v>0</v>
      </c>
      <c r="O904" s="329">
        <v>9249</v>
      </c>
      <c r="P904" s="329">
        <v>9249</v>
      </c>
      <c r="Q904" s="329"/>
      <c r="R904" s="329">
        <v>516896</v>
      </c>
      <c r="S904" s="329">
        <v>-3318</v>
      </c>
      <c r="T904" s="329">
        <v>513578</v>
      </c>
    </row>
    <row r="905" spans="1:20">
      <c r="A905" s="335">
        <v>99717</v>
      </c>
      <c r="B905" s="328" t="s">
        <v>3733</v>
      </c>
      <c r="C905" s="239">
        <v>2.6599999999999999E-5</v>
      </c>
      <c r="D905" s="239">
        <v>2.1800000000000001E-5</v>
      </c>
      <c r="E905" s="329">
        <v>72643</v>
      </c>
      <c r="F905" s="329"/>
      <c r="G905" s="329">
        <v>12438</v>
      </c>
      <c r="H905" s="329">
        <v>1772</v>
      </c>
      <c r="I905" s="329">
        <v>11840</v>
      </c>
      <c r="J905" s="329">
        <v>858</v>
      </c>
      <c r="K905" s="329">
        <v>26908</v>
      </c>
      <c r="L905" s="329"/>
      <c r="M905" s="329">
        <v>0</v>
      </c>
      <c r="N905" s="329">
        <v>0</v>
      </c>
      <c r="O905" s="329">
        <v>2544</v>
      </c>
      <c r="P905" s="329">
        <v>2544</v>
      </c>
      <c r="Q905" s="329"/>
      <c r="R905" s="329">
        <v>32359</v>
      </c>
      <c r="S905" s="329">
        <v>-1334</v>
      </c>
      <c r="T905" s="329">
        <v>31025</v>
      </c>
    </row>
    <row r="906" spans="1:20">
      <c r="A906" s="335">
        <v>99721</v>
      </c>
      <c r="B906" s="328" t="s">
        <v>1599</v>
      </c>
      <c r="C906" s="239">
        <v>6.1160000000000001E-4</v>
      </c>
      <c r="D906" s="239">
        <v>5.886E-4</v>
      </c>
      <c r="E906" s="329">
        <v>1670232</v>
      </c>
      <c r="F906" s="329"/>
      <c r="G906" s="329">
        <v>285986</v>
      </c>
      <c r="H906" s="329">
        <v>40739</v>
      </c>
      <c r="I906" s="329">
        <v>272220</v>
      </c>
      <c r="J906" s="329">
        <v>2317</v>
      </c>
      <c r="K906" s="329">
        <v>601262</v>
      </c>
      <c r="L906" s="329"/>
      <c r="M906" s="329">
        <v>0</v>
      </c>
      <c r="N906" s="329">
        <v>0</v>
      </c>
      <c r="O906" s="329">
        <v>26668</v>
      </c>
      <c r="P906" s="329">
        <v>26668</v>
      </c>
      <c r="Q906" s="329"/>
      <c r="R906" s="329">
        <v>744019</v>
      </c>
      <c r="S906" s="329">
        <v>-13251</v>
      </c>
      <c r="T906" s="329">
        <v>730768</v>
      </c>
    </row>
    <row r="907" spans="1:20" customFormat="1">
      <c r="A907" s="335">
        <v>99727</v>
      </c>
      <c r="B907" s="328" t="s">
        <v>1600</v>
      </c>
      <c r="C907" s="239">
        <v>1.98E-5</v>
      </c>
      <c r="D907" s="239">
        <v>2.2099999999999998E-5</v>
      </c>
      <c r="E907" s="329">
        <v>54072</v>
      </c>
      <c r="F907" s="329"/>
      <c r="G907" s="329">
        <v>9259</v>
      </c>
      <c r="H907" s="329">
        <v>1319</v>
      </c>
      <c r="I907" s="329">
        <v>8813</v>
      </c>
      <c r="J907" s="329">
        <v>69546</v>
      </c>
      <c r="K907" s="329">
        <v>88937</v>
      </c>
      <c r="L907" s="329"/>
      <c r="M907" s="329">
        <v>0</v>
      </c>
      <c r="N907" s="329">
        <v>0</v>
      </c>
      <c r="O907" s="329">
        <v>0</v>
      </c>
      <c r="P907" s="329">
        <v>0</v>
      </c>
      <c r="Q907" s="329"/>
      <c r="R907" s="329">
        <v>24087</v>
      </c>
      <c r="S907" s="329">
        <v>33418</v>
      </c>
      <c r="T907" s="329">
        <v>57505</v>
      </c>
    </row>
    <row r="908" spans="1:20" customFormat="1">
      <c r="A908" s="335">
        <v>99801</v>
      </c>
      <c r="B908" s="328" t="s">
        <v>1601</v>
      </c>
      <c r="C908" s="239">
        <v>4.7737999999999999E-3</v>
      </c>
      <c r="D908" s="239">
        <v>4.9709000000000003E-3</v>
      </c>
      <c r="E908" s="329">
        <v>13036875</v>
      </c>
      <c r="F908" s="329"/>
      <c r="G908" s="329">
        <v>2232243</v>
      </c>
      <c r="H908" s="329">
        <v>317987</v>
      </c>
      <c r="I908" s="329">
        <v>2124795</v>
      </c>
      <c r="J908" s="329">
        <v>0</v>
      </c>
      <c r="K908" s="329">
        <v>4675025</v>
      </c>
      <c r="L908" s="329"/>
      <c r="M908" s="329">
        <v>0</v>
      </c>
      <c r="N908" s="329">
        <v>0</v>
      </c>
      <c r="O908" s="329">
        <v>493450</v>
      </c>
      <c r="P908" s="329">
        <v>493450</v>
      </c>
      <c r="Q908" s="329"/>
      <c r="R908" s="329">
        <v>5807390</v>
      </c>
      <c r="S908" s="329">
        <v>-168173</v>
      </c>
      <c r="T908" s="329">
        <v>5639217</v>
      </c>
    </row>
    <row r="909" spans="1:20" customFormat="1" ht="30">
      <c r="A909" s="335">
        <v>99802</v>
      </c>
      <c r="B909" s="328" t="s">
        <v>2773</v>
      </c>
      <c r="C909" s="239">
        <v>1.1600000000000001E-5</v>
      </c>
      <c r="D909" s="239">
        <v>1.19E-5</v>
      </c>
      <c r="E909" s="329">
        <v>31679</v>
      </c>
      <c r="F909" s="329"/>
      <c r="G909" s="329">
        <v>5424</v>
      </c>
      <c r="H909" s="329">
        <v>772</v>
      </c>
      <c r="I909" s="329">
        <v>5163</v>
      </c>
      <c r="J909" s="329">
        <v>5470</v>
      </c>
      <c r="K909" s="329">
        <v>16829</v>
      </c>
      <c r="L909" s="329"/>
      <c r="M909" s="329">
        <v>0</v>
      </c>
      <c r="N909" s="329">
        <v>0</v>
      </c>
      <c r="O909" s="329">
        <v>0</v>
      </c>
      <c r="P909" s="329">
        <v>0</v>
      </c>
      <c r="Q909" s="329"/>
      <c r="R909" s="329">
        <v>14112</v>
      </c>
      <c r="S909" s="329">
        <v>1903</v>
      </c>
      <c r="T909" s="329">
        <v>16015</v>
      </c>
    </row>
    <row r="910" spans="1:20" customFormat="1">
      <c r="A910" s="335">
        <v>99804</v>
      </c>
      <c r="B910" s="328" t="s">
        <v>1603</v>
      </c>
      <c r="C910" s="239">
        <v>7.2200000000000007E-5</v>
      </c>
      <c r="D910" s="239">
        <v>8.1000000000000004E-5</v>
      </c>
      <c r="E910" s="329">
        <v>197173</v>
      </c>
      <c r="F910" s="329"/>
      <c r="G910" s="329">
        <v>33761</v>
      </c>
      <c r="H910" s="329">
        <v>4809</v>
      </c>
      <c r="I910" s="329">
        <v>32136</v>
      </c>
      <c r="J910" s="329">
        <v>5995</v>
      </c>
      <c r="K910" s="329">
        <v>76701</v>
      </c>
      <c r="L910" s="329"/>
      <c r="M910" s="329">
        <v>0</v>
      </c>
      <c r="N910" s="329">
        <v>0</v>
      </c>
      <c r="O910" s="329">
        <v>97</v>
      </c>
      <c r="P910" s="329">
        <v>97</v>
      </c>
      <c r="Q910" s="329"/>
      <c r="R910" s="329">
        <v>87832</v>
      </c>
      <c r="S910" s="329">
        <v>4887</v>
      </c>
      <c r="T910" s="329">
        <v>92719</v>
      </c>
    </row>
    <row r="911" spans="1:20" customFormat="1">
      <c r="A911" s="335">
        <v>99811</v>
      </c>
      <c r="B911" s="328" t="s">
        <v>1604</v>
      </c>
      <c r="C911" s="239">
        <v>6.4218000000000001E-3</v>
      </c>
      <c r="D911" s="239">
        <v>6.4733000000000004E-3</v>
      </c>
      <c r="E911" s="329">
        <v>17537435</v>
      </c>
      <c r="F911" s="329"/>
      <c r="G911" s="329">
        <v>3002853</v>
      </c>
      <c r="H911" s="329">
        <v>427763</v>
      </c>
      <c r="I911" s="329">
        <v>2858311</v>
      </c>
      <c r="J911" s="329">
        <v>0</v>
      </c>
      <c r="K911" s="329">
        <v>6288927</v>
      </c>
      <c r="L911" s="329"/>
      <c r="M911" s="329">
        <v>0</v>
      </c>
      <c r="N911" s="329">
        <v>0</v>
      </c>
      <c r="O911" s="329">
        <v>518756</v>
      </c>
      <c r="P911" s="329">
        <v>518756</v>
      </c>
      <c r="Q911" s="329"/>
      <c r="R911" s="329">
        <v>7812203</v>
      </c>
      <c r="S911" s="329">
        <v>-279286</v>
      </c>
      <c r="T911" s="329">
        <v>7532917</v>
      </c>
    </row>
    <row r="912" spans="1:20" customFormat="1">
      <c r="A912" s="335">
        <v>99812</v>
      </c>
      <c r="B912" s="328" t="s">
        <v>3734</v>
      </c>
      <c r="C912" s="239">
        <v>1.88E-5</v>
      </c>
      <c r="D912" s="239">
        <v>1.9700000000000001E-5</v>
      </c>
      <c r="E912" s="329">
        <v>51341</v>
      </c>
      <c r="F912" s="329"/>
      <c r="G912" s="329">
        <v>8791</v>
      </c>
      <c r="H912" s="329">
        <v>1252</v>
      </c>
      <c r="I912" s="329">
        <v>8368</v>
      </c>
      <c r="J912" s="329">
        <v>19026</v>
      </c>
      <c r="K912" s="329">
        <v>37437</v>
      </c>
      <c r="L912" s="329"/>
      <c r="M912" s="329">
        <v>0</v>
      </c>
      <c r="N912" s="329">
        <v>0</v>
      </c>
      <c r="O912" s="329">
        <v>0</v>
      </c>
      <c r="P912" s="329">
        <v>0</v>
      </c>
      <c r="Q912" s="329"/>
      <c r="R912" s="329">
        <v>22870</v>
      </c>
      <c r="S912" s="329">
        <v>7778</v>
      </c>
      <c r="T912" s="329">
        <v>30648</v>
      </c>
    </row>
    <row r="913" spans="1:20" customFormat="1">
      <c r="A913" s="335">
        <v>99818</v>
      </c>
      <c r="B913" s="328" t="s">
        <v>1606</v>
      </c>
      <c r="C913" s="239">
        <v>3.5599999999999998E-5</v>
      </c>
      <c r="D913" s="239">
        <v>3.3399999999999999E-5</v>
      </c>
      <c r="E913" s="329">
        <v>97221</v>
      </c>
      <c r="F913" s="329"/>
      <c r="G913" s="329">
        <v>16647</v>
      </c>
      <c r="H913" s="329">
        <v>2371</v>
      </c>
      <c r="I913" s="329">
        <v>15845</v>
      </c>
      <c r="J913" s="329">
        <v>0</v>
      </c>
      <c r="K913" s="329">
        <v>34863</v>
      </c>
      <c r="L913" s="329"/>
      <c r="M913" s="329">
        <v>0</v>
      </c>
      <c r="N913" s="329">
        <v>0</v>
      </c>
      <c r="O913" s="329">
        <v>4580</v>
      </c>
      <c r="P913" s="329">
        <v>4580</v>
      </c>
      <c r="Q913" s="329"/>
      <c r="R913" s="329">
        <v>43308</v>
      </c>
      <c r="S913" s="329">
        <v>-1788</v>
      </c>
      <c r="T913" s="329">
        <v>41520</v>
      </c>
    </row>
    <row r="914" spans="1:20" customFormat="1">
      <c r="A914" s="335">
        <v>99821</v>
      </c>
      <c r="B914" s="328" t="s">
        <v>1607</v>
      </c>
      <c r="C914" s="239">
        <v>9.8200000000000002E-5</v>
      </c>
      <c r="D914" s="239">
        <v>9.2899999999999995E-5</v>
      </c>
      <c r="E914" s="329">
        <v>268177</v>
      </c>
      <c r="F914" s="329"/>
      <c r="G914" s="329">
        <v>45919</v>
      </c>
      <c r="H914" s="329">
        <v>6541</v>
      </c>
      <c r="I914" s="329">
        <v>43708</v>
      </c>
      <c r="J914" s="329">
        <v>17407</v>
      </c>
      <c r="K914" s="329">
        <v>113575</v>
      </c>
      <c r="L914" s="329"/>
      <c r="M914" s="329">
        <v>0</v>
      </c>
      <c r="N914" s="329">
        <v>0</v>
      </c>
      <c r="O914" s="329">
        <v>0</v>
      </c>
      <c r="P914" s="329">
        <v>0</v>
      </c>
      <c r="Q914" s="329"/>
      <c r="R914" s="329">
        <v>119462</v>
      </c>
      <c r="S914" s="329">
        <v>7065</v>
      </c>
      <c r="T914" s="329">
        <v>126527</v>
      </c>
    </row>
    <row r="915" spans="1:20" customFormat="1">
      <c r="A915" s="335">
        <v>99831</v>
      </c>
      <c r="B915" s="328" t="s">
        <v>1608</v>
      </c>
      <c r="C915" s="239">
        <v>5.5399999999999998E-5</v>
      </c>
      <c r="D915" s="239">
        <v>4.9700000000000002E-5</v>
      </c>
      <c r="E915" s="329">
        <v>151293</v>
      </c>
      <c r="F915" s="329"/>
      <c r="G915" s="329">
        <v>25905</v>
      </c>
      <c r="H915" s="329">
        <v>3690</v>
      </c>
      <c r="I915" s="329">
        <v>24658</v>
      </c>
      <c r="J915" s="329">
        <v>10355</v>
      </c>
      <c r="K915" s="329">
        <v>64608</v>
      </c>
      <c r="L915" s="329"/>
      <c r="M915" s="329">
        <v>0</v>
      </c>
      <c r="N915" s="329">
        <v>0</v>
      </c>
      <c r="O915" s="329">
        <v>5400</v>
      </c>
      <c r="P915" s="329">
        <v>5400</v>
      </c>
      <c r="Q915" s="329"/>
      <c r="R915" s="329">
        <v>67395</v>
      </c>
      <c r="S915" s="329">
        <v>1737</v>
      </c>
      <c r="T915" s="329">
        <v>69132</v>
      </c>
    </row>
    <row r="916" spans="1:20" customFormat="1">
      <c r="A916" s="335">
        <v>99841</v>
      </c>
      <c r="B916" s="328" t="s">
        <v>1609</v>
      </c>
      <c r="C916" s="239">
        <v>1.59E-5</v>
      </c>
      <c r="D916" s="239">
        <v>3.2199999999999997E-5</v>
      </c>
      <c r="E916" s="329">
        <v>43422</v>
      </c>
      <c r="F916" s="329"/>
      <c r="G916" s="329">
        <v>7435</v>
      </c>
      <c r="H916" s="329">
        <v>1059</v>
      </c>
      <c r="I916" s="329">
        <v>7077</v>
      </c>
      <c r="J916" s="329">
        <v>0</v>
      </c>
      <c r="K916" s="329">
        <v>15571</v>
      </c>
      <c r="L916" s="329"/>
      <c r="M916" s="329">
        <v>0</v>
      </c>
      <c r="N916" s="329">
        <v>0</v>
      </c>
      <c r="O916" s="329">
        <v>15024</v>
      </c>
      <c r="P916" s="329">
        <v>15024</v>
      </c>
      <c r="Q916" s="329"/>
      <c r="R916" s="329">
        <v>19343</v>
      </c>
      <c r="S916" s="329">
        <v>-4088</v>
      </c>
      <c r="T916" s="329">
        <v>15255</v>
      </c>
    </row>
    <row r="917" spans="1:20" customFormat="1">
      <c r="A917" s="335">
        <v>99851</v>
      </c>
      <c r="B917" s="328" t="s">
        <v>1610</v>
      </c>
      <c r="C917" s="239">
        <v>7.9000000000000006E-6</v>
      </c>
      <c r="D917" s="239">
        <v>2.34E-5</v>
      </c>
      <c r="E917" s="329">
        <v>21574</v>
      </c>
      <c r="F917" s="329"/>
      <c r="G917" s="329">
        <v>3694</v>
      </c>
      <c r="H917" s="329">
        <v>526</v>
      </c>
      <c r="I917" s="329">
        <v>3516</v>
      </c>
      <c r="J917" s="329">
        <v>0</v>
      </c>
      <c r="K917" s="329">
        <v>7736</v>
      </c>
      <c r="L917" s="329"/>
      <c r="M917" s="329">
        <v>0</v>
      </c>
      <c r="N917" s="329">
        <v>0</v>
      </c>
      <c r="O917" s="329">
        <v>14691</v>
      </c>
      <c r="P917" s="329">
        <v>14691</v>
      </c>
      <c r="Q917" s="329"/>
      <c r="R917" s="329">
        <v>9610</v>
      </c>
      <c r="S917" s="329">
        <v>-4276</v>
      </c>
      <c r="T917" s="329">
        <v>5334</v>
      </c>
    </row>
    <row r="918" spans="1:20" customFormat="1">
      <c r="A918" s="335">
        <v>99901</v>
      </c>
      <c r="B918" s="328" t="s">
        <v>1611</v>
      </c>
      <c r="C918" s="239">
        <v>1.5942E-3</v>
      </c>
      <c r="D918" s="239">
        <v>1.5693E-3</v>
      </c>
      <c r="E918" s="329">
        <v>4353636</v>
      </c>
      <c r="F918" s="329"/>
      <c r="G918" s="329">
        <v>745453</v>
      </c>
      <c r="H918" s="329">
        <v>106191</v>
      </c>
      <c r="I918" s="329">
        <v>709570</v>
      </c>
      <c r="J918" s="329">
        <v>15271</v>
      </c>
      <c r="K918" s="329">
        <v>1576485</v>
      </c>
      <c r="L918" s="329"/>
      <c r="M918" s="329">
        <v>0</v>
      </c>
      <c r="N918" s="329">
        <v>0</v>
      </c>
      <c r="O918" s="329">
        <v>65837</v>
      </c>
      <c r="P918" s="329">
        <v>65837</v>
      </c>
      <c r="Q918" s="329"/>
      <c r="R918" s="329">
        <v>1939365</v>
      </c>
      <c r="S918" s="329">
        <v>1418</v>
      </c>
      <c r="T918" s="329">
        <v>1940783</v>
      </c>
    </row>
    <row r="919" spans="1:20" customFormat="1">
      <c r="A919" s="335">
        <v>99911</v>
      </c>
      <c r="B919" s="328" t="s">
        <v>1612</v>
      </c>
      <c r="C919" s="239">
        <v>2.219E-4</v>
      </c>
      <c r="D919" s="239">
        <v>2.3900000000000001E-4</v>
      </c>
      <c r="E919" s="329">
        <v>605992</v>
      </c>
      <c r="F919" s="329"/>
      <c r="G919" s="329">
        <v>103761</v>
      </c>
      <c r="H919" s="329">
        <v>14781</v>
      </c>
      <c r="I919" s="329">
        <v>98767</v>
      </c>
      <c r="J919" s="329">
        <v>6810</v>
      </c>
      <c r="K919" s="329">
        <v>224119</v>
      </c>
      <c r="L919" s="329"/>
      <c r="M919" s="329">
        <v>0</v>
      </c>
      <c r="N919" s="329">
        <v>0</v>
      </c>
      <c r="O919" s="329">
        <v>7455</v>
      </c>
      <c r="P919" s="329">
        <v>7455</v>
      </c>
      <c r="Q919" s="329"/>
      <c r="R919" s="329">
        <v>269944</v>
      </c>
      <c r="S919" s="329">
        <v>-1143</v>
      </c>
      <c r="T919" s="329">
        <v>268801</v>
      </c>
    </row>
    <row r="920" spans="1:20" customFormat="1">
      <c r="A920" s="335">
        <v>99921</v>
      </c>
      <c r="B920" s="328" t="s">
        <v>1613</v>
      </c>
      <c r="C920" s="239">
        <v>1.315E-4</v>
      </c>
      <c r="D920" s="239">
        <v>1.3119999999999999E-4</v>
      </c>
      <c r="E920" s="329">
        <v>359116</v>
      </c>
      <c r="F920" s="329"/>
      <c r="G920" s="329">
        <v>61490</v>
      </c>
      <c r="H920" s="329">
        <v>8760</v>
      </c>
      <c r="I920" s="329">
        <v>58530</v>
      </c>
      <c r="J920" s="329">
        <v>1863</v>
      </c>
      <c r="K920" s="329">
        <v>130643</v>
      </c>
      <c r="L920" s="329"/>
      <c r="M920" s="329">
        <v>0</v>
      </c>
      <c r="N920" s="329">
        <v>0</v>
      </c>
      <c r="O920" s="329">
        <v>14440</v>
      </c>
      <c r="P920" s="329">
        <v>14440</v>
      </c>
      <c r="Q920" s="329"/>
      <c r="R920" s="329">
        <v>159971</v>
      </c>
      <c r="S920" s="329">
        <v>-3396</v>
      </c>
      <c r="T920" s="329">
        <v>156575</v>
      </c>
    </row>
    <row r="921" spans="1:20" customFormat="1">
      <c r="A921" s="335">
        <v>99931</v>
      </c>
      <c r="B921" s="328" t="s">
        <v>1614</v>
      </c>
      <c r="C921" s="239">
        <v>2.1699999999999999E-5</v>
      </c>
      <c r="D921" s="239">
        <v>1.52E-5</v>
      </c>
      <c r="E921" s="329">
        <v>59261</v>
      </c>
      <c r="F921" s="329"/>
      <c r="G921" s="329">
        <v>10147</v>
      </c>
      <c r="H921" s="329">
        <v>1445</v>
      </c>
      <c r="I921" s="329">
        <v>9659</v>
      </c>
      <c r="J921" s="329">
        <v>6366</v>
      </c>
      <c r="K921" s="329">
        <v>27617</v>
      </c>
      <c r="L921" s="329"/>
      <c r="M921" s="329">
        <v>0</v>
      </c>
      <c r="N921" s="329">
        <v>0</v>
      </c>
      <c r="O921" s="329">
        <v>2741</v>
      </c>
      <c r="P921" s="329">
        <v>2741</v>
      </c>
      <c r="Q921" s="329"/>
      <c r="R921" s="329">
        <v>26398</v>
      </c>
      <c r="S921" s="329">
        <v>-779</v>
      </c>
      <c r="T921" s="329">
        <v>25619</v>
      </c>
    </row>
    <row r="922" spans="1:20" customFormat="1">
      <c r="A922" s="335">
        <v>99941</v>
      </c>
      <c r="B922" s="328" t="s">
        <v>1615</v>
      </c>
      <c r="C922" s="239">
        <v>7.7399999999999998E-5</v>
      </c>
      <c r="D922" s="239">
        <v>7.4200000000000001E-5</v>
      </c>
      <c r="E922" s="329">
        <v>211373</v>
      </c>
      <c r="F922" s="329"/>
      <c r="G922" s="329">
        <v>36192</v>
      </c>
      <c r="H922" s="329">
        <v>5155</v>
      </c>
      <c r="I922" s="329">
        <v>34450</v>
      </c>
      <c r="J922" s="329">
        <v>0</v>
      </c>
      <c r="K922" s="329">
        <v>75797</v>
      </c>
      <c r="L922" s="329"/>
      <c r="M922" s="329">
        <v>0</v>
      </c>
      <c r="N922" s="329">
        <v>0</v>
      </c>
      <c r="O922" s="329">
        <v>9157</v>
      </c>
      <c r="P922" s="329">
        <v>9157</v>
      </c>
      <c r="Q922" s="329"/>
      <c r="R922" s="329">
        <v>94158</v>
      </c>
      <c r="S922" s="329">
        <v>-4998</v>
      </c>
      <c r="T922" s="329">
        <v>89160</v>
      </c>
    </row>
    <row r="923" spans="1:20" customFormat="1" ht="30">
      <c r="A923" s="335">
        <v>99991</v>
      </c>
      <c r="B923" s="328" t="s">
        <v>3735</v>
      </c>
      <c r="C923" s="239">
        <v>5.0869999999999995E-4</v>
      </c>
      <c r="D923" s="239">
        <v>5.2700000000000002E-4</v>
      </c>
      <c r="E923" s="329">
        <v>1389220</v>
      </c>
      <c r="F923" s="329"/>
      <c r="G923" s="329">
        <v>237870</v>
      </c>
      <c r="H923" s="329">
        <v>33885</v>
      </c>
      <c r="I923" s="329">
        <v>226420</v>
      </c>
      <c r="J923" s="329">
        <v>3109</v>
      </c>
      <c r="K923" s="329">
        <v>501284</v>
      </c>
      <c r="L923" s="329"/>
      <c r="M923" s="329">
        <v>0</v>
      </c>
      <c r="N923" s="329">
        <v>0</v>
      </c>
      <c r="O923" s="329">
        <v>34054</v>
      </c>
      <c r="P923" s="329">
        <v>34054</v>
      </c>
      <c r="Q923" s="329"/>
      <c r="R923" s="329">
        <v>618840</v>
      </c>
      <c r="S923" s="329">
        <v>-5951</v>
      </c>
      <c r="T923" s="329">
        <v>612889</v>
      </c>
    </row>
    <row r="924" spans="1:20" customFormat="1">
      <c r="A924" s="335">
        <v>99999</v>
      </c>
      <c r="B924" s="328" t="s">
        <v>3736</v>
      </c>
      <c r="C924" s="239">
        <v>1.0093000000000001E-3</v>
      </c>
      <c r="D924" s="239">
        <v>9.2020000000000003E-4</v>
      </c>
      <c r="E924" s="329">
        <v>2756320</v>
      </c>
      <c r="F924" s="329"/>
      <c r="G924" s="329">
        <v>471952</v>
      </c>
      <c r="H924" s="329">
        <v>67231</v>
      </c>
      <c r="I924" s="329">
        <v>449234</v>
      </c>
      <c r="J924" s="329">
        <v>212881</v>
      </c>
      <c r="K924" s="329">
        <v>1201298</v>
      </c>
      <c r="L924" s="329"/>
      <c r="M924" s="329">
        <v>0</v>
      </c>
      <c r="N924" s="329">
        <v>0</v>
      </c>
      <c r="O924" s="329">
        <v>2283</v>
      </c>
      <c r="P924" s="329">
        <v>2283</v>
      </c>
      <c r="Q924" s="329"/>
      <c r="R924" s="329">
        <v>1227827</v>
      </c>
      <c r="S924" s="329">
        <v>85118</v>
      </c>
      <c r="T924" s="329">
        <v>1312945</v>
      </c>
    </row>
    <row r="925" spans="1:20" customFormat="1">
      <c r="A925" s="8" t="s">
        <v>692</v>
      </c>
      <c r="B925" s="64" t="s">
        <v>691</v>
      </c>
      <c r="C925" s="239">
        <v>0</v>
      </c>
      <c r="D925" s="239">
        <v>0</v>
      </c>
      <c r="E925" s="329">
        <v>0</v>
      </c>
      <c r="F925" s="329"/>
      <c r="G925" s="329">
        <v>0</v>
      </c>
      <c r="H925" s="329">
        <v>0</v>
      </c>
      <c r="I925" s="329">
        <v>0</v>
      </c>
      <c r="J925" s="329">
        <v>0</v>
      </c>
      <c r="K925" s="329">
        <v>0</v>
      </c>
      <c r="L925" s="329"/>
      <c r="M925" s="329">
        <v>0</v>
      </c>
      <c r="N925" s="329">
        <v>0</v>
      </c>
      <c r="O925" s="329">
        <v>0</v>
      </c>
      <c r="P925" s="329">
        <v>0</v>
      </c>
      <c r="Q925" s="329"/>
      <c r="R925" s="329">
        <v>0</v>
      </c>
      <c r="S925" s="329">
        <v>0</v>
      </c>
      <c r="T925" s="329">
        <v>0</v>
      </c>
    </row>
    <row r="926" spans="1:20" customFormat="1"/>
    <row r="927" spans="1:20" customFormat="1"/>
    <row r="928" spans="1:20" customFormat="1"/>
    <row r="929" spans="1:20" customFormat="1"/>
    <row r="930" spans="1:20" customFormat="1"/>
    <row r="931" spans="1:20" customFormat="1"/>
    <row r="932" spans="1:20" customFormat="1"/>
    <row r="933" spans="1:20">
      <c r="A933" s="231"/>
      <c r="B933" s="232"/>
      <c r="C933" s="239"/>
    </row>
    <row r="934" spans="1:20" s="100" customFormat="1">
      <c r="A934" s="95"/>
      <c r="B934" s="56" t="s">
        <v>3642</v>
      </c>
      <c r="C934" s="239"/>
      <c r="D934" s="239"/>
      <c r="E934" s="97"/>
      <c r="F934" s="97"/>
      <c r="G934" s="98"/>
      <c r="H934" s="99"/>
      <c r="I934" s="98"/>
      <c r="J934" s="98"/>
      <c r="K934" s="99"/>
      <c r="L934" s="98"/>
      <c r="M934" s="98"/>
      <c r="N934" s="98"/>
      <c r="O934" s="98"/>
      <c r="P934" s="99"/>
      <c r="Q934" s="98"/>
      <c r="R934" s="98"/>
      <c r="S934" s="98"/>
      <c r="T934" s="98"/>
    </row>
    <row r="935" spans="1:20">
      <c r="B935" s="214" t="s">
        <v>691</v>
      </c>
      <c r="C935" s="256" t="s">
        <v>692</v>
      </c>
    </row>
    <row r="936" spans="1:20">
      <c r="A936" s="231"/>
      <c r="B936" s="135" t="s">
        <v>2027</v>
      </c>
      <c r="C936" s="231">
        <v>96331</v>
      </c>
      <c r="H936" s="230"/>
      <c r="K936" s="230"/>
      <c r="P936" s="230"/>
    </row>
    <row r="937" spans="1:20">
      <c r="A937" s="231"/>
      <c r="B937" s="135" t="s">
        <v>2028</v>
      </c>
      <c r="C937" s="231">
        <v>94611</v>
      </c>
      <c r="H937" s="230"/>
      <c r="K937" s="230"/>
      <c r="P937" s="230"/>
    </row>
    <row r="938" spans="1:20">
      <c r="A938" s="231"/>
      <c r="B938" s="135" t="s">
        <v>1041</v>
      </c>
      <c r="C938" s="231">
        <v>93402</v>
      </c>
      <c r="H938" s="230"/>
      <c r="K938" s="230"/>
      <c r="P938" s="230"/>
    </row>
    <row r="939" spans="1:20">
      <c r="A939" s="231"/>
      <c r="B939" s="135" t="s">
        <v>2499</v>
      </c>
      <c r="C939" s="231">
        <v>90151</v>
      </c>
      <c r="H939" s="230"/>
      <c r="K939" s="230"/>
      <c r="P939" s="230"/>
    </row>
    <row r="940" spans="1:20">
      <c r="A940" s="231"/>
      <c r="B940" s="135" t="s">
        <v>1105</v>
      </c>
      <c r="C940" s="231">
        <v>94109</v>
      </c>
      <c r="H940" s="230"/>
      <c r="K940" s="230"/>
      <c r="P940" s="230"/>
    </row>
    <row r="941" spans="1:20">
      <c r="A941" s="231"/>
      <c r="B941" s="135" t="s">
        <v>738</v>
      </c>
      <c r="C941" s="231">
        <v>90101</v>
      </c>
      <c r="H941" s="230"/>
      <c r="K941" s="230"/>
      <c r="P941" s="230"/>
    </row>
    <row r="942" spans="1:20">
      <c r="A942" s="231"/>
      <c r="B942" s="135" t="s">
        <v>741</v>
      </c>
      <c r="C942" s="231">
        <v>90117</v>
      </c>
      <c r="H942" s="230"/>
      <c r="K942" s="230"/>
      <c r="P942" s="230"/>
    </row>
    <row r="943" spans="1:20">
      <c r="A943" s="231"/>
      <c r="B943" s="135" t="s">
        <v>1948</v>
      </c>
      <c r="C943" s="231">
        <v>98411</v>
      </c>
      <c r="H943" s="230"/>
      <c r="K943" s="230"/>
      <c r="P943" s="230"/>
    </row>
    <row r="944" spans="1:20">
      <c r="A944" s="231"/>
      <c r="B944" s="135" t="s">
        <v>1492</v>
      </c>
      <c r="C944" s="231">
        <v>98417</v>
      </c>
      <c r="H944" s="230"/>
      <c r="K944" s="230"/>
      <c r="P944" s="230"/>
    </row>
    <row r="945" spans="1:16">
      <c r="A945" s="231"/>
      <c r="B945" s="135" t="s">
        <v>1350</v>
      </c>
      <c r="C945" s="231">
        <v>97008</v>
      </c>
      <c r="H945" s="230"/>
      <c r="K945" s="230"/>
      <c r="P945" s="230"/>
    </row>
    <row r="946" spans="1:16">
      <c r="A946" s="231"/>
      <c r="B946" s="135" t="s">
        <v>1351</v>
      </c>
      <c r="C946" s="231">
        <v>97010</v>
      </c>
      <c r="H946" s="230"/>
      <c r="K946" s="230"/>
      <c r="P946" s="230"/>
    </row>
    <row r="947" spans="1:16">
      <c r="A947" s="231"/>
      <c r="B947" s="135" t="s">
        <v>735</v>
      </c>
      <c r="C947" s="231">
        <v>90096</v>
      </c>
      <c r="H947" s="230"/>
      <c r="K947" s="230"/>
      <c r="P947" s="230"/>
    </row>
    <row r="948" spans="1:16">
      <c r="A948" s="231"/>
      <c r="B948" s="135" t="s">
        <v>786</v>
      </c>
      <c r="C948" s="231">
        <v>90805</v>
      </c>
      <c r="H948" s="230"/>
      <c r="K948" s="230"/>
      <c r="P948" s="230"/>
    </row>
    <row r="949" spans="1:16">
      <c r="A949" s="231"/>
      <c r="B949" s="135" t="s">
        <v>929</v>
      </c>
      <c r="C949" s="231">
        <v>92109</v>
      </c>
      <c r="H949" s="230"/>
      <c r="K949" s="230"/>
      <c r="P949" s="230"/>
    </row>
    <row r="950" spans="1:16">
      <c r="A950" s="231"/>
      <c r="B950" s="135" t="s">
        <v>747</v>
      </c>
      <c r="C950" s="231">
        <v>90201</v>
      </c>
      <c r="H950" s="230"/>
      <c r="K950" s="230"/>
      <c r="P950" s="230"/>
    </row>
    <row r="951" spans="1:16">
      <c r="A951" s="231"/>
      <c r="B951" s="135" t="s">
        <v>750</v>
      </c>
      <c r="C951" s="231">
        <v>90206</v>
      </c>
      <c r="H951" s="230"/>
      <c r="K951" s="230"/>
      <c r="P951" s="230"/>
    </row>
    <row r="952" spans="1:16">
      <c r="A952" s="231"/>
      <c r="B952" s="135" t="s">
        <v>748</v>
      </c>
      <c r="C952" s="231">
        <v>90203</v>
      </c>
      <c r="H952" s="230"/>
      <c r="K952" s="230"/>
      <c r="P952" s="230"/>
    </row>
    <row r="953" spans="1:16">
      <c r="A953" s="231"/>
      <c r="B953" s="135" t="s">
        <v>749</v>
      </c>
      <c r="C953" s="231">
        <v>90205</v>
      </c>
      <c r="H953" s="230"/>
      <c r="K953" s="230"/>
      <c r="P953" s="230"/>
    </row>
    <row r="954" spans="1:16">
      <c r="A954" s="231"/>
      <c r="B954" s="135" t="s">
        <v>752</v>
      </c>
      <c r="C954" s="231">
        <v>90301</v>
      </c>
      <c r="H954" s="230"/>
      <c r="K954" s="230"/>
      <c r="P954" s="230"/>
    </row>
    <row r="955" spans="1:16">
      <c r="A955" s="231"/>
      <c r="B955" s="135" t="s">
        <v>1024</v>
      </c>
      <c r="C955" s="231">
        <v>93209</v>
      </c>
      <c r="H955" s="230"/>
      <c r="K955" s="230"/>
      <c r="P955" s="230"/>
    </row>
    <row r="956" spans="1:16">
      <c r="A956" s="231"/>
      <c r="B956" s="135" t="s">
        <v>2029</v>
      </c>
      <c r="C956" s="231">
        <v>92021</v>
      </c>
      <c r="H956" s="230"/>
      <c r="K956" s="230"/>
      <c r="P956" s="230"/>
    </row>
    <row r="957" spans="1:16">
      <c r="A957" s="231"/>
      <c r="B957" s="135" t="s">
        <v>2030</v>
      </c>
      <c r="C957" s="231">
        <v>94351</v>
      </c>
      <c r="H957" s="230"/>
      <c r="K957" s="230"/>
      <c r="P957" s="230"/>
    </row>
    <row r="958" spans="1:16">
      <c r="A958" s="231"/>
      <c r="B958" s="135" t="s">
        <v>2031</v>
      </c>
      <c r="C958" s="231">
        <v>94347</v>
      </c>
      <c r="H958" s="230"/>
      <c r="K958" s="230"/>
      <c r="P958" s="230"/>
    </row>
    <row r="959" spans="1:16">
      <c r="A959" s="231"/>
      <c r="B959" s="135" t="s">
        <v>755</v>
      </c>
      <c r="C959" s="231">
        <v>90401</v>
      </c>
      <c r="H959" s="230"/>
      <c r="K959" s="230"/>
      <c r="P959" s="230"/>
    </row>
    <row r="960" spans="1:16">
      <c r="A960" s="231"/>
      <c r="B960" s="135" t="s">
        <v>2032</v>
      </c>
      <c r="C960" s="231">
        <v>90451</v>
      </c>
      <c r="H960" s="230"/>
      <c r="K960" s="230"/>
      <c r="P960" s="230"/>
    </row>
    <row r="961" spans="1:16">
      <c r="A961" s="231"/>
      <c r="B961" s="135" t="s">
        <v>2033</v>
      </c>
      <c r="C961" s="231">
        <v>99271</v>
      </c>
      <c r="H961" s="230"/>
      <c r="K961" s="230"/>
      <c r="P961" s="230"/>
    </row>
    <row r="962" spans="1:16">
      <c r="A962" s="231"/>
      <c r="B962" s="135" t="s">
        <v>737</v>
      </c>
      <c r="C962" s="231">
        <v>90099</v>
      </c>
      <c r="H962" s="230"/>
      <c r="K962" s="230"/>
      <c r="P962" s="230"/>
    </row>
    <row r="963" spans="1:16">
      <c r="A963" s="231"/>
      <c r="B963" s="135" t="s">
        <v>1596</v>
      </c>
      <c r="C963" s="231">
        <v>99705</v>
      </c>
      <c r="H963" s="230"/>
      <c r="K963" s="230"/>
      <c r="P963" s="230"/>
    </row>
    <row r="964" spans="1:16">
      <c r="A964" s="231"/>
      <c r="B964" s="135" t="s">
        <v>1949</v>
      </c>
      <c r="C964" s="231">
        <v>97651</v>
      </c>
      <c r="H964" s="230"/>
      <c r="K964" s="230"/>
      <c r="P964" s="230"/>
    </row>
    <row r="965" spans="1:16">
      <c r="A965" s="231"/>
      <c r="B965" s="135" t="s">
        <v>2034</v>
      </c>
      <c r="C965" s="231">
        <v>95106</v>
      </c>
      <c r="H965" s="230"/>
      <c r="K965" s="230"/>
      <c r="P965" s="230"/>
    </row>
    <row r="966" spans="1:16">
      <c r="A966" s="231"/>
      <c r="B966" s="135" t="s">
        <v>764</v>
      </c>
      <c r="C966" s="231">
        <v>90501</v>
      </c>
      <c r="H966" s="230"/>
      <c r="K966" s="230"/>
      <c r="P966" s="230"/>
    </row>
    <row r="967" spans="1:16">
      <c r="A967" s="231"/>
      <c r="B967" s="135" t="s">
        <v>1950</v>
      </c>
      <c r="C967" s="231">
        <v>97611</v>
      </c>
      <c r="H967" s="230"/>
      <c r="K967" s="230"/>
      <c r="P967" s="230"/>
    </row>
    <row r="968" spans="1:16">
      <c r="A968" s="231"/>
      <c r="B968" s="135" t="s">
        <v>1393</v>
      </c>
      <c r="C968" s="231">
        <v>97607</v>
      </c>
      <c r="H968" s="230"/>
      <c r="K968" s="230"/>
      <c r="P968" s="230"/>
    </row>
    <row r="969" spans="1:16">
      <c r="A969" s="231"/>
      <c r="B969" s="135" t="s">
        <v>2753</v>
      </c>
      <c r="C969" s="231">
        <v>97613</v>
      </c>
      <c r="H969" s="230"/>
      <c r="K969" s="230"/>
      <c r="P969" s="230"/>
    </row>
    <row r="970" spans="1:16">
      <c r="A970" s="231"/>
      <c r="B970" s="135" t="s">
        <v>1951</v>
      </c>
      <c r="C970" s="231">
        <v>91121</v>
      </c>
      <c r="H970" s="230"/>
      <c r="K970" s="230"/>
      <c r="P970" s="230"/>
    </row>
    <row r="971" spans="1:16">
      <c r="A971" s="231"/>
      <c r="B971" s="135" t="s">
        <v>838</v>
      </c>
      <c r="C971" s="53">
        <v>91127</v>
      </c>
      <c r="H971" s="230"/>
      <c r="K971" s="230"/>
      <c r="P971" s="230"/>
    </row>
    <row r="972" spans="1:16">
      <c r="A972" s="231"/>
      <c r="B972" s="135" t="s">
        <v>839</v>
      </c>
      <c r="C972" s="231">
        <v>91128</v>
      </c>
      <c r="H972" s="230"/>
      <c r="K972" s="230"/>
      <c r="P972" s="230"/>
    </row>
    <row r="973" spans="1:16">
      <c r="A973" s="231"/>
      <c r="B973" s="135" t="s">
        <v>2035</v>
      </c>
      <c r="C973" s="231">
        <v>91681</v>
      </c>
      <c r="H973" s="230"/>
      <c r="K973" s="230"/>
      <c r="P973" s="230"/>
    </row>
    <row r="974" spans="1:16">
      <c r="A974" s="231"/>
      <c r="B974" s="135" t="s">
        <v>2036</v>
      </c>
      <c r="C974" s="231">
        <v>90811</v>
      </c>
      <c r="H974" s="230"/>
      <c r="K974" s="230"/>
      <c r="P974" s="230"/>
    </row>
    <row r="975" spans="1:16">
      <c r="A975" s="231"/>
      <c r="B975" s="135" t="s">
        <v>2038</v>
      </c>
      <c r="C975" s="231">
        <v>90721</v>
      </c>
      <c r="H975" s="230"/>
      <c r="K975" s="230"/>
      <c r="P975" s="230"/>
    </row>
    <row r="976" spans="1:16">
      <c r="A976" s="231"/>
      <c r="B976" s="135" t="s">
        <v>2037</v>
      </c>
      <c r="C976" s="231">
        <v>98271</v>
      </c>
      <c r="H976" s="230"/>
      <c r="K976" s="230"/>
      <c r="P976" s="230"/>
    </row>
    <row r="977" spans="1:16">
      <c r="A977" s="231"/>
      <c r="B977" s="135" t="s">
        <v>767</v>
      </c>
      <c r="C977" s="231">
        <v>90601</v>
      </c>
      <c r="H977" s="230"/>
      <c r="K977" s="230"/>
      <c r="P977" s="230"/>
    </row>
    <row r="978" spans="1:16">
      <c r="A978" s="231"/>
      <c r="B978" s="135" t="s">
        <v>259</v>
      </c>
      <c r="C978" s="231">
        <v>90602</v>
      </c>
      <c r="H978" s="230"/>
      <c r="K978" s="230"/>
      <c r="P978" s="230"/>
    </row>
    <row r="979" spans="1:16">
      <c r="A979" s="231"/>
      <c r="B979" s="135" t="s">
        <v>768</v>
      </c>
      <c r="C979" s="231">
        <v>90605</v>
      </c>
      <c r="H979" s="230"/>
      <c r="K979" s="230"/>
      <c r="P979" s="230"/>
    </row>
    <row r="980" spans="1:16">
      <c r="A980" s="231"/>
      <c r="B980" s="135" t="s">
        <v>2039</v>
      </c>
      <c r="C980" s="231">
        <v>97461</v>
      </c>
      <c r="H980" s="230"/>
      <c r="K980" s="230"/>
      <c r="P980" s="230"/>
    </row>
    <row r="981" spans="1:16">
      <c r="A981" s="231"/>
      <c r="B981" s="135" t="s">
        <v>777</v>
      </c>
      <c r="C981" s="231">
        <v>90705</v>
      </c>
      <c r="H981" s="230"/>
      <c r="K981" s="230"/>
      <c r="P981" s="230"/>
    </row>
    <row r="982" spans="1:16">
      <c r="A982" s="231"/>
      <c r="B982" s="135" t="s">
        <v>2040</v>
      </c>
      <c r="C982" s="231">
        <v>98451</v>
      </c>
      <c r="H982" s="230"/>
      <c r="K982" s="230"/>
      <c r="P982" s="230"/>
    </row>
    <row r="983" spans="1:16">
      <c r="A983" s="231"/>
      <c r="B983" s="135" t="s">
        <v>2041</v>
      </c>
      <c r="C983" s="231">
        <v>96451</v>
      </c>
      <c r="H983" s="230"/>
      <c r="K983" s="230"/>
      <c r="P983" s="230"/>
    </row>
    <row r="984" spans="1:16">
      <c r="A984" s="231"/>
      <c r="B984" s="135" t="s">
        <v>2042</v>
      </c>
      <c r="C984" s="231">
        <v>96121</v>
      </c>
      <c r="H984" s="230"/>
      <c r="K984" s="230"/>
      <c r="P984" s="230"/>
    </row>
    <row r="985" spans="1:16">
      <c r="A985" s="231"/>
      <c r="B985" s="135" t="s">
        <v>2500</v>
      </c>
      <c r="C985" s="231">
        <v>91091</v>
      </c>
      <c r="H985" s="230"/>
      <c r="K985" s="230"/>
      <c r="P985" s="230"/>
    </row>
    <row r="986" spans="1:16">
      <c r="A986" s="231"/>
      <c r="B986" s="135" t="s">
        <v>2043</v>
      </c>
      <c r="C986" s="231">
        <v>90611</v>
      </c>
      <c r="H986" s="230"/>
      <c r="K986" s="230"/>
      <c r="P986" s="230"/>
    </row>
    <row r="987" spans="1:16">
      <c r="A987" s="231"/>
      <c r="B987" s="135" t="s">
        <v>1345</v>
      </c>
      <c r="C987" s="231">
        <v>96918</v>
      </c>
      <c r="H987" s="230"/>
      <c r="K987" s="230"/>
      <c r="P987" s="230"/>
    </row>
    <row r="988" spans="1:16">
      <c r="A988" s="231"/>
      <c r="B988" s="135" t="s">
        <v>2044</v>
      </c>
      <c r="C988" s="231">
        <v>96911</v>
      </c>
      <c r="H988" s="230"/>
      <c r="K988" s="230"/>
      <c r="P988" s="230"/>
    </row>
    <row r="989" spans="1:16">
      <c r="A989" s="231"/>
      <c r="B989" s="135" t="s">
        <v>1547</v>
      </c>
      <c r="C989" s="231">
        <v>99208</v>
      </c>
      <c r="H989" s="230"/>
      <c r="K989" s="230"/>
      <c r="P989" s="230"/>
    </row>
    <row r="990" spans="1:16">
      <c r="A990" s="231"/>
      <c r="B990" s="135" t="s">
        <v>2045</v>
      </c>
      <c r="C990" s="231">
        <v>91631</v>
      </c>
      <c r="H990" s="230"/>
      <c r="K990" s="230"/>
      <c r="P990" s="230"/>
    </row>
    <row r="991" spans="1:16">
      <c r="A991" s="231"/>
      <c r="B991" s="135" t="s">
        <v>775</v>
      </c>
      <c r="C991" s="231">
        <v>90701</v>
      </c>
      <c r="H991" s="230"/>
      <c r="K991" s="230"/>
      <c r="P991" s="230"/>
    </row>
    <row r="992" spans="1:16">
      <c r="A992" s="231"/>
      <c r="B992" s="135" t="s">
        <v>776</v>
      </c>
      <c r="C992" s="231">
        <v>90704</v>
      </c>
      <c r="H992" s="230"/>
      <c r="K992" s="230"/>
      <c r="P992" s="230"/>
    </row>
    <row r="993" spans="1:16">
      <c r="A993" s="231"/>
      <c r="B993" s="135" t="s">
        <v>2756</v>
      </c>
      <c r="C993" s="231">
        <v>91633</v>
      </c>
      <c r="H993" s="230"/>
      <c r="K993" s="230"/>
      <c r="P993" s="230"/>
    </row>
    <row r="994" spans="1:16">
      <c r="A994" s="231"/>
      <c r="B994" s="135" t="s">
        <v>2046</v>
      </c>
      <c r="C994" s="231">
        <v>90631</v>
      </c>
      <c r="H994" s="230"/>
      <c r="K994" s="230"/>
      <c r="P994" s="230"/>
    </row>
    <row r="995" spans="1:16">
      <c r="A995" s="231"/>
      <c r="B995" s="135" t="s">
        <v>2047</v>
      </c>
      <c r="C995" s="231">
        <v>90731</v>
      </c>
      <c r="H995" s="230"/>
      <c r="K995" s="230"/>
      <c r="P995" s="230"/>
    </row>
    <row r="996" spans="1:16">
      <c r="A996" s="231"/>
      <c r="B996" s="135" t="s">
        <v>1952</v>
      </c>
      <c r="C996" s="231">
        <v>93621</v>
      </c>
      <c r="H996" s="230"/>
      <c r="K996" s="230"/>
      <c r="P996" s="230"/>
    </row>
    <row r="997" spans="1:16">
      <c r="A997" s="231"/>
      <c r="B997" s="135" t="s">
        <v>1070</v>
      </c>
      <c r="C997" s="231">
        <v>93623</v>
      </c>
      <c r="H997" s="230"/>
      <c r="K997" s="230"/>
      <c r="P997" s="230"/>
    </row>
    <row r="998" spans="1:16">
      <c r="A998" s="231"/>
      <c r="B998" s="135" t="s">
        <v>2048</v>
      </c>
      <c r="C998" s="231">
        <v>91020</v>
      </c>
      <c r="H998" s="230"/>
      <c r="K998" s="230"/>
      <c r="P998" s="230"/>
    </row>
    <row r="999" spans="1:16">
      <c r="A999" s="231"/>
      <c r="B999" s="135" t="s">
        <v>2049</v>
      </c>
      <c r="C999" s="231">
        <v>95141</v>
      </c>
      <c r="H999" s="230"/>
      <c r="K999" s="230"/>
      <c r="P999" s="230"/>
    </row>
    <row r="1000" spans="1:16">
      <c r="A1000" s="231"/>
      <c r="B1000" s="135" t="s">
        <v>1190</v>
      </c>
      <c r="C1000" s="231">
        <v>95103</v>
      </c>
      <c r="H1000" s="230"/>
      <c r="K1000" s="230"/>
      <c r="P1000" s="230"/>
    </row>
    <row r="1001" spans="1:16">
      <c r="A1001" s="231"/>
      <c r="B1001" s="135" t="s">
        <v>2050</v>
      </c>
      <c r="C1001" s="231">
        <v>93021</v>
      </c>
      <c r="H1001" s="230"/>
      <c r="K1001" s="230"/>
      <c r="P1001" s="230"/>
    </row>
    <row r="1002" spans="1:16">
      <c r="A1002" s="231"/>
      <c r="B1002" s="135" t="s">
        <v>784</v>
      </c>
      <c r="C1002" s="231">
        <v>90801</v>
      </c>
      <c r="H1002" s="230"/>
      <c r="K1002" s="230"/>
      <c r="P1002" s="230"/>
    </row>
    <row r="1003" spans="1:16">
      <c r="A1003" s="231"/>
      <c r="B1003" s="135" t="s">
        <v>785</v>
      </c>
      <c r="C1003" s="231">
        <v>90804</v>
      </c>
      <c r="H1003" s="230"/>
      <c r="K1003" s="230"/>
      <c r="P1003" s="230"/>
    </row>
    <row r="1004" spans="1:16">
      <c r="A1004" s="231"/>
      <c r="B1004" s="135" t="s">
        <v>787</v>
      </c>
      <c r="C1004" s="231">
        <v>90808</v>
      </c>
      <c r="H1004" s="230"/>
      <c r="K1004" s="230"/>
      <c r="P1004" s="230"/>
    </row>
    <row r="1005" spans="1:16">
      <c r="A1005" s="231"/>
      <c r="B1005" s="135" t="s">
        <v>1076</v>
      </c>
      <c r="C1005" s="231">
        <v>93671</v>
      </c>
      <c r="H1005" s="230"/>
      <c r="K1005" s="230"/>
      <c r="P1005" s="230"/>
    </row>
    <row r="1006" spans="1:16">
      <c r="A1006" s="231"/>
      <c r="B1006" s="135" t="s">
        <v>2776</v>
      </c>
      <c r="C1006" s="231">
        <v>93677</v>
      </c>
      <c r="H1006" s="230"/>
      <c r="K1006" s="230"/>
      <c r="P1006" s="230"/>
    </row>
    <row r="1007" spans="1:16">
      <c r="A1007" s="231"/>
      <c r="B1007" s="135" t="s">
        <v>2051</v>
      </c>
      <c r="C1007" s="231">
        <v>97441</v>
      </c>
      <c r="H1007" s="230"/>
      <c r="K1007" s="230"/>
      <c r="P1007" s="230"/>
    </row>
    <row r="1008" spans="1:16">
      <c r="A1008" s="231"/>
      <c r="B1008" s="135" t="s">
        <v>2052</v>
      </c>
      <c r="C1008" s="231">
        <v>93111</v>
      </c>
      <c r="H1008" s="230"/>
      <c r="K1008" s="230"/>
      <c r="P1008" s="230"/>
    </row>
    <row r="1009" spans="1:16">
      <c r="A1009" s="231"/>
      <c r="B1009" s="135" t="s">
        <v>2053</v>
      </c>
      <c r="C1009" s="231">
        <v>91111</v>
      </c>
      <c r="H1009" s="230"/>
      <c r="K1009" s="230"/>
      <c r="P1009" s="230"/>
    </row>
    <row r="1010" spans="1:16">
      <c r="A1010" s="231"/>
      <c r="B1010" s="135" t="s">
        <v>2054</v>
      </c>
      <c r="C1010" s="231">
        <v>96231</v>
      </c>
      <c r="H1010" s="230"/>
      <c r="K1010" s="230"/>
      <c r="P1010" s="230"/>
    </row>
    <row r="1011" spans="1:16">
      <c r="A1011" s="231"/>
      <c r="B1011" s="135" t="s">
        <v>2055</v>
      </c>
      <c r="C1011" s="53">
        <v>99831</v>
      </c>
      <c r="H1011" s="230"/>
      <c r="K1011" s="230"/>
      <c r="P1011" s="230"/>
    </row>
    <row r="1012" spans="1:16">
      <c r="A1012" s="231"/>
      <c r="B1012" s="135" t="s">
        <v>2056</v>
      </c>
      <c r="C1012" s="231">
        <v>91151</v>
      </c>
      <c r="H1012" s="230"/>
      <c r="K1012" s="230"/>
      <c r="P1012" s="230"/>
    </row>
    <row r="1013" spans="1:16">
      <c r="A1013" s="231"/>
      <c r="B1013" s="135" t="s">
        <v>844</v>
      </c>
      <c r="C1013" s="231">
        <v>91154</v>
      </c>
      <c r="H1013" s="230"/>
      <c r="K1013" s="230"/>
      <c r="P1013" s="230"/>
    </row>
    <row r="1014" spans="1:16">
      <c r="A1014" s="231"/>
      <c r="B1014" s="135" t="s">
        <v>792</v>
      </c>
      <c r="C1014" s="231">
        <v>90901</v>
      </c>
      <c r="H1014" s="230"/>
      <c r="K1014" s="230"/>
      <c r="P1014" s="230"/>
    </row>
    <row r="1015" spans="1:16">
      <c r="A1015" s="231"/>
      <c r="B1015" s="135" t="s">
        <v>2057</v>
      </c>
      <c r="C1015" s="231">
        <v>90941</v>
      </c>
      <c r="H1015" s="230"/>
      <c r="K1015" s="230"/>
      <c r="P1015" s="230"/>
    </row>
    <row r="1016" spans="1:16">
      <c r="A1016" s="231"/>
      <c r="B1016" s="135" t="s">
        <v>2058</v>
      </c>
      <c r="C1016" s="231">
        <v>99521</v>
      </c>
      <c r="H1016" s="230"/>
      <c r="K1016" s="230"/>
      <c r="P1016" s="230"/>
    </row>
    <row r="1017" spans="1:16">
      <c r="A1017" s="231"/>
      <c r="B1017" s="135" t="s">
        <v>1580</v>
      </c>
      <c r="C1017" s="231">
        <v>99527</v>
      </c>
      <c r="H1017" s="230"/>
      <c r="K1017" s="230"/>
      <c r="P1017" s="230"/>
    </row>
    <row r="1018" spans="1:16">
      <c r="A1018" s="231"/>
      <c r="B1018" s="135" t="s">
        <v>1576</v>
      </c>
      <c r="C1018" s="231">
        <v>99508</v>
      </c>
      <c r="H1018" s="230"/>
      <c r="K1018" s="230"/>
      <c r="P1018" s="230"/>
    </row>
    <row r="1019" spans="1:16">
      <c r="A1019" s="231"/>
      <c r="B1019" s="135" t="s">
        <v>1156</v>
      </c>
      <c r="C1019" s="231">
        <v>94532</v>
      </c>
      <c r="H1019" s="230"/>
      <c r="K1019" s="230"/>
      <c r="P1019" s="230"/>
    </row>
    <row r="1020" spans="1:16">
      <c r="A1020" s="231"/>
      <c r="B1020" s="135" t="s">
        <v>1953</v>
      </c>
      <c r="C1020" s="231">
        <v>91071</v>
      </c>
      <c r="H1020" s="230"/>
      <c r="K1020" s="230"/>
      <c r="P1020" s="230"/>
    </row>
    <row r="1021" spans="1:16">
      <c r="A1021" s="231"/>
      <c r="B1021" s="135" t="s">
        <v>826</v>
      </c>
      <c r="C1021" s="231">
        <v>91077</v>
      </c>
      <c r="H1021" s="230"/>
      <c r="K1021" s="230"/>
      <c r="P1021" s="230"/>
    </row>
    <row r="1022" spans="1:16">
      <c r="A1022" s="231"/>
      <c r="B1022" s="135" t="s">
        <v>2059</v>
      </c>
      <c r="C1022" s="231">
        <v>92331</v>
      </c>
      <c r="H1022" s="230"/>
      <c r="K1022" s="230"/>
      <c r="P1022" s="230"/>
    </row>
    <row r="1023" spans="1:16">
      <c r="A1023" s="231"/>
      <c r="B1023" s="135" t="s">
        <v>2060</v>
      </c>
      <c r="C1023" s="231">
        <v>92414</v>
      </c>
      <c r="H1023" s="230"/>
      <c r="K1023" s="230"/>
      <c r="P1023" s="230"/>
    </row>
    <row r="1024" spans="1:16">
      <c r="A1024" s="231"/>
      <c r="B1024" s="135" t="s">
        <v>2061</v>
      </c>
      <c r="C1024" s="231">
        <v>99511</v>
      </c>
      <c r="H1024" s="230"/>
      <c r="K1024" s="230"/>
      <c r="P1024" s="230"/>
    </row>
    <row r="1025" spans="1:16">
      <c r="A1025" s="231"/>
      <c r="B1025" s="135" t="s">
        <v>2062</v>
      </c>
      <c r="C1025" s="53">
        <v>99941</v>
      </c>
      <c r="H1025" s="230"/>
      <c r="K1025" s="230"/>
      <c r="P1025" s="230"/>
    </row>
    <row r="1026" spans="1:16">
      <c r="A1026" s="231"/>
      <c r="B1026" s="135" t="s">
        <v>1298</v>
      </c>
      <c r="C1026" s="231">
        <v>96405</v>
      </c>
      <c r="H1026" s="230"/>
      <c r="K1026" s="230"/>
      <c r="P1026" s="230"/>
    </row>
    <row r="1027" spans="1:16">
      <c r="A1027" s="231"/>
      <c r="B1027" s="135" t="s">
        <v>1954</v>
      </c>
      <c r="C1027" s="231">
        <v>98811</v>
      </c>
      <c r="H1027" s="230"/>
      <c r="K1027" s="230"/>
      <c r="P1027" s="230"/>
    </row>
    <row r="1028" spans="1:16">
      <c r="A1028" s="231"/>
      <c r="B1028" s="135" t="s">
        <v>1518</v>
      </c>
      <c r="C1028" s="231">
        <v>98817</v>
      </c>
      <c r="H1028" s="230"/>
      <c r="K1028" s="230"/>
      <c r="P1028" s="230"/>
    </row>
    <row r="1029" spans="1:16">
      <c r="A1029" s="231"/>
      <c r="B1029" s="135" t="s">
        <v>2063</v>
      </c>
      <c r="C1029" s="231">
        <v>92561</v>
      </c>
      <c r="H1029" s="230"/>
      <c r="K1029" s="230"/>
      <c r="P1029" s="230"/>
    </row>
    <row r="1030" spans="1:16">
      <c r="A1030" s="231"/>
      <c r="B1030" s="135" t="s">
        <v>1459</v>
      </c>
      <c r="C1030" s="231">
        <v>98102</v>
      </c>
      <c r="H1030" s="230"/>
      <c r="K1030" s="230"/>
      <c r="P1030" s="230"/>
    </row>
    <row r="1031" spans="1:16">
      <c r="A1031" s="231"/>
      <c r="B1031" s="135" t="s">
        <v>2064</v>
      </c>
      <c r="C1031" s="231">
        <v>95321</v>
      </c>
      <c r="H1031" s="230"/>
      <c r="K1031" s="230"/>
      <c r="P1031" s="230"/>
    </row>
    <row r="1032" spans="1:16">
      <c r="A1032" s="231"/>
      <c r="B1032" s="135" t="s">
        <v>2065</v>
      </c>
      <c r="C1032" s="231">
        <v>91861</v>
      </c>
      <c r="H1032" s="230"/>
      <c r="K1032" s="230"/>
      <c r="P1032" s="230"/>
    </row>
    <row r="1033" spans="1:16">
      <c r="A1033" s="231"/>
      <c r="B1033" s="135" t="s">
        <v>2066</v>
      </c>
      <c r="C1033" s="231">
        <v>92421</v>
      </c>
      <c r="H1033" s="230"/>
      <c r="K1033" s="230"/>
      <c r="P1033" s="230"/>
    </row>
    <row r="1034" spans="1:16">
      <c r="A1034" s="231"/>
      <c r="B1034" s="135" t="s">
        <v>799</v>
      </c>
      <c r="C1034" s="231">
        <v>91001</v>
      </c>
      <c r="H1034" s="230"/>
      <c r="K1034" s="230"/>
      <c r="P1034" s="230"/>
    </row>
    <row r="1035" spans="1:16">
      <c r="A1035" s="231"/>
      <c r="B1035" s="135" t="s">
        <v>802</v>
      </c>
      <c r="C1035" s="231">
        <v>91004</v>
      </c>
      <c r="H1035" s="230"/>
      <c r="K1035" s="230"/>
      <c r="P1035" s="230"/>
    </row>
    <row r="1036" spans="1:16">
      <c r="A1036" s="231"/>
      <c r="B1036" s="135" t="s">
        <v>2777</v>
      </c>
      <c r="C1036" s="231">
        <v>91006</v>
      </c>
      <c r="H1036" s="230"/>
      <c r="K1036" s="230"/>
      <c r="P1036" s="230"/>
    </row>
    <row r="1037" spans="1:16">
      <c r="A1037" s="231"/>
      <c r="B1037" s="135" t="s">
        <v>2778</v>
      </c>
      <c r="C1037" s="231">
        <v>91003</v>
      </c>
      <c r="H1037" s="230"/>
      <c r="K1037" s="230"/>
      <c r="P1037" s="230"/>
    </row>
    <row r="1038" spans="1:16">
      <c r="A1038" s="231"/>
      <c r="B1038" s="135" t="s">
        <v>806</v>
      </c>
      <c r="C1038" s="231">
        <v>91009</v>
      </c>
      <c r="H1038" s="230"/>
      <c r="K1038" s="230"/>
      <c r="P1038" s="230"/>
    </row>
    <row r="1039" spans="1:16">
      <c r="A1039" s="231"/>
      <c r="B1039" s="135" t="s">
        <v>819</v>
      </c>
      <c r="C1039" s="231">
        <v>91042</v>
      </c>
      <c r="H1039" s="230"/>
      <c r="K1039" s="230"/>
      <c r="P1039" s="230"/>
    </row>
    <row r="1040" spans="1:16">
      <c r="A1040" s="231"/>
      <c r="B1040" s="135" t="s">
        <v>2067</v>
      </c>
      <c r="C1040" s="231">
        <v>98711</v>
      </c>
      <c r="H1040" s="230"/>
      <c r="K1040" s="230"/>
      <c r="P1040" s="230"/>
    </row>
    <row r="1041" spans="1:16">
      <c r="A1041" s="231"/>
      <c r="B1041" s="135" t="s">
        <v>1515</v>
      </c>
      <c r="C1041" s="231">
        <v>98717</v>
      </c>
      <c r="H1041" s="230"/>
      <c r="K1041" s="230"/>
      <c r="P1041" s="230"/>
    </row>
    <row r="1042" spans="1:16">
      <c r="A1042" s="231"/>
      <c r="B1042" s="135" t="s">
        <v>829</v>
      </c>
      <c r="C1042" s="231">
        <v>91101</v>
      </c>
      <c r="H1042" s="230"/>
      <c r="K1042" s="230"/>
      <c r="P1042" s="230"/>
    </row>
    <row r="1043" spans="1:16">
      <c r="A1043" s="231"/>
      <c r="B1043" s="135" t="s">
        <v>2068</v>
      </c>
      <c r="C1043" s="231">
        <v>93531</v>
      </c>
      <c r="H1043" s="230"/>
      <c r="K1043" s="230"/>
      <c r="P1043" s="230"/>
    </row>
    <row r="1044" spans="1:16">
      <c r="A1044" s="231"/>
      <c r="B1044" s="135" t="s">
        <v>2751</v>
      </c>
      <c r="C1044" s="231">
        <v>93537</v>
      </c>
      <c r="H1044" s="230"/>
      <c r="K1044" s="230"/>
      <c r="P1044" s="230"/>
    </row>
    <row r="1045" spans="1:16">
      <c r="A1045" s="231"/>
      <c r="B1045" s="135" t="s">
        <v>2069</v>
      </c>
      <c r="C1045" s="231">
        <v>97111</v>
      </c>
      <c r="H1045" s="230"/>
      <c r="K1045" s="230"/>
      <c r="P1045" s="230"/>
    </row>
    <row r="1046" spans="1:16">
      <c r="A1046" s="231"/>
      <c r="B1046" s="135" t="s">
        <v>847</v>
      </c>
      <c r="C1046" s="231">
        <v>91201</v>
      </c>
      <c r="H1046" s="230"/>
      <c r="K1046" s="230"/>
      <c r="P1046" s="230"/>
    </row>
    <row r="1047" spans="1:16">
      <c r="A1047" s="231"/>
      <c r="B1047" s="135" t="s">
        <v>2779</v>
      </c>
      <c r="C1047" s="231">
        <v>91206</v>
      </c>
      <c r="H1047" s="230"/>
      <c r="K1047" s="230"/>
      <c r="P1047" s="230"/>
    </row>
    <row r="1048" spans="1:16">
      <c r="A1048" s="231"/>
      <c r="B1048" s="135" t="s">
        <v>2780</v>
      </c>
      <c r="C1048" s="231">
        <v>91203</v>
      </c>
      <c r="H1048" s="230"/>
      <c r="K1048" s="230"/>
      <c r="P1048" s="230"/>
    </row>
    <row r="1049" spans="1:16">
      <c r="A1049" s="231"/>
      <c r="B1049" s="135" t="s">
        <v>851</v>
      </c>
      <c r="C1049" s="231">
        <v>91208</v>
      </c>
      <c r="H1049" s="230"/>
      <c r="K1049" s="230"/>
      <c r="P1049" s="230"/>
    </row>
    <row r="1050" spans="1:16">
      <c r="A1050" s="231"/>
      <c r="B1050" s="135" t="s">
        <v>848</v>
      </c>
      <c r="C1050" s="231">
        <v>91202</v>
      </c>
      <c r="H1050" s="230"/>
      <c r="K1050" s="230"/>
      <c r="P1050" s="230"/>
    </row>
    <row r="1051" spans="1:16">
      <c r="A1051" s="231"/>
      <c r="B1051" s="135" t="s">
        <v>1955</v>
      </c>
      <c r="C1051" s="231">
        <v>90111</v>
      </c>
      <c r="H1051" s="230"/>
      <c r="K1051" s="230"/>
      <c r="P1051" s="230"/>
    </row>
    <row r="1052" spans="1:16">
      <c r="A1052" s="231"/>
      <c r="B1052" s="135" t="s">
        <v>2070</v>
      </c>
      <c r="C1052" s="231">
        <v>90011</v>
      </c>
      <c r="H1052" s="230"/>
      <c r="K1052" s="230"/>
      <c r="P1052" s="230"/>
    </row>
    <row r="1053" spans="1:16">
      <c r="A1053" s="231"/>
      <c r="B1053" s="135" t="s">
        <v>2071</v>
      </c>
      <c r="C1053" s="231">
        <v>93931</v>
      </c>
      <c r="H1053" s="230"/>
      <c r="K1053" s="230"/>
      <c r="P1053" s="230"/>
    </row>
    <row r="1054" spans="1:16">
      <c r="A1054" s="231"/>
      <c r="B1054" s="135" t="s">
        <v>862</v>
      </c>
      <c r="C1054" s="231">
        <v>91301</v>
      </c>
      <c r="H1054" s="230"/>
      <c r="K1054" s="230"/>
      <c r="P1054" s="230"/>
    </row>
    <row r="1055" spans="1:16">
      <c r="A1055" s="231"/>
      <c r="B1055" s="135" t="s">
        <v>2781</v>
      </c>
      <c r="C1055" s="231">
        <v>91306</v>
      </c>
      <c r="H1055" s="230"/>
      <c r="K1055" s="230"/>
      <c r="P1055" s="230"/>
    </row>
    <row r="1056" spans="1:16">
      <c r="A1056" s="231"/>
      <c r="B1056" s="135" t="s">
        <v>865</v>
      </c>
      <c r="C1056" s="231">
        <v>91308</v>
      </c>
      <c r="H1056" s="230"/>
      <c r="K1056" s="230"/>
      <c r="P1056" s="230"/>
    </row>
    <row r="1057" spans="1:16">
      <c r="A1057" s="231"/>
      <c r="B1057" s="135" t="s">
        <v>2072</v>
      </c>
      <c r="C1057" s="231">
        <v>91461</v>
      </c>
      <c r="H1057" s="230"/>
      <c r="K1057" s="230"/>
      <c r="P1057" s="230"/>
    </row>
    <row r="1058" spans="1:16">
      <c r="A1058" s="231"/>
      <c r="B1058" s="135" t="s">
        <v>2073</v>
      </c>
      <c r="C1058" s="231">
        <v>91010</v>
      </c>
      <c r="H1058" s="230"/>
      <c r="K1058" s="230"/>
      <c r="P1058" s="230"/>
    </row>
    <row r="1059" spans="1:16">
      <c r="A1059" s="231"/>
      <c r="B1059" s="135" t="s">
        <v>804</v>
      </c>
      <c r="C1059" s="231">
        <v>91007</v>
      </c>
      <c r="H1059" s="230"/>
      <c r="K1059" s="230"/>
      <c r="P1059" s="230"/>
    </row>
    <row r="1060" spans="1:16">
      <c r="A1060" s="231"/>
      <c r="B1060" s="135" t="s">
        <v>872</v>
      </c>
      <c r="C1060" s="231">
        <v>91401</v>
      </c>
      <c r="H1060" s="230"/>
      <c r="K1060" s="230"/>
      <c r="P1060" s="230"/>
    </row>
    <row r="1061" spans="1:16">
      <c r="A1061" s="231"/>
      <c r="B1061" s="135" t="s">
        <v>2074</v>
      </c>
      <c r="C1061" s="231">
        <v>93171</v>
      </c>
      <c r="H1061" s="230"/>
      <c r="K1061" s="230"/>
      <c r="P1061" s="230"/>
    </row>
    <row r="1062" spans="1:16">
      <c r="A1062" s="231"/>
      <c r="B1062" s="135" t="s">
        <v>882</v>
      </c>
      <c r="C1062" s="231">
        <v>91501</v>
      </c>
      <c r="H1062" s="230"/>
      <c r="K1062" s="230"/>
      <c r="P1062" s="230"/>
    </row>
    <row r="1063" spans="1:16">
      <c r="A1063" s="231"/>
      <c r="B1063" s="135" t="s">
        <v>883</v>
      </c>
      <c r="C1063" s="231">
        <v>91504</v>
      </c>
      <c r="H1063" s="230"/>
      <c r="K1063" s="230"/>
      <c r="P1063" s="230"/>
    </row>
    <row r="1064" spans="1:16">
      <c r="A1064" s="231"/>
      <c r="B1064" s="135" t="s">
        <v>2075</v>
      </c>
      <c r="C1064" s="231">
        <v>96312</v>
      </c>
      <c r="H1064" s="230"/>
      <c r="K1064" s="230"/>
      <c r="P1064" s="230"/>
    </row>
    <row r="1065" spans="1:16">
      <c r="A1065" s="231"/>
      <c r="B1065" s="135" t="s">
        <v>2076</v>
      </c>
      <c r="C1065" s="231">
        <v>96241</v>
      </c>
      <c r="H1065" s="230"/>
      <c r="K1065" s="230"/>
      <c r="P1065" s="230"/>
    </row>
    <row r="1066" spans="1:16">
      <c r="A1066" s="231"/>
      <c r="B1066" s="135" t="s">
        <v>2077</v>
      </c>
      <c r="C1066" s="231">
        <v>94431</v>
      </c>
      <c r="H1066" s="230"/>
      <c r="K1066" s="230"/>
      <c r="P1066" s="230"/>
    </row>
    <row r="1067" spans="1:16">
      <c r="A1067" s="231"/>
      <c r="B1067" s="135" t="s">
        <v>1148</v>
      </c>
      <c r="C1067" s="231">
        <v>94437</v>
      </c>
      <c r="H1067" s="230"/>
      <c r="K1067" s="230"/>
      <c r="P1067" s="230"/>
    </row>
    <row r="1068" spans="1:16">
      <c r="A1068" s="231"/>
      <c r="B1068" s="135" t="s">
        <v>2078</v>
      </c>
      <c r="C1068" s="231">
        <v>91671</v>
      </c>
      <c r="H1068" s="230"/>
      <c r="K1068" s="230"/>
      <c r="P1068" s="230"/>
    </row>
    <row r="1069" spans="1:16">
      <c r="A1069" s="231"/>
      <c r="B1069" s="135" t="s">
        <v>805</v>
      </c>
      <c r="C1069" s="231">
        <v>91008</v>
      </c>
      <c r="H1069" s="230"/>
      <c r="K1069" s="230"/>
      <c r="P1069" s="230"/>
    </row>
    <row r="1070" spans="1:16">
      <c r="A1070" s="231"/>
      <c r="B1070" s="135" t="s">
        <v>1312</v>
      </c>
      <c r="C1070" s="231">
        <v>96512</v>
      </c>
      <c r="H1070" s="230"/>
      <c r="K1070" s="230"/>
      <c r="P1070" s="230"/>
    </row>
    <row r="1071" spans="1:16">
      <c r="A1071" s="231"/>
      <c r="B1071" s="135" t="s">
        <v>1309</v>
      </c>
      <c r="C1071" s="231">
        <v>96507</v>
      </c>
      <c r="H1071" s="230"/>
      <c r="K1071" s="230"/>
      <c r="P1071" s="230"/>
    </row>
    <row r="1072" spans="1:16">
      <c r="A1072" s="231"/>
      <c r="B1072" s="135" t="s">
        <v>1640</v>
      </c>
      <c r="C1072" s="231">
        <v>91015</v>
      </c>
      <c r="H1072" s="230"/>
      <c r="K1072" s="230"/>
      <c r="P1072" s="230"/>
    </row>
    <row r="1073" spans="1:16">
      <c r="A1073" s="231"/>
      <c r="B1073" s="135" t="s">
        <v>2079</v>
      </c>
      <c r="C1073" s="231">
        <v>96521</v>
      </c>
      <c r="H1073" s="230"/>
      <c r="K1073" s="230"/>
      <c r="P1073" s="230"/>
    </row>
    <row r="1074" spans="1:16">
      <c r="A1074" s="231"/>
      <c r="B1074" s="135" t="s">
        <v>2080</v>
      </c>
      <c r="C1074" s="231">
        <v>91024</v>
      </c>
      <c r="H1074" s="230"/>
      <c r="K1074" s="230"/>
      <c r="P1074" s="230"/>
    </row>
    <row r="1075" spans="1:16">
      <c r="A1075" s="231"/>
      <c r="B1075" s="135" t="s">
        <v>2081</v>
      </c>
      <c r="C1075" s="231">
        <v>96821</v>
      </c>
      <c r="H1075" s="230"/>
      <c r="K1075" s="230"/>
      <c r="P1075" s="230"/>
    </row>
    <row r="1076" spans="1:16">
      <c r="A1076" s="231"/>
      <c r="B1076" s="135" t="s">
        <v>884</v>
      </c>
      <c r="C1076" s="231">
        <v>91601</v>
      </c>
      <c r="H1076" s="230"/>
      <c r="K1076" s="230"/>
      <c r="P1076" s="230"/>
    </row>
    <row r="1077" spans="1:16">
      <c r="A1077" s="231"/>
      <c r="B1077" s="135" t="s">
        <v>885</v>
      </c>
      <c r="C1077" s="231">
        <v>91604</v>
      </c>
      <c r="H1077" s="230"/>
      <c r="K1077" s="230"/>
      <c r="P1077" s="230"/>
    </row>
    <row r="1078" spans="1:16">
      <c r="A1078" s="53"/>
      <c r="B1078" s="135" t="s">
        <v>2082</v>
      </c>
      <c r="C1078" s="231">
        <v>96391</v>
      </c>
      <c r="H1078" s="230"/>
      <c r="K1078" s="230"/>
      <c r="P1078" s="230"/>
    </row>
    <row r="1079" spans="1:16">
      <c r="A1079" s="53"/>
      <c r="B1079" s="135" t="s">
        <v>2083</v>
      </c>
      <c r="C1079" s="231">
        <v>99221</v>
      </c>
      <c r="H1079" s="230"/>
      <c r="K1079" s="230"/>
      <c r="P1079" s="230"/>
    </row>
    <row r="1080" spans="1:16">
      <c r="A1080" s="53"/>
      <c r="B1080" s="135" t="s">
        <v>2084</v>
      </c>
      <c r="C1080" s="231">
        <v>91051</v>
      </c>
      <c r="H1080" s="230"/>
      <c r="K1080" s="230"/>
      <c r="P1080" s="230"/>
    </row>
    <row r="1081" spans="1:16">
      <c r="A1081" s="231"/>
      <c r="B1081" s="135" t="s">
        <v>897</v>
      </c>
      <c r="C1081" s="231">
        <v>91701</v>
      </c>
      <c r="H1081" s="230"/>
      <c r="K1081" s="230"/>
      <c r="P1081" s="230"/>
    </row>
    <row r="1082" spans="1:16">
      <c r="A1082" s="231"/>
      <c r="B1082" s="135" t="s">
        <v>898</v>
      </c>
      <c r="C1082" s="231">
        <v>91704</v>
      </c>
      <c r="H1082" s="230"/>
      <c r="K1082" s="230"/>
      <c r="P1082" s="230"/>
    </row>
    <row r="1083" spans="1:16">
      <c r="A1083" s="231"/>
      <c r="B1083" s="135" t="s">
        <v>2782</v>
      </c>
      <c r="C1083" s="231">
        <v>91706</v>
      </c>
      <c r="H1083" s="230"/>
      <c r="K1083" s="230"/>
      <c r="P1083" s="230"/>
    </row>
    <row r="1084" spans="1:16">
      <c r="A1084" s="231"/>
      <c r="B1084" s="135" t="s">
        <v>2085</v>
      </c>
      <c r="C1084" s="231">
        <v>91881</v>
      </c>
      <c r="H1084" s="230"/>
      <c r="K1084" s="230"/>
      <c r="P1084" s="230"/>
    </row>
    <row r="1085" spans="1:16">
      <c r="A1085" s="231"/>
      <c r="B1085" s="135" t="s">
        <v>901</v>
      </c>
      <c r="C1085" s="231">
        <v>91801</v>
      </c>
      <c r="H1085" s="230"/>
      <c r="K1085" s="230"/>
      <c r="P1085" s="230"/>
    </row>
    <row r="1086" spans="1:16">
      <c r="A1086" s="231"/>
      <c r="B1086" s="135" t="s">
        <v>902</v>
      </c>
      <c r="C1086" s="231">
        <v>91804</v>
      </c>
      <c r="H1086" s="230"/>
      <c r="K1086" s="230"/>
      <c r="P1086" s="230"/>
    </row>
    <row r="1087" spans="1:16">
      <c r="A1087" s="231"/>
      <c r="B1087" s="135" t="s">
        <v>2086</v>
      </c>
      <c r="C1087" s="231">
        <v>91691</v>
      </c>
      <c r="H1087" s="230"/>
      <c r="K1087" s="230"/>
      <c r="P1087" s="230"/>
    </row>
    <row r="1088" spans="1:16">
      <c r="A1088" s="231"/>
      <c r="B1088" s="135" t="s">
        <v>1554</v>
      </c>
      <c r="C1088" s="231">
        <v>99222</v>
      </c>
      <c r="H1088" s="230"/>
      <c r="K1088" s="230"/>
      <c r="P1088" s="230"/>
    </row>
    <row r="1089" spans="1:16">
      <c r="A1089" s="231"/>
      <c r="B1089" s="135" t="s">
        <v>1043</v>
      </c>
      <c r="C1089" s="231">
        <v>93408</v>
      </c>
      <c r="H1089" s="230"/>
      <c r="K1089" s="230"/>
      <c r="P1089" s="230"/>
    </row>
    <row r="1090" spans="1:16">
      <c r="A1090" s="231"/>
      <c r="B1090" s="135" t="s">
        <v>1258</v>
      </c>
      <c r="C1090" s="231">
        <v>96009</v>
      </c>
      <c r="H1090" s="230"/>
      <c r="K1090" s="230"/>
      <c r="P1090" s="230"/>
    </row>
    <row r="1091" spans="1:16">
      <c r="A1091" s="231"/>
      <c r="B1091" s="135" t="s">
        <v>2087</v>
      </c>
      <c r="C1091" s="231">
        <v>92441</v>
      </c>
      <c r="H1091" s="230"/>
      <c r="K1091" s="230"/>
      <c r="P1091" s="230"/>
    </row>
    <row r="1092" spans="1:16">
      <c r="A1092" s="231"/>
      <c r="B1092" s="135" t="s">
        <v>2088</v>
      </c>
      <c r="C1092" s="231">
        <v>96811</v>
      </c>
      <c r="H1092" s="230"/>
      <c r="K1092" s="230"/>
      <c r="P1092" s="230"/>
    </row>
    <row r="1093" spans="1:16">
      <c r="A1093" s="231"/>
      <c r="B1093" s="135" t="s">
        <v>1956</v>
      </c>
      <c r="C1093" s="231">
        <v>96011</v>
      </c>
      <c r="H1093" s="230"/>
      <c r="K1093" s="230"/>
      <c r="P1093" s="230"/>
    </row>
    <row r="1094" spans="1:16">
      <c r="A1094" s="231"/>
      <c r="B1094" s="135" t="s">
        <v>1261</v>
      </c>
      <c r="C1094" s="231">
        <v>96018</v>
      </c>
      <c r="H1094" s="230"/>
      <c r="K1094" s="230"/>
      <c r="P1094" s="230"/>
    </row>
    <row r="1095" spans="1:16">
      <c r="A1095" s="231"/>
      <c r="B1095" s="135" t="s">
        <v>1254</v>
      </c>
      <c r="C1095" s="231">
        <v>96003</v>
      </c>
      <c r="H1095" s="230"/>
      <c r="K1095" s="230"/>
      <c r="P1095" s="230"/>
    </row>
    <row r="1096" spans="1:16">
      <c r="A1096" s="231"/>
      <c r="B1096" s="135" t="s">
        <v>1256</v>
      </c>
      <c r="C1096" s="231">
        <v>96005</v>
      </c>
      <c r="H1096" s="230"/>
      <c r="K1096" s="230"/>
      <c r="P1096" s="230"/>
    </row>
    <row r="1097" spans="1:16">
      <c r="A1097" s="231"/>
      <c r="B1097" s="135" t="s">
        <v>1260</v>
      </c>
      <c r="C1097" s="231">
        <v>96012</v>
      </c>
      <c r="H1097" s="230"/>
      <c r="K1097" s="230"/>
      <c r="P1097" s="230"/>
    </row>
    <row r="1098" spans="1:16">
      <c r="A1098" s="231"/>
      <c r="B1098" s="135" t="s">
        <v>915</v>
      </c>
      <c r="C1098" s="231">
        <v>91901</v>
      </c>
      <c r="H1098" s="230"/>
      <c r="K1098" s="230"/>
      <c r="P1098" s="230"/>
    </row>
    <row r="1099" spans="1:16">
      <c r="A1099" s="231"/>
      <c r="B1099" s="135" t="s">
        <v>917</v>
      </c>
      <c r="C1099" s="231">
        <v>91904</v>
      </c>
      <c r="H1099" s="230"/>
      <c r="K1099" s="230"/>
      <c r="P1099" s="230"/>
    </row>
    <row r="1100" spans="1:16">
      <c r="A1100" s="231"/>
      <c r="B1100" s="135" t="s">
        <v>2783</v>
      </c>
      <c r="C1100" s="231">
        <v>91903</v>
      </c>
      <c r="H1100" s="230"/>
      <c r="K1100" s="230"/>
      <c r="P1100" s="230"/>
    </row>
    <row r="1101" spans="1:16">
      <c r="A1101" s="231"/>
      <c r="B1101" s="135" t="s">
        <v>922</v>
      </c>
      <c r="C1101" s="231">
        <v>92001</v>
      </c>
      <c r="H1101" s="230"/>
      <c r="K1101" s="230"/>
      <c r="P1101" s="230"/>
    </row>
    <row r="1102" spans="1:16">
      <c r="A1102" s="231"/>
      <c r="B1102" s="135" t="s">
        <v>1957</v>
      </c>
      <c r="C1102" s="231">
        <v>93641</v>
      </c>
      <c r="H1102" s="230"/>
      <c r="K1102" s="230"/>
      <c r="P1102" s="230"/>
    </row>
    <row r="1103" spans="1:16">
      <c r="A1103" s="231"/>
      <c r="B1103" s="135" t="s">
        <v>1073</v>
      </c>
      <c r="C1103" s="231">
        <v>93647</v>
      </c>
      <c r="H1103" s="230"/>
      <c r="K1103" s="230"/>
      <c r="P1103" s="230"/>
    </row>
    <row r="1104" spans="1:16">
      <c r="A1104" s="231"/>
      <c r="B1104" s="135" t="s">
        <v>2089</v>
      </c>
      <c r="C1104" s="231">
        <v>98041</v>
      </c>
      <c r="H1104" s="230"/>
      <c r="K1104" s="230"/>
      <c r="P1104" s="230"/>
    </row>
    <row r="1105" spans="1:16">
      <c r="A1105" s="231"/>
      <c r="B1105" s="135" t="s">
        <v>2767</v>
      </c>
      <c r="C1105" s="231">
        <v>96612</v>
      </c>
      <c r="H1105" s="230"/>
      <c r="K1105" s="230"/>
      <c r="P1105" s="230"/>
    </row>
    <row r="1106" spans="1:16">
      <c r="A1106" s="231"/>
      <c r="B1106" s="135" t="s">
        <v>2090</v>
      </c>
      <c r="C1106" s="231">
        <v>90751</v>
      </c>
      <c r="H1106" s="230"/>
      <c r="K1106" s="230"/>
      <c r="P1106" s="230"/>
    </row>
    <row r="1107" spans="1:16">
      <c r="A1107" s="231"/>
      <c r="B1107" s="135" t="s">
        <v>927</v>
      </c>
      <c r="C1107" s="231">
        <v>92101</v>
      </c>
      <c r="H1107" s="230"/>
      <c r="K1107" s="230"/>
      <c r="P1107" s="230"/>
    </row>
    <row r="1108" spans="1:16">
      <c r="A1108" s="231"/>
      <c r="B1108" s="135" t="s">
        <v>928</v>
      </c>
      <c r="C1108" s="231">
        <v>92104</v>
      </c>
      <c r="H1108" s="230"/>
      <c r="K1108" s="230"/>
      <c r="P1108" s="230"/>
    </row>
    <row r="1109" spans="1:16">
      <c r="A1109" s="231"/>
      <c r="B1109" s="135" t="s">
        <v>1958</v>
      </c>
      <c r="C1109" s="231">
        <v>91821</v>
      </c>
      <c r="H1109" s="230"/>
      <c r="K1109" s="230"/>
      <c r="P1109" s="230"/>
    </row>
    <row r="1110" spans="1:16">
      <c r="A1110" s="231"/>
      <c r="B1110" s="135" t="s">
        <v>2091</v>
      </c>
      <c r="C1110" s="231">
        <v>90931</v>
      </c>
      <c r="H1110" s="230"/>
      <c r="K1110" s="230"/>
      <c r="P1110" s="230"/>
    </row>
    <row r="1111" spans="1:16">
      <c r="A1111" s="231"/>
      <c r="B1111" s="135" t="s">
        <v>932</v>
      </c>
      <c r="C1111" s="231">
        <v>92201</v>
      </c>
      <c r="H1111" s="230"/>
      <c r="K1111" s="230"/>
      <c r="P1111" s="230"/>
    </row>
    <row r="1112" spans="1:16">
      <c r="A1112" s="231"/>
      <c r="B1112" s="254" t="s">
        <v>1931</v>
      </c>
      <c r="C1112" s="231">
        <v>92214</v>
      </c>
      <c r="H1112" s="230"/>
      <c r="K1112" s="230"/>
      <c r="P1112" s="230"/>
    </row>
    <row r="1113" spans="1:16">
      <c r="A1113" s="231"/>
      <c r="B1113" s="135" t="s">
        <v>2092</v>
      </c>
      <c r="C1113" s="231">
        <v>95131</v>
      </c>
      <c r="H1113" s="230"/>
      <c r="K1113" s="230"/>
      <c r="P1113" s="230"/>
    </row>
    <row r="1114" spans="1:16">
      <c r="A1114" s="231"/>
      <c r="B1114" s="135" t="s">
        <v>2501</v>
      </c>
      <c r="C1114" s="231">
        <v>93441</v>
      </c>
      <c r="H1114" s="230"/>
      <c r="K1114" s="230"/>
      <c r="P1114" s="230"/>
    </row>
    <row r="1115" spans="1:16">
      <c r="A1115" s="231"/>
      <c r="B1115" s="135" t="s">
        <v>1050</v>
      </c>
      <c r="C1115" s="231">
        <v>93442</v>
      </c>
      <c r="H1115" s="230"/>
      <c r="K1115" s="230"/>
      <c r="P1115" s="230"/>
    </row>
    <row r="1116" spans="1:16">
      <c r="A1116" s="231"/>
      <c r="B1116" s="135" t="s">
        <v>2093</v>
      </c>
      <c r="C1116" s="231">
        <v>98091</v>
      </c>
      <c r="H1116" s="230"/>
      <c r="K1116" s="230"/>
      <c r="P1116" s="230"/>
    </row>
    <row r="1117" spans="1:16">
      <c r="A1117" s="231"/>
      <c r="B1117" s="135" t="s">
        <v>933</v>
      </c>
      <c r="C1117" s="231">
        <v>92301</v>
      </c>
      <c r="H1117" s="230"/>
      <c r="K1117" s="230"/>
      <c r="P1117" s="230"/>
    </row>
    <row r="1118" spans="1:16">
      <c r="A1118" s="231"/>
      <c r="B1118" s="135" t="s">
        <v>934</v>
      </c>
      <c r="C1118" s="231">
        <v>92302</v>
      </c>
      <c r="H1118" s="230"/>
      <c r="K1118" s="230"/>
      <c r="P1118" s="230"/>
    </row>
    <row r="1119" spans="1:16">
      <c r="A1119" s="231"/>
      <c r="B1119" s="135" t="s">
        <v>1959</v>
      </c>
      <c r="C1119" s="231">
        <v>98211</v>
      </c>
      <c r="H1119" s="230"/>
      <c r="K1119" s="230"/>
      <c r="P1119" s="230"/>
    </row>
    <row r="1120" spans="1:16">
      <c r="A1120" s="231"/>
      <c r="B1120" s="135" t="s">
        <v>1473</v>
      </c>
      <c r="C1120" s="231">
        <v>98218</v>
      </c>
      <c r="H1120" s="230"/>
      <c r="K1120" s="230"/>
      <c r="P1120" s="230"/>
    </row>
    <row r="1121" spans="1:16">
      <c r="A1121" s="231"/>
      <c r="B1121" s="135" t="s">
        <v>957</v>
      </c>
      <c r="C1121" s="231">
        <v>92506</v>
      </c>
      <c r="H1121" s="230"/>
      <c r="K1121" s="230"/>
      <c r="P1121" s="230"/>
    </row>
    <row r="1122" spans="1:16">
      <c r="A1122" s="231"/>
      <c r="B1122" s="135" t="s">
        <v>2760</v>
      </c>
      <c r="C1122" s="231">
        <v>92508</v>
      </c>
      <c r="H1122" s="230"/>
      <c r="K1122" s="230"/>
      <c r="P1122" s="230"/>
    </row>
    <row r="1123" spans="1:16">
      <c r="A1123" s="231"/>
      <c r="B1123" s="135" t="s">
        <v>2094</v>
      </c>
      <c r="C1123" s="231">
        <v>94341</v>
      </c>
      <c r="H1123" s="230"/>
      <c r="K1123" s="230"/>
      <c r="P1123" s="230"/>
    </row>
    <row r="1124" spans="1:16">
      <c r="A1124" s="231"/>
      <c r="B1124" s="135" t="s">
        <v>2095</v>
      </c>
      <c r="C1124" s="231">
        <v>94641</v>
      </c>
      <c r="H1124" s="230"/>
      <c r="K1124" s="230"/>
      <c r="P1124" s="230"/>
    </row>
    <row r="1125" spans="1:16">
      <c r="A1125" s="231"/>
      <c r="B1125" s="135" t="s">
        <v>2096</v>
      </c>
      <c r="C1125" s="231">
        <v>90813</v>
      </c>
      <c r="H1125" s="230"/>
      <c r="K1125" s="230"/>
      <c r="P1125" s="230"/>
    </row>
    <row r="1126" spans="1:16">
      <c r="A1126" s="231"/>
      <c r="B1126" s="135" t="s">
        <v>1116</v>
      </c>
      <c r="C1126" s="231">
        <v>94168</v>
      </c>
      <c r="H1126" s="230"/>
      <c r="K1126" s="230"/>
      <c r="P1126" s="230"/>
    </row>
    <row r="1127" spans="1:16">
      <c r="A1127" s="231"/>
      <c r="B1127" s="135" t="s">
        <v>2097</v>
      </c>
      <c r="C1127" s="231">
        <v>98911</v>
      </c>
      <c r="H1127" s="230"/>
      <c r="K1127" s="230"/>
      <c r="P1127" s="230"/>
    </row>
    <row r="1128" spans="1:16">
      <c r="A1128" s="231"/>
      <c r="B1128" s="135" t="s">
        <v>2098</v>
      </c>
      <c r="C1128" s="231">
        <v>97521</v>
      </c>
      <c r="H1128" s="230"/>
      <c r="K1128" s="230"/>
      <c r="P1128" s="230"/>
    </row>
    <row r="1129" spans="1:16">
      <c r="A1129" s="231"/>
      <c r="B1129" s="135" t="s">
        <v>1641</v>
      </c>
      <c r="C1129" s="231">
        <v>97527</v>
      </c>
      <c r="H1129" s="230"/>
      <c r="K1129" s="230"/>
      <c r="P1129" s="230"/>
    </row>
    <row r="1130" spans="1:16">
      <c r="A1130" s="231"/>
      <c r="B1130" s="135" t="s">
        <v>942</v>
      </c>
      <c r="C1130" s="231">
        <v>92401</v>
      </c>
      <c r="H1130" s="230"/>
      <c r="K1130" s="230"/>
      <c r="P1130" s="230"/>
    </row>
    <row r="1131" spans="1:16">
      <c r="A1131" s="231"/>
      <c r="B1131" s="135" t="s">
        <v>1960</v>
      </c>
      <c r="C1131" s="231">
        <v>91311</v>
      </c>
      <c r="H1131" s="230"/>
      <c r="K1131" s="230"/>
      <c r="P1131" s="230"/>
    </row>
    <row r="1132" spans="1:16">
      <c r="A1132" s="231"/>
      <c r="B1132" s="135" t="s">
        <v>867</v>
      </c>
      <c r="C1132" s="231">
        <v>91317</v>
      </c>
      <c r="H1132" s="230"/>
      <c r="K1132" s="230"/>
      <c r="P1132" s="230"/>
    </row>
    <row r="1133" spans="1:16">
      <c r="A1133" s="231"/>
      <c r="B1133" s="135" t="s">
        <v>2099</v>
      </c>
      <c r="C1133" s="231">
        <v>91261</v>
      </c>
      <c r="H1133" s="230"/>
      <c r="K1133" s="230"/>
      <c r="P1133" s="230"/>
    </row>
    <row r="1134" spans="1:16">
      <c r="A1134" s="231"/>
      <c r="B1134" s="135" t="s">
        <v>2100</v>
      </c>
      <c r="C1134" s="231">
        <v>91851</v>
      </c>
      <c r="H1134" s="230"/>
      <c r="K1134" s="230"/>
      <c r="P1134" s="230"/>
    </row>
    <row r="1135" spans="1:16">
      <c r="A1135" s="231"/>
      <c r="B1135" s="135" t="s">
        <v>1374</v>
      </c>
      <c r="C1135" s="231">
        <v>97408</v>
      </c>
      <c r="H1135" s="230"/>
      <c r="K1135" s="230"/>
      <c r="P1135" s="230"/>
    </row>
    <row r="1136" spans="1:16">
      <c r="A1136" s="231"/>
      <c r="B1136" s="135" t="s">
        <v>2101</v>
      </c>
      <c r="C1136" s="231">
        <v>96641</v>
      </c>
      <c r="H1136" s="230"/>
      <c r="K1136" s="230"/>
      <c r="P1136" s="230"/>
    </row>
    <row r="1137" spans="1:16">
      <c r="A1137" s="231"/>
      <c r="B1137" s="135" t="s">
        <v>2102</v>
      </c>
      <c r="C1137" s="231">
        <v>93031</v>
      </c>
      <c r="H1137" s="230"/>
      <c r="K1137" s="230"/>
      <c r="P1137" s="230"/>
    </row>
    <row r="1138" spans="1:16">
      <c r="A1138" s="231"/>
      <c r="B1138" s="135" t="s">
        <v>2103</v>
      </c>
      <c r="C1138" s="231">
        <v>96051</v>
      </c>
      <c r="H1138" s="230"/>
      <c r="K1138" s="230"/>
      <c r="P1138" s="230"/>
    </row>
    <row r="1139" spans="1:16">
      <c r="A1139" s="231"/>
      <c r="B1139" s="135" t="s">
        <v>2104</v>
      </c>
      <c r="C1139" s="231">
        <v>92571</v>
      </c>
      <c r="H1139" s="230"/>
      <c r="K1139" s="230"/>
      <c r="P1139" s="230"/>
    </row>
    <row r="1140" spans="1:16">
      <c r="A1140" s="231"/>
      <c r="B1140" s="135" t="s">
        <v>2105</v>
      </c>
      <c r="C1140" s="231">
        <v>93631</v>
      </c>
      <c r="H1140" s="230"/>
      <c r="K1140" s="230"/>
      <c r="P1140" s="230"/>
    </row>
    <row r="1141" spans="1:16">
      <c r="A1141" s="231"/>
      <c r="B1141" s="254" t="s">
        <v>1932</v>
      </c>
      <c r="C1141" s="231">
        <v>93604</v>
      </c>
      <c r="H1141" s="230"/>
      <c r="K1141" s="230"/>
      <c r="P1141" s="230"/>
    </row>
    <row r="1142" spans="1:16">
      <c r="A1142" s="231"/>
      <c r="B1142" s="135" t="s">
        <v>955</v>
      </c>
      <c r="C1142" s="231">
        <v>92504</v>
      </c>
      <c r="H1142" s="230"/>
      <c r="K1142" s="230"/>
      <c r="P1142" s="230"/>
    </row>
    <row r="1143" spans="1:16">
      <c r="A1143" s="231"/>
      <c r="B1143" s="135" t="s">
        <v>953</v>
      </c>
      <c r="C1143" s="231">
        <v>92501</v>
      </c>
      <c r="H1143" s="230"/>
      <c r="K1143" s="230"/>
      <c r="P1143" s="230"/>
    </row>
    <row r="1144" spans="1:16">
      <c r="A1144" s="231"/>
      <c r="B1144" s="135" t="s">
        <v>956</v>
      </c>
      <c r="C1144" s="231">
        <v>92505</v>
      </c>
      <c r="H1144" s="230"/>
      <c r="K1144" s="230"/>
      <c r="P1144" s="230"/>
    </row>
    <row r="1145" spans="1:16">
      <c r="A1145" s="231"/>
      <c r="B1145" s="135" t="s">
        <v>1961</v>
      </c>
      <c r="C1145" s="231">
        <v>93921</v>
      </c>
      <c r="H1145" s="230"/>
      <c r="K1145" s="230"/>
      <c r="P1145" s="230"/>
    </row>
    <row r="1146" spans="1:16">
      <c r="A1146" s="231"/>
      <c r="B1146" s="135" t="s">
        <v>2106</v>
      </c>
      <c r="C1146" s="231">
        <v>99431</v>
      </c>
      <c r="H1146" s="230"/>
      <c r="K1146" s="230"/>
      <c r="P1146" s="230"/>
    </row>
    <row r="1147" spans="1:16">
      <c r="A1147" s="231"/>
      <c r="B1147" s="135" t="s">
        <v>970</v>
      </c>
      <c r="C1147" s="231">
        <v>92604</v>
      </c>
      <c r="H1147" s="230"/>
      <c r="K1147" s="230"/>
      <c r="P1147" s="230"/>
    </row>
    <row r="1148" spans="1:16">
      <c r="A1148" s="231"/>
      <c r="B1148" s="135" t="s">
        <v>968</v>
      </c>
      <c r="C1148" s="231">
        <v>92601</v>
      </c>
      <c r="H1148" s="230"/>
      <c r="K1148" s="230"/>
      <c r="P1148" s="230"/>
    </row>
    <row r="1149" spans="1:16">
      <c r="A1149" s="231"/>
      <c r="B1149" s="135" t="s">
        <v>972</v>
      </c>
      <c r="C1149" s="231">
        <v>92608</v>
      </c>
      <c r="H1149" s="230"/>
      <c r="K1149" s="230"/>
      <c r="P1149" s="230"/>
    </row>
    <row r="1150" spans="1:16">
      <c r="A1150" s="231"/>
      <c r="B1150" s="135" t="s">
        <v>984</v>
      </c>
      <c r="C1150" s="231">
        <v>92704</v>
      </c>
      <c r="H1150" s="230"/>
      <c r="K1150" s="230"/>
      <c r="P1150" s="230"/>
    </row>
    <row r="1151" spans="1:16">
      <c r="A1151" s="231"/>
      <c r="B1151" s="135" t="s">
        <v>983</v>
      </c>
      <c r="C1151" s="231">
        <v>92701</v>
      </c>
      <c r="H1151" s="230"/>
      <c r="K1151" s="230"/>
      <c r="P1151" s="230"/>
    </row>
    <row r="1152" spans="1:16">
      <c r="A1152" s="231"/>
      <c r="B1152" s="135" t="s">
        <v>2107</v>
      </c>
      <c r="C1152" s="231">
        <v>93651</v>
      </c>
      <c r="H1152" s="230"/>
      <c r="K1152" s="230"/>
      <c r="P1152" s="230"/>
    </row>
    <row r="1153" spans="1:16">
      <c r="A1153" s="231"/>
      <c r="B1153" s="135" t="s">
        <v>985</v>
      </c>
      <c r="C1153" s="231">
        <v>92801</v>
      </c>
      <c r="H1153" s="230"/>
      <c r="K1153" s="230"/>
      <c r="P1153" s="230"/>
    </row>
    <row r="1154" spans="1:16">
      <c r="A1154" s="231"/>
      <c r="B1154" s="135" t="s">
        <v>987</v>
      </c>
      <c r="C1154" s="231">
        <v>92804</v>
      </c>
      <c r="H1154" s="230"/>
      <c r="K1154" s="230"/>
      <c r="P1154" s="230"/>
    </row>
    <row r="1155" spans="1:16">
      <c r="A1155" s="231"/>
      <c r="B1155" s="135" t="s">
        <v>986</v>
      </c>
      <c r="C1155" s="231">
        <v>92802</v>
      </c>
      <c r="H1155" s="230"/>
      <c r="K1155" s="230"/>
      <c r="P1155" s="230"/>
    </row>
    <row r="1156" spans="1:16">
      <c r="A1156" s="231"/>
      <c r="B1156" s="135" t="s">
        <v>2108</v>
      </c>
      <c r="C1156" s="231">
        <v>96081</v>
      </c>
      <c r="H1156" s="230"/>
      <c r="K1156" s="230"/>
      <c r="P1156" s="230"/>
    </row>
    <row r="1157" spans="1:16">
      <c r="A1157" s="231"/>
      <c r="B1157" s="135" t="s">
        <v>994</v>
      </c>
      <c r="C1157" s="231">
        <v>92901</v>
      </c>
      <c r="H1157" s="230"/>
      <c r="K1157" s="230"/>
      <c r="P1157" s="230"/>
    </row>
    <row r="1158" spans="1:16">
      <c r="A1158" s="231"/>
      <c r="B1158" s="135" t="s">
        <v>1001</v>
      </c>
      <c r="C1158" s="231">
        <v>93001</v>
      </c>
      <c r="H1158" s="230"/>
      <c r="K1158" s="230"/>
      <c r="P1158" s="230"/>
    </row>
    <row r="1159" spans="1:16">
      <c r="A1159" s="231"/>
      <c r="B1159" s="135" t="s">
        <v>1002</v>
      </c>
      <c r="C1159" s="231">
        <v>93009</v>
      </c>
      <c r="H1159" s="230"/>
      <c r="K1159" s="230"/>
      <c r="P1159" s="230"/>
    </row>
    <row r="1160" spans="1:16">
      <c r="A1160" s="231"/>
      <c r="B1160" s="135" t="s">
        <v>2109</v>
      </c>
      <c r="C1160" s="231">
        <v>92921</v>
      </c>
      <c r="H1160" s="230"/>
      <c r="K1160" s="230"/>
      <c r="P1160" s="230"/>
    </row>
    <row r="1161" spans="1:16">
      <c r="A1161" s="231"/>
      <c r="B1161" s="135" t="s">
        <v>2110</v>
      </c>
      <c r="C1161" s="231">
        <v>98621</v>
      </c>
      <c r="H1161" s="230"/>
      <c r="K1161" s="230"/>
      <c r="P1161" s="230"/>
    </row>
    <row r="1162" spans="1:16">
      <c r="A1162" s="231"/>
      <c r="B1162" s="135" t="s">
        <v>1509</v>
      </c>
      <c r="C1162" s="231">
        <v>98627</v>
      </c>
      <c r="H1162" s="230"/>
      <c r="K1162" s="230"/>
      <c r="P1162" s="230"/>
    </row>
    <row r="1163" spans="1:16">
      <c r="A1163" s="231"/>
      <c r="B1163" s="135" t="s">
        <v>2111</v>
      </c>
      <c r="C1163" s="231">
        <v>91221</v>
      </c>
      <c r="H1163" s="230"/>
      <c r="K1163" s="230"/>
      <c r="P1163" s="230"/>
    </row>
    <row r="1164" spans="1:16">
      <c r="A1164" s="231"/>
      <c r="B1164" s="135" t="s">
        <v>2112</v>
      </c>
      <c r="C1164" s="231">
        <v>92861</v>
      </c>
      <c r="H1164" s="230"/>
      <c r="K1164" s="230"/>
      <c r="P1164" s="230"/>
    </row>
    <row r="1165" spans="1:16">
      <c r="A1165" s="231"/>
      <c r="B1165" s="135" t="s">
        <v>1962</v>
      </c>
      <c r="C1165" s="231">
        <v>94311</v>
      </c>
      <c r="H1165" s="230"/>
      <c r="K1165" s="230"/>
      <c r="P1165" s="230"/>
    </row>
    <row r="1166" spans="1:16">
      <c r="A1166" s="231"/>
      <c r="B1166" s="135" t="s">
        <v>1132</v>
      </c>
      <c r="C1166" s="231">
        <v>94317</v>
      </c>
      <c r="H1166" s="230"/>
      <c r="K1166" s="230"/>
      <c r="P1166" s="230"/>
    </row>
    <row r="1167" spans="1:16">
      <c r="A1167" s="231"/>
      <c r="B1167" s="135" t="s">
        <v>1131</v>
      </c>
      <c r="C1167" s="231">
        <v>94313</v>
      </c>
      <c r="H1167" s="230"/>
      <c r="K1167" s="230"/>
      <c r="P1167" s="230"/>
    </row>
    <row r="1168" spans="1:16">
      <c r="A1168" s="231"/>
      <c r="B1168" s="135" t="s">
        <v>1007</v>
      </c>
      <c r="C1168" s="231">
        <v>93101</v>
      </c>
      <c r="H1168" s="230"/>
      <c r="K1168" s="230"/>
      <c r="P1168" s="230"/>
    </row>
    <row r="1169" spans="1:16">
      <c r="A1169" s="231"/>
      <c r="B1169" s="135" t="s">
        <v>260</v>
      </c>
      <c r="C1169" s="231">
        <v>93103</v>
      </c>
      <c r="H1169" s="230"/>
      <c r="K1169" s="230"/>
      <c r="P1169" s="230"/>
    </row>
    <row r="1170" spans="1:16">
      <c r="A1170" s="231"/>
      <c r="B1170" s="135" t="s">
        <v>1963</v>
      </c>
      <c r="C1170" s="231">
        <v>93211</v>
      </c>
      <c r="H1170" s="230"/>
      <c r="K1170" s="230"/>
      <c r="P1170" s="230"/>
    </row>
    <row r="1171" spans="1:16">
      <c r="A1171" s="231"/>
      <c r="B1171" s="135" t="s">
        <v>1026</v>
      </c>
      <c r="C1171" s="231">
        <v>93212</v>
      </c>
      <c r="H1171" s="230"/>
      <c r="K1171" s="230"/>
      <c r="P1171" s="230"/>
    </row>
    <row r="1172" spans="1:16">
      <c r="A1172" s="231"/>
      <c r="B1172" s="135" t="s">
        <v>1021</v>
      </c>
      <c r="C1172" s="231">
        <v>93201</v>
      </c>
      <c r="H1172" s="230"/>
      <c r="K1172" s="230"/>
      <c r="P1172" s="230"/>
    </row>
    <row r="1173" spans="1:16">
      <c r="A1173" s="231"/>
      <c r="B1173" s="135" t="s">
        <v>1023</v>
      </c>
      <c r="C1173" s="231">
        <v>93204</v>
      </c>
      <c r="H1173" s="230"/>
      <c r="K1173" s="230"/>
      <c r="P1173" s="230"/>
    </row>
    <row r="1174" spans="1:16">
      <c r="A1174" s="231"/>
      <c r="B1174" s="135" t="s">
        <v>1550</v>
      </c>
      <c r="C1174" s="231">
        <v>99212</v>
      </c>
      <c r="H1174" s="230"/>
      <c r="K1174" s="230"/>
      <c r="P1174" s="230"/>
    </row>
    <row r="1175" spans="1:16">
      <c r="A1175" s="231"/>
      <c r="B1175" s="135" t="s">
        <v>1349</v>
      </c>
      <c r="C1175" s="231">
        <v>97005</v>
      </c>
      <c r="H1175" s="230"/>
      <c r="K1175" s="230"/>
      <c r="P1175" s="230"/>
    </row>
    <row r="1176" spans="1:16">
      <c r="A1176" s="231"/>
      <c r="B1176" s="135" t="s">
        <v>2113</v>
      </c>
      <c r="C1176" s="53">
        <v>99931</v>
      </c>
      <c r="H1176" s="230"/>
      <c r="K1176" s="230"/>
      <c r="P1176" s="230"/>
    </row>
    <row r="1177" spans="1:16">
      <c r="A1177" s="231"/>
      <c r="B1177" s="135" t="s">
        <v>2114</v>
      </c>
      <c r="C1177" s="231">
        <v>98021</v>
      </c>
      <c r="H1177" s="230"/>
      <c r="K1177" s="230"/>
      <c r="P1177" s="230"/>
    </row>
    <row r="1178" spans="1:16">
      <c r="A1178" s="231"/>
      <c r="B1178" s="135" t="s">
        <v>1450</v>
      </c>
      <c r="C1178" s="231">
        <v>98023</v>
      </c>
      <c r="H1178" s="230"/>
      <c r="K1178" s="230"/>
      <c r="P1178" s="230"/>
    </row>
    <row r="1179" spans="1:16">
      <c r="A1179" s="231"/>
      <c r="B1179" s="135" t="s">
        <v>2026</v>
      </c>
      <c r="C1179" s="224">
        <v>70505</v>
      </c>
      <c r="H1179" s="230"/>
      <c r="K1179" s="230"/>
      <c r="P1179" s="230"/>
    </row>
    <row r="1180" spans="1:16">
      <c r="A1180" s="231"/>
      <c r="B1180" s="135" t="s">
        <v>2772</v>
      </c>
      <c r="C1180" s="231">
        <v>99603</v>
      </c>
      <c r="H1180" s="230"/>
      <c r="K1180" s="230"/>
      <c r="P1180" s="230"/>
    </row>
    <row r="1181" spans="1:16">
      <c r="A1181" s="231"/>
      <c r="B1181" s="135" t="s">
        <v>1587</v>
      </c>
      <c r="C1181" s="231">
        <v>99610</v>
      </c>
      <c r="H1181" s="230"/>
      <c r="K1181" s="230"/>
      <c r="P1181" s="230"/>
    </row>
    <row r="1182" spans="1:16">
      <c r="A1182" s="231"/>
      <c r="B1182" s="135" t="s">
        <v>2115</v>
      </c>
      <c r="C1182" s="231">
        <v>92681</v>
      </c>
      <c r="H1182" s="230"/>
      <c r="K1182" s="230"/>
      <c r="P1182" s="230"/>
    </row>
    <row r="1183" spans="1:16">
      <c r="A1183" s="231"/>
      <c r="B1183" s="135" t="s">
        <v>1008</v>
      </c>
      <c r="C1183" s="231">
        <v>93108</v>
      </c>
      <c r="H1183" s="230"/>
      <c r="K1183" s="230"/>
      <c r="P1183" s="230"/>
    </row>
    <row r="1184" spans="1:16">
      <c r="A1184" s="231"/>
      <c r="B1184" s="135" t="s">
        <v>1964</v>
      </c>
      <c r="C1184" s="231">
        <v>97951</v>
      </c>
      <c r="H1184" s="230"/>
      <c r="K1184" s="230"/>
      <c r="P1184" s="230"/>
    </row>
    <row r="1185" spans="1:16">
      <c r="A1185" s="231"/>
      <c r="B1185" s="135" t="s">
        <v>1441</v>
      </c>
      <c r="C1185" s="231">
        <v>97957</v>
      </c>
      <c r="H1185" s="230"/>
      <c r="K1185" s="230"/>
      <c r="P1185" s="230"/>
    </row>
    <row r="1186" spans="1:16">
      <c r="A1186" s="231"/>
      <c r="B1186" s="135" t="s">
        <v>2116</v>
      </c>
      <c r="C1186" s="231">
        <v>92111</v>
      </c>
      <c r="H1186" s="230"/>
      <c r="K1186" s="230"/>
      <c r="P1186" s="230"/>
    </row>
    <row r="1187" spans="1:16">
      <c r="A1187" s="231"/>
      <c r="B1187" s="135" t="s">
        <v>1028</v>
      </c>
      <c r="C1187" s="231">
        <v>93301</v>
      </c>
      <c r="H1187" s="230"/>
      <c r="K1187" s="230"/>
      <c r="P1187" s="230"/>
    </row>
    <row r="1188" spans="1:16">
      <c r="A1188" s="231"/>
      <c r="B1188" s="135" t="s">
        <v>1029</v>
      </c>
      <c r="C1188" s="231">
        <v>93304</v>
      </c>
      <c r="H1188" s="230"/>
      <c r="K1188" s="230"/>
      <c r="P1188" s="230"/>
    </row>
    <row r="1189" spans="1:16">
      <c r="A1189" s="231"/>
      <c r="B1189" s="135" t="s">
        <v>1030</v>
      </c>
      <c r="C1189" s="231">
        <v>93305</v>
      </c>
      <c r="H1189" s="230"/>
      <c r="K1189" s="230"/>
      <c r="P1189" s="230"/>
    </row>
    <row r="1190" spans="1:16">
      <c r="A1190" s="231"/>
      <c r="B1190" s="135" t="s">
        <v>1548</v>
      </c>
      <c r="C1190" s="231">
        <v>99210</v>
      </c>
      <c r="H1190" s="230"/>
      <c r="K1190" s="230"/>
      <c r="P1190" s="230"/>
    </row>
    <row r="1191" spans="1:16">
      <c r="A1191" s="231"/>
      <c r="B1191" s="135" t="s">
        <v>1352</v>
      </c>
      <c r="C1191" s="231">
        <v>97011</v>
      </c>
      <c r="H1191" s="230"/>
      <c r="K1191" s="230"/>
      <c r="P1191" s="230"/>
    </row>
    <row r="1192" spans="1:16">
      <c r="A1192" s="231"/>
      <c r="B1192" s="135" t="s">
        <v>1354</v>
      </c>
      <c r="C1192" s="231">
        <v>97013</v>
      </c>
      <c r="H1192" s="230"/>
      <c r="K1192" s="230"/>
      <c r="P1192" s="230"/>
    </row>
    <row r="1193" spans="1:16">
      <c r="A1193" s="231"/>
      <c r="B1193" s="135" t="s">
        <v>2768</v>
      </c>
      <c r="C1193" s="231">
        <v>97012</v>
      </c>
      <c r="H1193" s="230"/>
      <c r="K1193" s="230"/>
      <c r="P1193" s="230"/>
    </row>
    <row r="1194" spans="1:16">
      <c r="A1194" s="231"/>
      <c r="B1194" s="135" t="s">
        <v>1356</v>
      </c>
      <c r="C1194" s="231">
        <v>97018</v>
      </c>
      <c r="H1194" s="230"/>
      <c r="K1194" s="230"/>
      <c r="P1194" s="230"/>
    </row>
    <row r="1195" spans="1:16">
      <c r="A1195" s="231"/>
      <c r="B1195" s="135" t="s">
        <v>2117</v>
      </c>
      <c r="C1195" s="231">
        <v>90911</v>
      </c>
      <c r="H1195" s="230"/>
      <c r="K1195" s="230"/>
      <c r="P1195" s="230"/>
    </row>
    <row r="1196" spans="1:16">
      <c r="A1196" s="231"/>
      <c r="B1196" s="135" t="s">
        <v>794</v>
      </c>
      <c r="C1196" s="231">
        <v>90917</v>
      </c>
      <c r="H1196" s="230"/>
      <c r="K1196" s="230"/>
      <c r="P1196" s="230"/>
    </row>
    <row r="1197" spans="1:16">
      <c r="A1197" s="231"/>
      <c r="B1197" s="135" t="s">
        <v>2118</v>
      </c>
      <c r="C1197" s="231">
        <v>90641</v>
      </c>
      <c r="H1197" s="230"/>
      <c r="K1197" s="230"/>
      <c r="P1197" s="230"/>
    </row>
    <row r="1198" spans="1:16">
      <c r="A1198" s="231"/>
      <c r="B1198" s="135" t="s">
        <v>2119</v>
      </c>
      <c r="C1198" s="231">
        <v>98641</v>
      </c>
      <c r="H1198" s="230"/>
      <c r="K1198" s="230"/>
      <c r="P1198" s="230"/>
    </row>
    <row r="1199" spans="1:16">
      <c r="A1199" s="231"/>
      <c r="B1199" s="135" t="s">
        <v>3523</v>
      </c>
      <c r="C1199" s="231" t="s">
        <v>3521</v>
      </c>
      <c r="H1199" s="230"/>
      <c r="K1199" s="230"/>
      <c r="P1199" s="230"/>
    </row>
    <row r="1200" spans="1:16">
      <c r="A1200" s="231"/>
      <c r="B1200" s="135" t="s">
        <v>2120</v>
      </c>
      <c r="C1200" s="231">
        <v>98161</v>
      </c>
      <c r="H1200" s="230"/>
      <c r="K1200" s="230"/>
      <c r="P1200" s="230"/>
    </row>
    <row r="1201" spans="1:16">
      <c r="A1201" s="231"/>
      <c r="B1201" s="135" t="s">
        <v>2121</v>
      </c>
      <c r="C1201" s="231">
        <v>97731</v>
      </c>
      <c r="H1201" s="230"/>
      <c r="K1201" s="230"/>
      <c r="P1201" s="230"/>
    </row>
    <row r="1202" spans="1:16">
      <c r="A1202" s="231"/>
      <c r="B1202" s="135" t="s">
        <v>2122</v>
      </c>
      <c r="C1202" s="53">
        <v>99851</v>
      </c>
      <c r="H1202" s="230"/>
      <c r="K1202" s="230"/>
      <c r="P1202" s="230"/>
    </row>
    <row r="1203" spans="1:16">
      <c r="A1203" s="231"/>
      <c r="B1203" s="135" t="s">
        <v>2123</v>
      </c>
      <c r="C1203" s="231">
        <v>90131</v>
      </c>
      <c r="H1203" s="230"/>
      <c r="K1203" s="230"/>
      <c r="P1203" s="230"/>
    </row>
    <row r="1204" spans="1:16">
      <c r="A1204" s="231"/>
      <c r="B1204" s="135" t="s">
        <v>2124</v>
      </c>
      <c r="C1204" s="231">
        <v>91651</v>
      </c>
      <c r="H1204" s="230"/>
      <c r="K1204" s="230"/>
      <c r="P1204" s="230"/>
    </row>
    <row r="1205" spans="1:16">
      <c r="A1205" s="231"/>
      <c r="B1205" s="135" t="s">
        <v>2125</v>
      </c>
      <c r="C1205" s="231">
        <v>94211</v>
      </c>
      <c r="H1205" s="230"/>
      <c r="K1205" s="230"/>
      <c r="P1205" s="230"/>
    </row>
    <row r="1206" spans="1:16">
      <c r="A1206" s="231"/>
      <c r="B1206" s="135" t="s">
        <v>2126</v>
      </c>
      <c r="C1206" s="231">
        <v>94331</v>
      </c>
      <c r="H1206" s="230"/>
      <c r="K1206" s="230"/>
      <c r="P1206" s="230"/>
    </row>
    <row r="1207" spans="1:16">
      <c r="A1207" s="231"/>
      <c r="B1207" s="135" t="s">
        <v>2127</v>
      </c>
      <c r="C1207" s="231">
        <v>92431</v>
      </c>
      <c r="H1207" s="230"/>
      <c r="K1207" s="230"/>
      <c r="P1207" s="230"/>
    </row>
    <row r="1208" spans="1:16">
      <c r="A1208" s="231"/>
      <c r="B1208" s="135" t="s">
        <v>2128</v>
      </c>
      <c r="C1208" s="231">
        <v>97821</v>
      </c>
      <c r="H1208" s="230"/>
      <c r="K1208" s="230"/>
      <c r="P1208" s="230"/>
    </row>
    <row r="1209" spans="1:16">
      <c r="A1209" s="231"/>
      <c r="B1209" s="135" t="s">
        <v>1420</v>
      </c>
      <c r="C1209" s="231">
        <v>97823</v>
      </c>
      <c r="H1209" s="230"/>
      <c r="K1209" s="230"/>
      <c r="P1209" s="230"/>
    </row>
    <row r="1210" spans="1:16">
      <c r="A1210" s="231"/>
      <c r="B1210" s="135" t="s">
        <v>2129</v>
      </c>
      <c r="C1210" s="231">
        <v>93141</v>
      </c>
      <c r="H1210" s="230"/>
      <c r="K1210" s="230"/>
      <c r="P1210" s="230"/>
    </row>
    <row r="1211" spans="1:16">
      <c r="A1211" s="231"/>
      <c r="B1211" s="135" t="s">
        <v>2130</v>
      </c>
      <c r="C1211" s="231">
        <v>98081</v>
      </c>
      <c r="H1211" s="230"/>
      <c r="K1211" s="230"/>
      <c r="P1211" s="230"/>
    </row>
    <row r="1212" spans="1:16">
      <c r="A1212" s="231"/>
      <c r="B1212" s="135" t="s">
        <v>2131</v>
      </c>
      <c r="C1212" s="231">
        <v>92671</v>
      </c>
      <c r="H1212" s="230"/>
      <c r="K1212" s="230"/>
      <c r="P1212" s="230"/>
    </row>
    <row r="1213" spans="1:16">
      <c r="A1213" s="231"/>
      <c r="B1213" s="135" t="s">
        <v>2132</v>
      </c>
      <c r="C1213" s="231">
        <v>97421</v>
      </c>
      <c r="H1213" s="230"/>
      <c r="K1213" s="230"/>
      <c r="P1213" s="230"/>
    </row>
    <row r="1214" spans="1:16">
      <c r="A1214" s="231"/>
      <c r="B1214" s="135" t="s">
        <v>1379</v>
      </c>
      <c r="C1214" s="231">
        <v>97423</v>
      </c>
      <c r="H1214" s="230"/>
      <c r="K1214" s="230"/>
      <c r="P1214" s="230"/>
    </row>
    <row r="1215" spans="1:16">
      <c r="A1215" s="231"/>
      <c r="B1215" s="135" t="s">
        <v>1965</v>
      </c>
      <c r="C1215" s="231">
        <v>92611</v>
      </c>
      <c r="H1215" s="230"/>
      <c r="K1215" s="230"/>
      <c r="P1215" s="230"/>
    </row>
    <row r="1216" spans="1:16">
      <c r="A1216" s="231"/>
      <c r="B1216" s="135" t="s">
        <v>2761</v>
      </c>
      <c r="C1216" s="231">
        <v>92613</v>
      </c>
      <c r="H1216" s="230"/>
      <c r="K1216" s="230"/>
      <c r="P1216" s="230"/>
    </row>
    <row r="1217" spans="1:16">
      <c r="A1217" s="231"/>
      <c r="B1217" s="135" t="s">
        <v>2794</v>
      </c>
      <c r="C1217" s="231">
        <v>92614</v>
      </c>
      <c r="H1217" s="230"/>
      <c r="K1217" s="230"/>
      <c r="P1217" s="230"/>
    </row>
    <row r="1218" spans="1:16">
      <c r="A1218" s="231"/>
      <c r="B1218" s="135" t="s">
        <v>954</v>
      </c>
      <c r="C1218" s="231">
        <v>92502</v>
      </c>
      <c r="H1218" s="230"/>
      <c r="K1218" s="230"/>
      <c r="P1218" s="230"/>
    </row>
    <row r="1219" spans="1:16">
      <c r="A1219" s="231"/>
      <c r="B1219" s="135" t="s">
        <v>2502</v>
      </c>
      <c r="C1219" s="231">
        <v>94531</v>
      </c>
      <c r="H1219" s="230"/>
      <c r="K1219" s="230"/>
      <c r="P1219" s="230"/>
    </row>
    <row r="1220" spans="1:16">
      <c r="A1220" s="231"/>
      <c r="B1220" s="135" t="s">
        <v>2503</v>
      </c>
      <c r="C1220" s="231">
        <v>94541</v>
      </c>
      <c r="H1220" s="230"/>
      <c r="K1220" s="230"/>
      <c r="P1220" s="230"/>
    </row>
    <row r="1221" spans="1:16">
      <c r="A1221" s="231"/>
      <c r="B1221" s="135" t="s">
        <v>1158</v>
      </c>
      <c r="C1221" s="231">
        <v>94547</v>
      </c>
      <c r="H1221" s="230"/>
      <c r="K1221" s="230"/>
      <c r="P1221" s="230"/>
    </row>
    <row r="1222" spans="1:16">
      <c r="A1222" s="231"/>
      <c r="B1222" s="135" t="s">
        <v>1184</v>
      </c>
      <c r="C1222" s="231">
        <v>95005</v>
      </c>
      <c r="H1222" s="230"/>
      <c r="K1222" s="230"/>
      <c r="P1222" s="230"/>
    </row>
    <row r="1223" spans="1:16">
      <c r="A1223" s="231"/>
      <c r="B1223" s="135" t="s">
        <v>2504</v>
      </c>
      <c r="C1223" s="231">
        <v>98111</v>
      </c>
      <c r="H1223" s="230"/>
      <c r="K1223" s="230"/>
      <c r="P1223" s="230"/>
    </row>
    <row r="1224" spans="1:16">
      <c r="A1224" s="231"/>
      <c r="B1224" s="135" t="s">
        <v>1461</v>
      </c>
      <c r="C1224" s="231">
        <v>98107</v>
      </c>
      <c r="H1224" s="230"/>
      <c r="K1224" s="230"/>
      <c r="P1224" s="230"/>
    </row>
    <row r="1225" spans="1:16">
      <c r="A1225" s="231"/>
      <c r="B1225" s="135" t="s">
        <v>1464</v>
      </c>
      <c r="C1225" s="231">
        <v>98113</v>
      </c>
      <c r="H1225" s="230"/>
      <c r="K1225" s="230"/>
      <c r="P1225" s="230"/>
    </row>
    <row r="1226" spans="1:16">
      <c r="A1226" s="231"/>
      <c r="B1226" s="135" t="s">
        <v>1583</v>
      </c>
      <c r="C1226" s="231">
        <v>99602</v>
      </c>
      <c r="H1226" s="230"/>
      <c r="K1226" s="230"/>
      <c r="P1226" s="230"/>
    </row>
    <row r="1227" spans="1:16">
      <c r="A1227" s="231"/>
      <c r="B1227" s="135" t="s">
        <v>1040</v>
      </c>
      <c r="C1227" s="231">
        <v>93401</v>
      </c>
      <c r="H1227" s="230"/>
      <c r="K1227" s="230"/>
      <c r="P1227" s="230"/>
    </row>
    <row r="1228" spans="1:16">
      <c r="A1228" s="231"/>
      <c r="B1228" s="135" t="s">
        <v>3509</v>
      </c>
      <c r="C1228" s="231">
        <v>97491</v>
      </c>
      <c r="H1228" s="230"/>
      <c r="K1228" s="230"/>
      <c r="P1228" s="230"/>
    </row>
    <row r="1229" spans="1:16">
      <c r="A1229" s="231"/>
      <c r="B1229" s="135" t="s">
        <v>2505</v>
      </c>
      <c r="C1229" s="231">
        <v>95151</v>
      </c>
      <c r="H1229" s="230"/>
      <c r="K1229" s="230"/>
      <c r="P1229" s="230"/>
    </row>
    <row r="1230" spans="1:16">
      <c r="A1230" s="231"/>
      <c r="B1230" s="135" t="s">
        <v>1294</v>
      </c>
      <c r="C1230" s="231">
        <v>96381</v>
      </c>
      <c r="H1230" s="230"/>
      <c r="K1230" s="230"/>
      <c r="P1230" s="230"/>
    </row>
    <row r="1231" spans="1:16">
      <c r="A1231" s="231"/>
      <c r="B1231" s="135" t="s">
        <v>2506</v>
      </c>
      <c r="C1231" s="231">
        <v>95611</v>
      </c>
      <c r="H1231" s="230"/>
      <c r="K1231" s="230"/>
      <c r="P1231" s="230"/>
    </row>
    <row r="1232" spans="1:16">
      <c r="A1232" s="231"/>
      <c r="B1232" s="135" t="s">
        <v>1054</v>
      </c>
      <c r="C1232" s="231">
        <v>93501</v>
      </c>
      <c r="H1232" s="230"/>
      <c r="K1232" s="230"/>
      <c r="P1232" s="230"/>
    </row>
    <row r="1233" spans="1:16">
      <c r="A1233" s="231"/>
      <c r="B1233" s="135" t="s">
        <v>2507</v>
      </c>
      <c r="C1233" s="231">
        <v>93511</v>
      </c>
      <c r="H1233" s="230"/>
      <c r="K1233" s="230"/>
      <c r="P1233" s="230"/>
    </row>
    <row r="1234" spans="1:16">
      <c r="A1234" s="231"/>
      <c r="B1234" s="135" t="s">
        <v>1056</v>
      </c>
      <c r="C1234" s="231">
        <v>93517</v>
      </c>
      <c r="H1234" s="230"/>
      <c r="K1234" s="230"/>
      <c r="P1234" s="230"/>
    </row>
    <row r="1235" spans="1:16">
      <c r="A1235" s="231"/>
      <c r="B1235" s="135" t="s">
        <v>2508</v>
      </c>
      <c r="C1235" s="231">
        <v>99631</v>
      </c>
      <c r="H1235" s="230"/>
      <c r="K1235" s="230"/>
      <c r="P1235" s="230"/>
    </row>
    <row r="1236" spans="1:16">
      <c r="A1236" s="231"/>
      <c r="B1236" s="135" t="s">
        <v>2509</v>
      </c>
      <c r="C1236" s="231">
        <v>99261</v>
      </c>
      <c r="H1236" s="230"/>
      <c r="K1236" s="230"/>
      <c r="P1236" s="230"/>
    </row>
    <row r="1237" spans="1:16">
      <c r="A1237" s="231"/>
      <c r="B1237" s="135" t="s">
        <v>2510</v>
      </c>
      <c r="C1237" s="231">
        <v>98241</v>
      </c>
      <c r="H1237" s="230"/>
      <c r="K1237" s="230"/>
      <c r="P1237" s="230"/>
    </row>
    <row r="1238" spans="1:16">
      <c r="A1238" s="231"/>
      <c r="B1238" s="135" t="s">
        <v>2511</v>
      </c>
      <c r="C1238" s="231">
        <v>99251</v>
      </c>
      <c r="H1238" s="230"/>
      <c r="K1238" s="230"/>
      <c r="P1238" s="230"/>
    </row>
    <row r="1239" spans="1:16">
      <c r="A1239" s="231"/>
      <c r="B1239" s="135" t="s">
        <v>1558</v>
      </c>
      <c r="C1239" s="231">
        <v>99252</v>
      </c>
      <c r="H1239" s="230"/>
      <c r="K1239" s="230"/>
      <c r="P1239" s="230"/>
    </row>
    <row r="1240" spans="1:16">
      <c r="A1240" s="231"/>
      <c r="B1240" s="135" t="s">
        <v>2512</v>
      </c>
      <c r="C1240" s="231">
        <v>96631</v>
      </c>
      <c r="H1240" s="230"/>
      <c r="K1240" s="230"/>
      <c r="P1240" s="230"/>
    </row>
    <row r="1241" spans="1:16">
      <c r="A1241" s="231"/>
      <c r="B1241" s="135" t="s">
        <v>2513</v>
      </c>
      <c r="C1241" s="231">
        <v>96651</v>
      </c>
      <c r="H1241" s="230"/>
      <c r="K1241" s="230"/>
      <c r="P1241" s="230"/>
    </row>
    <row r="1242" spans="1:16">
      <c r="A1242" s="231"/>
      <c r="B1242" s="135" t="s">
        <v>1062</v>
      </c>
      <c r="C1242" s="231">
        <v>93601</v>
      </c>
      <c r="H1242" s="230"/>
      <c r="K1242" s="230"/>
      <c r="P1242" s="230"/>
    </row>
    <row r="1243" spans="1:16">
      <c r="A1243" s="231"/>
      <c r="B1243" s="135" t="s">
        <v>1068</v>
      </c>
      <c r="C1243" s="231">
        <v>93618</v>
      </c>
      <c r="H1243" s="230"/>
      <c r="K1243" s="230"/>
      <c r="P1243" s="230"/>
    </row>
    <row r="1244" spans="1:16">
      <c r="A1244" s="231"/>
      <c r="B1244" s="135" t="s">
        <v>1966</v>
      </c>
      <c r="C1244" s="231">
        <v>93611</v>
      </c>
      <c r="H1244" s="230"/>
      <c r="K1244" s="230"/>
      <c r="P1244" s="230"/>
    </row>
    <row r="1245" spans="1:16">
      <c r="A1245" s="231"/>
      <c r="B1245" s="135" t="s">
        <v>1067</v>
      </c>
      <c r="C1245" s="231">
        <v>93617</v>
      </c>
      <c r="H1245" s="230"/>
      <c r="K1245" s="230"/>
      <c r="P1245" s="230"/>
    </row>
    <row r="1246" spans="1:16">
      <c r="A1246" s="231"/>
      <c r="B1246" s="135" t="s">
        <v>1079</v>
      </c>
      <c r="C1246" s="231">
        <v>93701</v>
      </c>
      <c r="H1246" s="230"/>
      <c r="K1246" s="230"/>
      <c r="P1246" s="230"/>
    </row>
    <row r="1247" spans="1:16">
      <c r="A1247" s="231"/>
      <c r="B1247" s="135" t="s">
        <v>1080</v>
      </c>
      <c r="C1247" s="231">
        <v>93704</v>
      </c>
      <c r="H1247" s="230"/>
      <c r="K1247" s="230"/>
      <c r="P1247" s="230"/>
    </row>
    <row r="1248" spans="1:16">
      <c r="A1248" s="231"/>
      <c r="B1248" s="135" t="s">
        <v>2514</v>
      </c>
      <c r="C1248" s="231">
        <v>98331</v>
      </c>
      <c r="H1248" s="230"/>
      <c r="K1248" s="230"/>
      <c r="P1248" s="230"/>
    </row>
    <row r="1249" spans="1:16">
      <c r="A1249" s="231"/>
      <c r="B1249" s="135" t="s">
        <v>2515</v>
      </c>
      <c r="C1249" s="231">
        <v>94151</v>
      </c>
      <c r="H1249" s="230"/>
      <c r="K1249" s="230"/>
      <c r="P1249" s="230"/>
    </row>
    <row r="1250" spans="1:16">
      <c r="A1250" s="231"/>
      <c r="B1250" s="135" t="s">
        <v>1114</v>
      </c>
      <c r="C1250" s="231">
        <v>94157</v>
      </c>
      <c r="H1250" s="230"/>
      <c r="K1250" s="230"/>
      <c r="P1250" s="230"/>
    </row>
    <row r="1251" spans="1:16">
      <c r="A1251" s="231"/>
      <c r="B1251" s="135" t="s">
        <v>2516</v>
      </c>
      <c r="C1251" s="231">
        <v>91241</v>
      </c>
      <c r="H1251" s="230"/>
      <c r="K1251" s="230"/>
      <c r="P1251" s="230"/>
    </row>
    <row r="1252" spans="1:16">
      <c r="A1252" s="231"/>
      <c r="B1252" s="135" t="s">
        <v>1220</v>
      </c>
      <c r="C1252" s="231">
        <v>95412</v>
      </c>
      <c r="H1252" s="230"/>
      <c r="K1252" s="230"/>
      <c r="P1252" s="230"/>
    </row>
    <row r="1253" spans="1:16">
      <c r="A1253" s="231"/>
      <c r="B1253" s="135" t="s">
        <v>1967</v>
      </c>
      <c r="C1253" s="231">
        <v>99611</v>
      </c>
      <c r="H1253" s="230"/>
      <c r="K1253" s="230"/>
      <c r="P1253" s="230"/>
    </row>
    <row r="1254" spans="1:16">
      <c r="A1254" s="231"/>
      <c r="B1254" s="135" t="s">
        <v>2810</v>
      </c>
      <c r="C1254" s="231">
        <v>99613</v>
      </c>
      <c r="H1254" s="230"/>
      <c r="K1254" s="230"/>
      <c r="P1254" s="230"/>
    </row>
    <row r="1255" spans="1:16">
      <c r="A1255" s="231"/>
      <c r="B1255" s="135" t="s">
        <v>918</v>
      </c>
      <c r="C1255" s="231">
        <v>91908</v>
      </c>
      <c r="H1255" s="230"/>
      <c r="K1255" s="230"/>
      <c r="P1255" s="230"/>
    </row>
    <row r="1256" spans="1:16">
      <c r="A1256" s="231"/>
      <c r="B1256" s="135" t="s">
        <v>1969</v>
      </c>
      <c r="C1256" s="231">
        <v>90121</v>
      </c>
      <c r="H1256" s="230"/>
      <c r="K1256" s="230"/>
      <c r="P1256" s="230"/>
    </row>
    <row r="1257" spans="1:16">
      <c r="A1257" s="231"/>
      <c r="B1257" s="135" t="s">
        <v>1082</v>
      </c>
      <c r="C1257" s="231">
        <v>93803</v>
      </c>
      <c r="H1257" s="230"/>
      <c r="K1257" s="230"/>
      <c r="P1257" s="230"/>
    </row>
    <row r="1258" spans="1:16">
      <c r="A1258" s="231"/>
      <c r="B1258" s="135" t="s">
        <v>1081</v>
      </c>
      <c r="C1258" s="231">
        <v>93801</v>
      </c>
      <c r="H1258" s="230"/>
      <c r="K1258" s="230"/>
      <c r="P1258" s="230"/>
    </row>
    <row r="1259" spans="1:16">
      <c r="A1259" s="231"/>
      <c r="B1259" s="135" t="s">
        <v>1083</v>
      </c>
      <c r="C1259" s="231">
        <v>93806</v>
      </c>
      <c r="H1259" s="230"/>
      <c r="K1259" s="230"/>
      <c r="P1259" s="230"/>
    </row>
    <row r="1260" spans="1:16">
      <c r="A1260" s="231"/>
      <c r="B1260" s="135" t="s">
        <v>2517</v>
      </c>
      <c r="C1260" s="231">
        <v>91411</v>
      </c>
      <c r="H1260" s="230"/>
      <c r="K1260" s="230"/>
      <c r="P1260" s="230"/>
    </row>
    <row r="1261" spans="1:16">
      <c r="A1261" s="231"/>
      <c r="B1261" s="135" t="s">
        <v>874</v>
      </c>
      <c r="C1261" s="231">
        <v>91417</v>
      </c>
      <c r="H1261" s="230"/>
      <c r="K1261" s="230"/>
      <c r="P1261" s="230"/>
    </row>
    <row r="1262" spans="1:16">
      <c r="A1262" s="231"/>
      <c r="B1262" s="135" t="s">
        <v>2518</v>
      </c>
      <c r="C1262" s="231">
        <v>98061</v>
      </c>
      <c r="H1262" s="230"/>
      <c r="K1262" s="230"/>
      <c r="P1262" s="230"/>
    </row>
    <row r="1263" spans="1:16">
      <c r="A1263" s="231"/>
      <c r="B1263" s="135" t="s">
        <v>2815</v>
      </c>
      <c r="C1263" s="231">
        <v>93904</v>
      </c>
      <c r="H1263" s="230"/>
      <c r="K1263" s="230"/>
      <c r="P1263" s="230"/>
    </row>
    <row r="1264" spans="1:16">
      <c r="A1264" s="231"/>
      <c r="B1264" s="135" t="s">
        <v>1085</v>
      </c>
      <c r="C1264" s="231">
        <v>93901</v>
      </c>
      <c r="H1264" s="230"/>
      <c r="K1264" s="230"/>
      <c r="P1264" s="230"/>
    </row>
    <row r="1265" spans="1:16">
      <c r="A1265" s="231"/>
      <c r="B1265" s="135" t="s">
        <v>1087</v>
      </c>
      <c r="C1265" s="231">
        <v>93906</v>
      </c>
      <c r="H1265" s="230"/>
      <c r="K1265" s="230"/>
      <c r="P1265" s="230"/>
    </row>
    <row r="1266" spans="1:16">
      <c r="A1266" s="231"/>
      <c r="B1266" s="135" t="s">
        <v>1088</v>
      </c>
      <c r="C1266" s="231">
        <v>93908</v>
      </c>
      <c r="H1266" s="230"/>
      <c r="K1266" s="230"/>
      <c r="P1266" s="230"/>
    </row>
    <row r="1267" spans="1:16">
      <c r="A1267" s="231"/>
      <c r="B1267" s="135" t="s">
        <v>1174</v>
      </c>
      <c r="C1267" s="231">
        <v>94908</v>
      </c>
      <c r="H1267" s="230"/>
      <c r="K1267" s="230"/>
      <c r="P1267" s="230"/>
    </row>
    <row r="1268" spans="1:16">
      <c r="A1268" s="231"/>
      <c r="B1268" s="135" t="s">
        <v>2519</v>
      </c>
      <c r="C1268" s="231">
        <v>90161</v>
      </c>
      <c r="H1268" s="230"/>
      <c r="K1268" s="230"/>
      <c r="P1268" s="230"/>
    </row>
    <row r="1269" spans="1:16">
      <c r="A1269" s="231"/>
      <c r="B1269" s="135" t="s">
        <v>1095</v>
      </c>
      <c r="C1269" s="231">
        <v>94001</v>
      </c>
      <c r="H1269" s="230"/>
      <c r="K1269" s="230"/>
      <c r="P1269" s="230"/>
    </row>
    <row r="1270" spans="1:16">
      <c r="A1270" s="231"/>
      <c r="B1270" s="135" t="s">
        <v>1097</v>
      </c>
      <c r="C1270" s="231">
        <v>94004</v>
      </c>
      <c r="H1270" s="230"/>
      <c r="K1270" s="230"/>
      <c r="P1270" s="230"/>
    </row>
    <row r="1271" spans="1:16">
      <c r="A1271" s="231"/>
      <c r="B1271" s="135" t="s">
        <v>1968</v>
      </c>
      <c r="C1271" s="231">
        <v>94111</v>
      </c>
      <c r="H1271" s="230"/>
      <c r="K1271" s="230"/>
      <c r="P1271" s="230"/>
    </row>
    <row r="1272" spans="1:16">
      <c r="A1272" s="231"/>
      <c r="B1272" s="135" t="s">
        <v>2814</v>
      </c>
      <c r="C1272" s="231">
        <v>94117</v>
      </c>
      <c r="H1272" s="230"/>
      <c r="K1272" s="230"/>
      <c r="P1272" s="230"/>
    </row>
    <row r="1273" spans="1:16">
      <c r="A1273" s="231"/>
      <c r="B1273" s="135" t="s">
        <v>1970</v>
      </c>
      <c r="C1273" s="231">
        <v>97411</v>
      </c>
      <c r="H1273" s="230"/>
      <c r="K1273" s="230"/>
      <c r="P1273" s="230"/>
    </row>
    <row r="1274" spans="1:16">
      <c r="A1274" s="231"/>
      <c r="B1274" s="135" t="s">
        <v>1377</v>
      </c>
      <c r="C1274" s="231">
        <v>97413</v>
      </c>
      <c r="H1274" s="230"/>
      <c r="K1274" s="230"/>
      <c r="P1274" s="230"/>
    </row>
    <row r="1275" spans="1:16">
      <c r="A1275" s="231"/>
      <c r="B1275" s="135" t="s">
        <v>1376</v>
      </c>
      <c r="C1275" s="231">
        <v>97412</v>
      </c>
      <c r="H1275" s="230"/>
      <c r="K1275" s="230"/>
      <c r="P1275" s="230"/>
    </row>
    <row r="1276" spans="1:16">
      <c r="A1276" s="231"/>
      <c r="B1276" s="135" t="s">
        <v>2520</v>
      </c>
      <c r="C1276" s="231">
        <v>97431</v>
      </c>
      <c r="H1276" s="230"/>
      <c r="K1276" s="230"/>
      <c r="P1276" s="230"/>
    </row>
    <row r="1277" spans="1:16">
      <c r="A1277" s="231"/>
      <c r="B1277" s="135" t="s">
        <v>2521</v>
      </c>
      <c r="C1277" s="231">
        <v>97471</v>
      </c>
      <c r="H1277" s="230"/>
      <c r="K1277" s="230"/>
      <c r="P1277" s="230"/>
    </row>
    <row r="1278" spans="1:16">
      <c r="A1278" s="231"/>
      <c r="B1278" s="135" t="s">
        <v>2522</v>
      </c>
      <c r="C1278" s="231">
        <v>92351</v>
      </c>
      <c r="H1278" s="230"/>
      <c r="K1278" s="230"/>
      <c r="P1278" s="230"/>
    </row>
    <row r="1279" spans="1:16">
      <c r="A1279" s="231"/>
      <c r="B1279" s="135" t="s">
        <v>1102</v>
      </c>
      <c r="C1279" s="231">
        <v>94101</v>
      </c>
      <c r="H1279" s="230"/>
      <c r="K1279" s="230"/>
      <c r="P1279" s="230"/>
    </row>
    <row r="1280" spans="1:16">
      <c r="A1280" s="231"/>
      <c r="B1280" s="135" t="s">
        <v>1109</v>
      </c>
      <c r="C1280" s="231">
        <v>94118</v>
      </c>
      <c r="H1280" s="230"/>
      <c r="K1280" s="230"/>
      <c r="P1280" s="230"/>
    </row>
    <row r="1281" spans="1:16">
      <c r="A1281" s="231"/>
      <c r="B1281" s="135" t="s">
        <v>1103</v>
      </c>
      <c r="C1281" s="231">
        <v>94102</v>
      </c>
      <c r="H1281" s="230"/>
      <c r="K1281" s="230"/>
      <c r="P1281" s="230"/>
    </row>
    <row r="1282" spans="1:16">
      <c r="A1282" s="231"/>
      <c r="B1282" s="135" t="s">
        <v>1119</v>
      </c>
      <c r="C1282" s="231">
        <v>94201</v>
      </c>
      <c r="H1282" s="230"/>
      <c r="K1282" s="230"/>
      <c r="P1282" s="230"/>
    </row>
    <row r="1283" spans="1:16">
      <c r="A1283" s="231"/>
      <c r="B1283" s="135" t="s">
        <v>1120</v>
      </c>
      <c r="C1283" s="231">
        <v>94204</v>
      </c>
      <c r="H1283" s="230"/>
      <c r="K1283" s="230"/>
      <c r="P1283" s="230"/>
    </row>
    <row r="1284" spans="1:16">
      <c r="A1284" s="231"/>
      <c r="B1284" s="135" t="s">
        <v>1121</v>
      </c>
      <c r="C1284" s="231">
        <v>94205</v>
      </c>
      <c r="H1284" s="230"/>
      <c r="K1284" s="230"/>
      <c r="P1284" s="230"/>
    </row>
    <row r="1285" spans="1:16">
      <c r="A1285" s="231"/>
      <c r="B1285" s="135" t="s">
        <v>2523</v>
      </c>
      <c r="C1285" s="231">
        <v>95831</v>
      </c>
      <c r="H1285" s="230"/>
      <c r="K1285" s="230"/>
      <c r="P1285" s="230"/>
    </row>
    <row r="1286" spans="1:16">
      <c r="A1286" s="231"/>
      <c r="B1286" s="135" t="s">
        <v>1971</v>
      </c>
      <c r="C1286" s="231">
        <v>97721</v>
      </c>
      <c r="H1286" s="230"/>
      <c r="K1286" s="230"/>
      <c r="P1286" s="230"/>
    </row>
    <row r="1287" spans="1:16">
      <c r="A1287" s="231"/>
      <c r="B1287" s="135" t="s">
        <v>1408</v>
      </c>
      <c r="C1287" s="231">
        <v>97717</v>
      </c>
      <c r="H1287" s="230"/>
      <c r="K1287" s="230"/>
      <c r="P1287" s="230"/>
    </row>
    <row r="1288" spans="1:16">
      <c r="A1288" s="231"/>
      <c r="B1288" s="135" t="s">
        <v>1129</v>
      </c>
      <c r="C1288" s="231">
        <v>94301</v>
      </c>
      <c r="H1288" s="230"/>
      <c r="K1288" s="230"/>
      <c r="P1288" s="230"/>
    </row>
    <row r="1289" spans="1:16">
      <c r="A1289" s="231"/>
      <c r="B1289" s="135" t="s">
        <v>2524</v>
      </c>
      <c r="C1289" s="231">
        <v>91441</v>
      </c>
      <c r="H1289" s="230"/>
      <c r="K1289" s="230"/>
      <c r="P1289" s="230"/>
    </row>
    <row r="1290" spans="1:16">
      <c r="A1290" s="231"/>
      <c r="B1290" s="135" t="s">
        <v>1972</v>
      </c>
      <c r="C1290" s="231">
        <v>92531</v>
      </c>
      <c r="H1290" s="230"/>
      <c r="K1290" s="230"/>
      <c r="P1290" s="230"/>
    </row>
    <row r="1291" spans="1:16">
      <c r="A1291" s="231"/>
      <c r="B1291" s="135" t="s">
        <v>2525</v>
      </c>
      <c r="C1291" s="231">
        <v>90141</v>
      </c>
      <c r="H1291" s="230"/>
      <c r="K1291" s="230"/>
      <c r="P1291" s="230"/>
    </row>
    <row r="1292" spans="1:16">
      <c r="A1292" s="231"/>
      <c r="B1292" s="135" t="s">
        <v>1138</v>
      </c>
      <c r="C1292" s="231">
        <v>94401</v>
      </c>
      <c r="H1292" s="230"/>
      <c r="K1292" s="230"/>
      <c r="P1292" s="230"/>
    </row>
    <row r="1293" spans="1:16">
      <c r="A1293" s="231"/>
      <c r="B1293" s="135" t="s">
        <v>1140</v>
      </c>
      <c r="C1293" s="231">
        <v>94403</v>
      </c>
      <c r="H1293" s="230"/>
      <c r="K1293" s="230"/>
      <c r="P1293" s="230"/>
    </row>
    <row r="1294" spans="1:16">
      <c r="A1294" s="231"/>
      <c r="B1294" s="135" t="s">
        <v>1139</v>
      </c>
      <c r="C1294" s="231">
        <v>94402</v>
      </c>
      <c r="H1294" s="230"/>
      <c r="K1294" s="230"/>
      <c r="P1294" s="230"/>
    </row>
    <row r="1295" spans="1:16">
      <c r="A1295" s="231"/>
      <c r="B1295" s="135" t="s">
        <v>1973</v>
      </c>
      <c r="C1295" s="231">
        <v>99111</v>
      </c>
      <c r="H1295" s="230"/>
      <c r="K1295" s="230"/>
      <c r="P1295" s="230"/>
    </row>
    <row r="1296" spans="1:16">
      <c r="A1296" s="231"/>
      <c r="B1296" s="135" t="s">
        <v>2025</v>
      </c>
      <c r="C1296" s="231">
        <v>94501</v>
      </c>
      <c r="H1296" s="230"/>
      <c r="K1296" s="230"/>
      <c r="P1296" s="230"/>
    </row>
    <row r="1297" spans="1:16">
      <c r="A1297" s="231"/>
      <c r="B1297" s="135" t="s">
        <v>1974</v>
      </c>
      <c r="C1297" s="231">
        <v>94511</v>
      </c>
      <c r="H1297" s="230"/>
      <c r="K1297" s="230"/>
      <c r="P1297" s="230"/>
    </row>
    <row r="1298" spans="1:16">
      <c r="A1298" s="231"/>
      <c r="B1298" s="135" t="s">
        <v>2813</v>
      </c>
      <c r="C1298" s="231">
        <v>94517</v>
      </c>
      <c r="H1298" s="230"/>
      <c r="K1298" s="230"/>
      <c r="P1298" s="230"/>
    </row>
    <row r="1299" spans="1:16">
      <c r="A1299" s="231"/>
      <c r="B1299" s="135" t="s">
        <v>1151</v>
      </c>
      <c r="C1299" s="231">
        <v>94512</v>
      </c>
      <c r="H1299" s="230"/>
      <c r="K1299" s="230"/>
      <c r="P1299" s="230"/>
    </row>
    <row r="1300" spans="1:16">
      <c r="A1300" s="231"/>
      <c r="B1300" s="135" t="s">
        <v>2526</v>
      </c>
      <c r="C1300" s="231">
        <v>97211</v>
      </c>
      <c r="H1300" s="230"/>
      <c r="K1300" s="230"/>
      <c r="P1300" s="230"/>
    </row>
    <row r="1301" spans="1:16">
      <c r="A1301" s="231"/>
      <c r="B1301" s="135" t="s">
        <v>2527</v>
      </c>
      <c r="C1301" s="231">
        <v>97217</v>
      </c>
      <c r="H1301" s="230"/>
      <c r="K1301" s="230"/>
      <c r="P1301" s="230"/>
    </row>
    <row r="1302" spans="1:16">
      <c r="A1302" s="231"/>
      <c r="B1302" s="135" t="s">
        <v>1160</v>
      </c>
      <c r="C1302" s="231">
        <v>94601</v>
      </c>
      <c r="H1302" s="230"/>
      <c r="K1302" s="230"/>
      <c r="P1302" s="230"/>
    </row>
    <row r="1303" spans="1:16">
      <c r="A1303" s="231"/>
      <c r="B1303" s="135" t="s">
        <v>1161</v>
      </c>
      <c r="C1303" s="231">
        <v>94604</v>
      </c>
      <c r="H1303" s="230"/>
      <c r="K1303" s="230"/>
      <c r="P1303" s="230"/>
    </row>
    <row r="1304" spans="1:16">
      <c r="A1304" s="231"/>
      <c r="B1304" s="135" t="s">
        <v>1162</v>
      </c>
      <c r="C1304" s="231">
        <v>94606</v>
      </c>
      <c r="H1304" s="230"/>
      <c r="K1304" s="230"/>
      <c r="P1304" s="230"/>
    </row>
    <row r="1305" spans="1:16">
      <c r="A1305" s="231"/>
      <c r="B1305" s="135" t="s">
        <v>2769</v>
      </c>
      <c r="C1305" s="231">
        <v>97213</v>
      </c>
      <c r="H1305" s="230"/>
      <c r="K1305" s="230"/>
      <c r="P1305" s="230"/>
    </row>
    <row r="1306" spans="1:16">
      <c r="A1306" s="231"/>
      <c r="B1306" s="135" t="s">
        <v>1975</v>
      </c>
      <c r="C1306" s="231">
        <v>91811</v>
      </c>
      <c r="H1306" s="230"/>
      <c r="K1306" s="230"/>
      <c r="P1306" s="230"/>
    </row>
    <row r="1307" spans="1:16">
      <c r="A1307" s="231"/>
      <c r="B1307" s="135" t="s">
        <v>2757</v>
      </c>
      <c r="C1307" s="231">
        <v>91812</v>
      </c>
      <c r="H1307" s="230"/>
      <c r="K1307" s="230"/>
      <c r="P1307" s="230"/>
    </row>
    <row r="1308" spans="1:16">
      <c r="A1308" s="231"/>
      <c r="B1308" s="135" t="s">
        <v>905</v>
      </c>
      <c r="C1308" s="231">
        <v>91813</v>
      </c>
      <c r="H1308" s="230"/>
      <c r="K1308" s="230"/>
      <c r="P1308" s="230"/>
    </row>
    <row r="1309" spans="1:16">
      <c r="A1309" s="231"/>
      <c r="B1309" s="135" t="s">
        <v>770</v>
      </c>
      <c r="C1309" s="231">
        <v>90617</v>
      </c>
      <c r="H1309" s="230"/>
      <c r="K1309" s="230"/>
      <c r="P1309" s="230"/>
    </row>
    <row r="1310" spans="1:16">
      <c r="A1310" s="231"/>
      <c r="B1310" s="135" t="s">
        <v>1976</v>
      </c>
      <c r="C1310" s="231">
        <v>94121</v>
      </c>
      <c r="H1310" s="230"/>
      <c r="K1310" s="230"/>
      <c r="P1310" s="230"/>
    </row>
    <row r="1311" spans="1:16">
      <c r="A1311" s="231"/>
      <c r="B1311" s="135" t="s">
        <v>2812</v>
      </c>
      <c r="C1311" s="231">
        <v>94127</v>
      </c>
      <c r="H1311" s="230"/>
      <c r="K1311" s="230"/>
      <c r="P1311" s="230"/>
    </row>
    <row r="1312" spans="1:16">
      <c r="A1312" s="231"/>
      <c r="B1312" s="135" t="s">
        <v>2528</v>
      </c>
      <c r="C1312" s="231">
        <v>95621</v>
      </c>
      <c r="H1312" s="230"/>
      <c r="K1312" s="230"/>
      <c r="P1312" s="230"/>
    </row>
    <row r="1313" spans="1:16">
      <c r="A1313" s="231"/>
      <c r="B1313" s="135" t="s">
        <v>1232</v>
      </c>
      <c r="C1313" s="231">
        <v>95617</v>
      </c>
      <c r="H1313" s="230"/>
      <c r="K1313" s="230"/>
      <c r="P1313" s="230"/>
    </row>
    <row r="1314" spans="1:16">
      <c r="A1314" s="231"/>
      <c r="B1314" s="135" t="s">
        <v>2529</v>
      </c>
      <c r="C1314" s="231">
        <v>91251</v>
      </c>
      <c r="H1314" s="230"/>
      <c r="K1314" s="230"/>
      <c r="P1314" s="230"/>
    </row>
    <row r="1315" spans="1:16">
      <c r="A1315" s="231"/>
      <c r="B1315" s="135" t="s">
        <v>2530</v>
      </c>
      <c r="C1315" s="231">
        <v>96831</v>
      </c>
      <c r="H1315" s="230"/>
      <c r="K1315" s="230"/>
      <c r="P1315" s="230"/>
    </row>
    <row r="1316" spans="1:16">
      <c r="A1316" s="231"/>
      <c r="B1316" s="135" t="s">
        <v>2531</v>
      </c>
      <c r="C1316" s="231">
        <v>94251</v>
      </c>
      <c r="H1316" s="230"/>
      <c r="K1316" s="230"/>
      <c r="P1316" s="230"/>
    </row>
    <row r="1317" spans="1:16">
      <c r="A1317" s="231"/>
      <c r="B1317" s="135" t="s">
        <v>1167</v>
      </c>
      <c r="C1317" s="231">
        <v>94701</v>
      </c>
      <c r="H1317" s="230"/>
      <c r="K1317" s="230"/>
      <c r="P1317" s="230"/>
    </row>
    <row r="1318" spans="1:16">
      <c r="A1318" s="231"/>
      <c r="B1318" s="135" t="s">
        <v>1168</v>
      </c>
      <c r="C1318" s="231">
        <v>94704</v>
      </c>
      <c r="H1318" s="230"/>
      <c r="K1318" s="230"/>
      <c r="P1318" s="230"/>
    </row>
    <row r="1319" spans="1:16">
      <c r="A1319" s="231"/>
      <c r="B1319" s="135" t="s">
        <v>2532</v>
      </c>
      <c r="C1319" s="231">
        <v>91014</v>
      </c>
      <c r="H1319" s="230"/>
      <c r="K1319" s="230"/>
      <c r="P1319" s="230"/>
    </row>
    <row r="1320" spans="1:16">
      <c r="A1320" s="231"/>
      <c r="B1320" s="135" t="s">
        <v>2533</v>
      </c>
      <c r="C1320" s="231">
        <v>96731</v>
      </c>
      <c r="H1320" s="230"/>
      <c r="K1320" s="230"/>
      <c r="P1320" s="230"/>
    </row>
    <row r="1321" spans="1:16">
      <c r="A1321" s="231"/>
      <c r="B1321" s="135" t="s">
        <v>1333</v>
      </c>
      <c r="C1321" s="231">
        <v>96733</v>
      </c>
      <c r="H1321" s="230"/>
      <c r="K1321" s="230"/>
      <c r="P1321" s="230"/>
    </row>
    <row r="1322" spans="1:16">
      <c r="A1322" s="231"/>
      <c r="B1322" s="135" t="s">
        <v>2534</v>
      </c>
      <c r="C1322" s="231">
        <v>99202</v>
      </c>
      <c r="H1322" s="230"/>
      <c r="K1322" s="230"/>
      <c r="P1322" s="230"/>
    </row>
    <row r="1323" spans="1:16">
      <c r="A1323" s="231"/>
      <c r="B1323" s="135" t="s">
        <v>2535</v>
      </c>
      <c r="C1323" s="231">
        <v>94011</v>
      </c>
      <c r="H1323" s="230"/>
      <c r="K1323" s="230"/>
      <c r="P1323" s="230"/>
    </row>
    <row r="1324" spans="1:16">
      <c r="A1324" s="231"/>
      <c r="B1324" s="135" t="s">
        <v>2536</v>
      </c>
      <c r="C1324" s="231">
        <v>92631</v>
      </c>
      <c r="H1324" s="230"/>
      <c r="K1324" s="230"/>
      <c r="P1324" s="230"/>
    </row>
    <row r="1325" spans="1:16">
      <c r="A1325" s="231"/>
      <c r="B1325" s="135" t="s">
        <v>1237</v>
      </c>
      <c r="C1325" s="231">
        <v>95733</v>
      </c>
      <c r="H1325" s="230"/>
      <c r="K1325" s="230"/>
      <c r="P1325" s="230"/>
    </row>
    <row r="1326" spans="1:16">
      <c r="A1326" s="231"/>
      <c r="B1326" s="135" t="s">
        <v>2537</v>
      </c>
      <c r="C1326" s="231">
        <v>91431</v>
      </c>
      <c r="H1326" s="230"/>
      <c r="K1326" s="230"/>
      <c r="P1326" s="230"/>
    </row>
    <row r="1327" spans="1:16">
      <c r="A1327" s="231"/>
      <c r="B1327" s="135" t="s">
        <v>2538</v>
      </c>
      <c r="C1327" s="231">
        <v>96041</v>
      </c>
      <c r="H1327" s="230"/>
      <c r="K1327" s="230"/>
      <c r="P1327" s="230"/>
    </row>
    <row r="1328" spans="1:16">
      <c r="A1328" s="231"/>
      <c r="B1328" s="135" t="s">
        <v>1170</v>
      </c>
      <c r="C1328" s="231">
        <v>94801</v>
      </c>
      <c r="H1328" s="230"/>
      <c r="K1328" s="230"/>
      <c r="P1328" s="230"/>
    </row>
    <row r="1329" spans="1:16">
      <c r="A1329" s="231"/>
      <c r="B1329" s="135" t="s">
        <v>1171</v>
      </c>
      <c r="C1329" s="231">
        <v>94804</v>
      </c>
      <c r="H1329" s="230"/>
      <c r="K1329" s="230"/>
      <c r="P1329" s="230"/>
    </row>
    <row r="1330" spans="1:16">
      <c r="A1330" s="231"/>
      <c r="B1330" s="135" t="s">
        <v>2539</v>
      </c>
      <c r="C1330" s="231">
        <v>91661</v>
      </c>
      <c r="H1330" s="230"/>
      <c r="K1330" s="230"/>
      <c r="P1330" s="230"/>
    </row>
    <row r="1331" spans="1:16">
      <c r="A1331" s="231"/>
      <c r="B1331" s="135" t="s">
        <v>2540</v>
      </c>
      <c r="C1331" s="231">
        <v>99051</v>
      </c>
      <c r="H1331" s="230"/>
      <c r="K1331" s="230"/>
      <c r="P1331" s="230"/>
    </row>
    <row r="1332" spans="1:16">
      <c r="A1332" s="231"/>
      <c r="B1332" s="135" t="s">
        <v>1525</v>
      </c>
      <c r="C1332" s="231">
        <v>99014</v>
      </c>
      <c r="H1332" s="230"/>
      <c r="K1332" s="230"/>
      <c r="P1332" s="230"/>
    </row>
    <row r="1333" spans="1:16">
      <c r="A1333" s="231"/>
      <c r="B1333" s="135" t="s">
        <v>1173</v>
      </c>
      <c r="C1333" s="231">
        <v>94901</v>
      </c>
      <c r="H1333" s="230"/>
      <c r="K1333" s="230"/>
      <c r="P1333" s="230"/>
    </row>
    <row r="1334" spans="1:16">
      <c r="A1334" s="231"/>
      <c r="B1334" s="135" t="s">
        <v>1462</v>
      </c>
      <c r="C1334" s="231">
        <v>98109</v>
      </c>
      <c r="H1334" s="230"/>
      <c r="K1334" s="230"/>
      <c r="P1334" s="230"/>
    </row>
    <row r="1335" spans="1:16">
      <c r="A1335" s="231"/>
      <c r="B1335" s="135" t="s">
        <v>2808</v>
      </c>
      <c r="C1335" s="231">
        <v>98205</v>
      </c>
      <c r="H1335" s="230"/>
      <c r="K1335" s="230"/>
      <c r="P1335" s="230"/>
    </row>
    <row r="1336" spans="1:16">
      <c r="A1336" s="231"/>
      <c r="B1336" s="135" t="s">
        <v>2541</v>
      </c>
      <c r="C1336" s="231">
        <v>96661</v>
      </c>
      <c r="H1336" s="230"/>
      <c r="K1336" s="230"/>
      <c r="P1336" s="230"/>
    </row>
    <row r="1337" spans="1:16">
      <c r="A1337" s="231"/>
      <c r="B1337" s="135" t="s">
        <v>1182</v>
      </c>
      <c r="C1337" s="231">
        <v>95001</v>
      </c>
      <c r="H1337" s="230"/>
      <c r="K1337" s="230"/>
      <c r="P1337" s="230"/>
    </row>
    <row r="1338" spans="1:16">
      <c r="A1338" s="231"/>
      <c r="B1338" s="135" t="s">
        <v>1188</v>
      </c>
      <c r="C1338" s="231">
        <v>95017</v>
      </c>
      <c r="H1338" s="230"/>
      <c r="K1338" s="230"/>
      <c r="P1338" s="230"/>
    </row>
    <row r="1339" spans="1:16">
      <c r="A1339" s="231"/>
      <c r="B1339" s="135" t="s">
        <v>1977</v>
      </c>
      <c r="C1339" s="231">
        <v>96711</v>
      </c>
      <c r="H1339" s="230"/>
      <c r="K1339" s="230"/>
      <c r="P1339" s="230"/>
    </row>
    <row r="1340" spans="1:16">
      <c r="A1340" s="231"/>
      <c r="B1340" s="135" t="s">
        <v>2542</v>
      </c>
      <c r="C1340" s="231">
        <v>94131</v>
      </c>
      <c r="H1340" s="230"/>
      <c r="K1340" s="230"/>
      <c r="P1340" s="230"/>
    </row>
    <row r="1341" spans="1:16">
      <c r="A1341" s="231"/>
      <c r="B1341" s="135" t="s">
        <v>2543</v>
      </c>
      <c r="C1341" s="231">
        <v>95841</v>
      </c>
      <c r="H1341" s="230"/>
      <c r="K1341" s="230"/>
      <c r="P1341" s="230"/>
    </row>
    <row r="1342" spans="1:16">
      <c r="A1342" s="231"/>
      <c r="B1342" s="135" t="s">
        <v>2544</v>
      </c>
      <c r="C1342" s="231">
        <v>90511</v>
      </c>
      <c r="H1342" s="230"/>
      <c r="K1342" s="230"/>
      <c r="P1342" s="230"/>
    </row>
    <row r="1343" spans="1:16">
      <c r="A1343" s="231"/>
      <c r="B1343" s="135" t="s">
        <v>1189</v>
      </c>
      <c r="C1343" s="231">
        <v>95101</v>
      </c>
      <c r="H1343" s="230"/>
      <c r="K1343" s="230"/>
      <c r="P1343" s="230"/>
    </row>
    <row r="1344" spans="1:16">
      <c r="A1344" s="231"/>
      <c r="B1344" s="135" t="s">
        <v>1191</v>
      </c>
      <c r="C1344" s="231">
        <v>95104</v>
      </c>
      <c r="H1344" s="230"/>
      <c r="K1344" s="230"/>
      <c r="P1344" s="230"/>
    </row>
    <row r="1345" spans="1:16">
      <c r="A1345" s="231"/>
      <c r="B1345" s="135" t="s">
        <v>1194</v>
      </c>
      <c r="C1345" s="231">
        <v>95110</v>
      </c>
      <c r="H1345" s="230"/>
      <c r="K1345" s="230"/>
      <c r="P1345" s="230"/>
    </row>
    <row r="1346" spans="1:16">
      <c r="A1346" s="231"/>
      <c r="B1346" s="135" t="s">
        <v>1207</v>
      </c>
      <c r="C1346" s="231">
        <v>95201</v>
      </c>
      <c r="H1346" s="230"/>
      <c r="K1346" s="230"/>
      <c r="P1346" s="230"/>
    </row>
    <row r="1347" spans="1:16">
      <c r="A1347" s="231"/>
      <c r="B1347" s="135" t="s">
        <v>1208</v>
      </c>
      <c r="C1347" s="231">
        <v>95204</v>
      </c>
      <c r="H1347" s="230"/>
      <c r="K1347" s="230"/>
      <c r="P1347" s="230"/>
    </row>
    <row r="1348" spans="1:16">
      <c r="A1348" s="231"/>
      <c r="B1348" s="135" t="s">
        <v>2545</v>
      </c>
      <c r="C1348" s="53">
        <v>99921</v>
      </c>
      <c r="H1348" s="230"/>
      <c r="K1348" s="230"/>
      <c r="P1348" s="230"/>
    </row>
    <row r="1349" spans="1:16">
      <c r="A1349" s="231"/>
      <c r="B1349" s="135" t="s">
        <v>1141</v>
      </c>
      <c r="C1349" s="231">
        <v>94408</v>
      </c>
      <c r="H1349" s="230"/>
      <c r="K1349" s="230"/>
      <c r="P1349" s="230"/>
    </row>
    <row r="1350" spans="1:16">
      <c r="A1350" s="231"/>
      <c r="B1350" s="135" t="s">
        <v>1978</v>
      </c>
      <c r="C1350" s="231">
        <v>91331</v>
      </c>
      <c r="H1350" s="230"/>
      <c r="K1350" s="230"/>
      <c r="P1350" s="230"/>
    </row>
    <row r="1351" spans="1:16">
      <c r="A1351" s="231"/>
      <c r="B1351" s="135" t="s">
        <v>2546</v>
      </c>
      <c r="C1351" s="231">
        <v>93121</v>
      </c>
      <c r="H1351" s="230"/>
      <c r="K1351" s="230"/>
      <c r="P1351" s="230"/>
    </row>
    <row r="1352" spans="1:16">
      <c r="A1352" s="231"/>
      <c r="B1352" s="135" t="s">
        <v>1011</v>
      </c>
      <c r="C1352" s="231">
        <v>93127</v>
      </c>
      <c r="H1352" s="230"/>
      <c r="K1352" s="230"/>
      <c r="P1352" s="230"/>
    </row>
    <row r="1353" spans="1:16">
      <c r="A1353" s="231"/>
      <c r="B1353" s="135" t="s">
        <v>2547</v>
      </c>
      <c r="C1353" s="231">
        <v>95171</v>
      </c>
      <c r="H1353" s="230"/>
      <c r="K1353" s="230"/>
      <c r="P1353" s="230"/>
    </row>
    <row r="1354" spans="1:16">
      <c r="A1354" s="231"/>
      <c r="B1354" s="135" t="s">
        <v>2548</v>
      </c>
      <c r="C1354" s="231">
        <v>93421</v>
      </c>
      <c r="H1354" s="230"/>
      <c r="K1354" s="230"/>
      <c r="P1354" s="230"/>
    </row>
    <row r="1355" spans="1:16">
      <c r="A1355" s="231"/>
      <c r="B1355" s="135" t="s">
        <v>1539</v>
      </c>
      <c r="C1355" s="231">
        <v>99110</v>
      </c>
      <c r="H1355" s="230"/>
      <c r="K1355" s="230"/>
      <c r="P1355" s="230"/>
    </row>
    <row r="1356" spans="1:16">
      <c r="A1356" s="231"/>
      <c r="B1356" s="135" t="s">
        <v>2807</v>
      </c>
      <c r="C1356" s="231">
        <v>99109</v>
      </c>
      <c r="H1356" s="230"/>
      <c r="K1356" s="230"/>
      <c r="P1356" s="230"/>
    </row>
    <row r="1357" spans="1:16">
      <c r="A1357" s="231"/>
      <c r="B1357" s="135" t="s">
        <v>2549</v>
      </c>
      <c r="C1357" s="231">
        <v>92821</v>
      </c>
      <c r="H1357" s="230"/>
      <c r="K1357" s="230"/>
      <c r="P1357" s="230"/>
    </row>
    <row r="1358" spans="1:16">
      <c r="A1358" s="231"/>
      <c r="B1358" s="135" t="s">
        <v>2550</v>
      </c>
      <c r="C1358" s="231">
        <v>98521</v>
      </c>
      <c r="H1358" s="230"/>
      <c r="K1358" s="230"/>
      <c r="P1358" s="230"/>
    </row>
    <row r="1359" spans="1:16">
      <c r="A1359" s="231"/>
      <c r="B1359" s="135" t="s">
        <v>1979</v>
      </c>
      <c r="C1359" s="231">
        <v>92321</v>
      </c>
      <c r="H1359" s="230"/>
      <c r="K1359" s="230"/>
      <c r="P1359" s="230"/>
    </row>
    <row r="1360" spans="1:16">
      <c r="A1360" s="231"/>
      <c r="B1360" s="135" t="s">
        <v>938</v>
      </c>
      <c r="C1360" s="231">
        <v>92327</v>
      </c>
      <c r="H1360" s="230"/>
      <c r="K1360" s="230"/>
      <c r="P1360" s="230"/>
    </row>
    <row r="1361" spans="1:16">
      <c r="A1361" s="231"/>
      <c r="B1361" s="135" t="s">
        <v>1980</v>
      </c>
      <c r="C1361" s="231">
        <v>95411</v>
      </c>
      <c r="H1361" s="230"/>
      <c r="K1361" s="230"/>
      <c r="P1361" s="230"/>
    </row>
    <row r="1362" spans="1:16">
      <c r="A1362" s="231"/>
      <c r="B1362" s="135" t="s">
        <v>2811</v>
      </c>
      <c r="C1362" s="231">
        <v>95413</v>
      </c>
      <c r="H1362" s="230"/>
      <c r="K1362" s="230"/>
      <c r="P1362" s="230"/>
    </row>
    <row r="1363" spans="1:16">
      <c r="A1363" s="231"/>
      <c r="B1363" s="135" t="s">
        <v>2806</v>
      </c>
      <c r="C1363" s="231">
        <v>95415</v>
      </c>
      <c r="H1363" s="230"/>
      <c r="K1363" s="230"/>
      <c r="P1363" s="230"/>
    </row>
    <row r="1364" spans="1:16">
      <c r="A1364" s="231"/>
      <c r="B1364" s="135" t="s">
        <v>2551</v>
      </c>
      <c r="C1364" s="231">
        <v>92851</v>
      </c>
      <c r="H1364" s="230"/>
      <c r="K1364" s="230"/>
      <c r="P1364" s="230"/>
    </row>
    <row r="1365" spans="1:16">
      <c r="A1365" s="231"/>
      <c r="B1365" s="135" t="s">
        <v>2552</v>
      </c>
      <c r="C1365" s="231">
        <v>99291</v>
      </c>
      <c r="H1365" s="230"/>
      <c r="K1365" s="230"/>
      <c r="P1365" s="230"/>
    </row>
    <row r="1366" spans="1:16">
      <c r="A1366" s="231"/>
      <c r="B1366" s="135" t="s">
        <v>2553</v>
      </c>
      <c r="C1366" s="231">
        <v>96541</v>
      </c>
      <c r="H1366" s="230"/>
      <c r="K1366" s="230"/>
      <c r="P1366" s="230"/>
    </row>
    <row r="1367" spans="1:16">
      <c r="A1367" s="231"/>
      <c r="B1367" s="135" t="s">
        <v>2554</v>
      </c>
      <c r="C1367" s="231">
        <v>95431</v>
      </c>
      <c r="H1367" s="230"/>
      <c r="K1367" s="230"/>
      <c r="P1367" s="230"/>
    </row>
    <row r="1368" spans="1:16">
      <c r="A1368" s="231"/>
      <c r="B1368" s="135" t="s">
        <v>2555</v>
      </c>
      <c r="C1368" s="231">
        <v>98131</v>
      </c>
      <c r="H1368" s="230"/>
      <c r="K1368" s="230"/>
      <c r="P1368" s="230"/>
    </row>
    <row r="1369" spans="1:16">
      <c r="A1369" s="231"/>
      <c r="B1369" s="135" t="s">
        <v>2556</v>
      </c>
      <c r="C1369" s="231">
        <v>92461</v>
      </c>
      <c r="H1369" s="230"/>
      <c r="K1369" s="230"/>
      <c r="P1369" s="230"/>
    </row>
    <row r="1370" spans="1:16">
      <c r="A1370" s="231"/>
      <c r="B1370" s="135" t="s">
        <v>947</v>
      </c>
      <c r="C1370" s="231">
        <v>92427</v>
      </c>
      <c r="H1370" s="230"/>
      <c r="K1370" s="230"/>
      <c r="P1370" s="230"/>
    </row>
    <row r="1371" spans="1:16">
      <c r="A1371" s="231"/>
      <c r="B1371" s="135" t="s">
        <v>2557</v>
      </c>
      <c r="C1371" s="231">
        <v>98051</v>
      </c>
      <c r="H1371" s="230"/>
      <c r="K1371" s="230"/>
      <c r="P1371" s="230"/>
    </row>
    <row r="1372" spans="1:16">
      <c r="A1372" s="231"/>
      <c r="B1372" s="135" t="s">
        <v>830</v>
      </c>
      <c r="C1372" s="231">
        <v>91102</v>
      </c>
      <c r="H1372" s="230"/>
      <c r="K1372" s="230"/>
      <c r="P1372" s="230"/>
    </row>
    <row r="1373" spans="1:16">
      <c r="A1373" s="231"/>
      <c r="B1373" s="135" t="s">
        <v>2558</v>
      </c>
      <c r="C1373" s="231">
        <v>94521</v>
      </c>
      <c r="H1373" s="230"/>
      <c r="K1373" s="230"/>
      <c r="P1373" s="230"/>
    </row>
    <row r="1374" spans="1:16">
      <c r="A1374" s="231"/>
      <c r="B1374" s="135" t="s">
        <v>1154</v>
      </c>
      <c r="C1374" s="231">
        <v>94527</v>
      </c>
      <c r="H1374" s="230"/>
      <c r="K1374" s="230"/>
      <c r="P1374" s="230"/>
    </row>
    <row r="1375" spans="1:16">
      <c r="A1375" s="231"/>
      <c r="B1375" s="135" t="s">
        <v>1981</v>
      </c>
      <c r="C1375" s="231">
        <v>98311</v>
      </c>
      <c r="H1375" s="230"/>
      <c r="K1375" s="230"/>
      <c r="P1375" s="230"/>
    </row>
    <row r="1376" spans="1:16">
      <c r="A1376" s="231"/>
      <c r="B1376" s="135" t="s">
        <v>1485</v>
      </c>
      <c r="C1376" s="231">
        <v>98313</v>
      </c>
      <c r="H1376" s="230"/>
      <c r="K1376" s="230"/>
      <c r="P1376" s="230"/>
    </row>
    <row r="1377" spans="1:16">
      <c r="A1377" s="231"/>
      <c r="B1377" s="135" t="s">
        <v>1483</v>
      </c>
      <c r="C1377" s="231">
        <v>98308</v>
      </c>
      <c r="H1377" s="230"/>
      <c r="K1377" s="230"/>
      <c r="P1377" s="230"/>
    </row>
    <row r="1378" spans="1:16">
      <c r="A1378" s="231"/>
      <c r="B1378" s="135" t="s">
        <v>2559</v>
      </c>
      <c r="C1378" s="231">
        <v>92341</v>
      </c>
      <c r="H1378" s="230"/>
      <c r="K1378" s="230"/>
      <c r="P1378" s="230"/>
    </row>
    <row r="1379" spans="1:16">
      <c r="A1379" s="231"/>
      <c r="B1379" s="135" t="s">
        <v>1212</v>
      </c>
      <c r="C1379" s="231">
        <v>95301</v>
      </c>
      <c r="H1379" s="230"/>
      <c r="K1379" s="230"/>
      <c r="P1379" s="230"/>
    </row>
    <row r="1380" spans="1:16">
      <c r="A1380" s="231"/>
      <c r="B1380" s="135" t="s">
        <v>2560</v>
      </c>
      <c r="C1380" s="231">
        <v>91002</v>
      </c>
      <c r="H1380" s="230"/>
      <c r="K1380" s="230"/>
      <c r="P1380" s="230"/>
    </row>
    <row r="1381" spans="1:16">
      <c r="A1381" s="231"/>
      <c r="B1381" s="135" t="s">
        <v>1982</v>
      </c>
      <c r="C1381" s="231">
        <v>91451</v>
      </c>
      <c r="H1381" s="230"/>
      <c r="K1381" s="230"/>
      <c r="P1381" s="230"/>
    </row>
    <row r="1382" spans="1:16">
      <c r="A1382" s="231"/>
      <c r="B1382" s="135" t="s">
        <v>2805</v>
      </c>
      <c r="C1382" s="231">
        <v>91457</v>
      </c>
      <c r="H1382" s="230"/>
      <c r="K1382" s="230"/>
      <c r="P1382" s="230"/>
    </row>
    <row r="1383" spans="1:16">
      <c r="A1383" s="231"/>
      <c r="B1383" s="135" t="s">
        <v>1216</v>
      </c>
      <c r="C1383" s="231">
        <v>95401</v>
      </c>
      <c r="H1383" s="230"/>
      <c r="K1383" s="230"/>
      <c r="P1383" s="230"/>
    </row>
    <row r="1384" spans="1:16">
      <c r="A1384" s="231"/>
      <c r="B1384" s="135" t="s">
        <v>1217</v>
      </c>
      <c r="C1384" s="231">
        <v>95404</v>
      </c>
      <c r="H1384" s="230"/>
      <c r="K1384" s="230"/>
      <c r="P1384" s="230"/>
    </row>
    <row r="1385" spans="1:16">
      <c r="A1385" s="231"/>
      <c r="B1385" s="135" t="s">
        <v>876</v>
      </c>
      <c r="C1385" s="231">
        <v>91423</v>
      </c>
      <c r="H1385" s="230"/>
      <c r="K1385" s="230"/>
      <c r="P1385" s="230"/>
    </row>
    <row r="1386" spans="1:16">
      <c r="A1386" s="231"/>
      <c r="B1386" s="135" t="s">
        <v>2561</v>
      </c>
      <c r="C1386" s="231">
        <v>90861</v>
      </c>
      <c r="H1386" s="230"/>
      <c r="K1386" s="230"/>
      <c r="P1386" s="230"/>
    </row>
    <row r="1387" spans="1:16">
      <c r="A1387" s="231"/>
      <c r="B1387" s="135" t="s">
        <v>2562</v>
      </c>
      <c r="C1387" s="231">
        <v>93451</v>
      </c>
      <c r="H1387" s="230"/>
      <c r="K1387" s="230"/>
      <c r="P1387" s="230"/>
    </row>
    <row r="1388" spans="1:16">
      <c r="A1388" s="231"/>
      <c r="B1388" s="135" t="s">
        <v>1983</v>
      </c>
      <c r="C1388" s="231">
        <v>92931</v>
      </c>
      <c r="H1388" s="230"/>
      <c r="K1388" s="230"/>
      <c r="P1388" s="230"/>
    </row>
    <row r="1389" spans="1:16">
      <c r="A1389" s="231"/>
      <c r="B1389" s="135" t="s">
        <v>998</v>
      </c>
      <c r="C1389" s="231">
        <v>92917</v>
      </c>
      <c r="H1389" s="230"/>
      <c r="K1389" s="230"/>
      <c r="P1389" s="230"/>
    </row>
    <row r="1390" spans="1:16">
      <c r="A1390" s="231"/>
      <c r="B1390" s="135" t="s">
        <v>2563</v>
      </c>
      <c r="C1390" s="231">
        <v>97631</v>
      </c>
      <c r="H1390" s="230"/>
      <c r="K1390" s="230"/>
      <c r="P1390" s="230"/>
    </row>
    <row r="1391" spans="1:16">
      <c r="A1391" s="231"/>
      <c r="B1391" s="135" t="s">
        <v>1400</v>
      </c>
      <c r="C1391" s="231">
        <v>97637</v>
      </c>
      <c r="H1391" s="230"/>
      <c r="K1391" s="230"/>
      <c r="P1391" s="230"/>
    </row>
    <row r="1392" spans="1:16">
      <c r="A1392" s="231"/>
      <c r="B1392" s="135" t="s">
        <v>2564</v>
      </c>
      <c r="C1392" s="231">
        <v>90421</v>
      </c>
      <c r="H1392" s="230"/>
      <c r="K1392" s="230"/>
      <c r="P1392" s="230"/>
    </row>
    <row r="1393" spans="1:16">
      <c r="A1393" s="231"/>
      <c r="B1393" s="135" t="s">
        <v>2565</v>
      </c>
      <c r="C1393" s="231">
        <v>94321</v>
      </c>
      <c r="H1393" s="230"/>
      <c r="K1393" s="230"/>
      <c r="P1393" s="230"/>
    </row>
    <row r="1394" spans="1:16">
      <c r="A1394" s="231"/>
      <c r="B1394" s="135" t="s">
        <v>1225</v>
      </c>
      <c r="C1394" s="231">
        <v>95501</v>
      </c>
      <c r="H1394" s="230"/>
      <c r="K1394" s="230"/>
      <c r="P1394" s="230"/>
    </row>
    <row r="1395" spans="1:16">
      <c r="A1395" s="231"/>
      <c r="B1395" s="135" t="s">
        <v>1226</v>
      </c>
      <c r="C1395" s="231">
        <v>95504</v>
      </c>
      <c r="H1395" s="230"/>
      <c r="K1395" s="230"/>
      <c r="P1395" s="230"/>
    </row>
    <row r="1396" spans="1:16">
      <c r="A1396" s="231"/>
      <c r="B1396" s="135" t="s">
        <v>1984</v>
      </c>
      <c r="C1396" s="231">
        <v>95511</v>
      </c>
      <c r="H1396" s="230"/>
      <c r="K1396" s="230"/>
      <c r="P1396" s="230"/>
    </row>
    <row r="1397" spans="1:16">
      <c r="A1397" s="231"/>
      <c r="B1397" s="135" t="s">
        <v>2566</v>
      </c>
      <c r="C1397" s="231">
        <v>95517</v>
      </c>
      <c r="H1397" s="230"/>
      <c r="K1397" s="230"/>
      <c r="P1397" s="230"/>
    </row>
    <row r="1398" spans="1:16">
      <c r="A1398" s="231"/>
      <c r="B1398" s="135" t="s">
        <v>1228</v>
      </c>
      <c r="C1398" s="231">
        <v>95513</v>
      </c>
      <c r="H1398" s="230"/>
      <c r="K1398" s="230"/>
      <c r="P1398" s="230"/>
    </row>
    <row r="1399" spans="1:16">
      <c r="A1399" s="231"/>
      <c r="B1399" s="135" t="s">
        <v>2567</v>
      </c>
      <c r="C1399" s="231">
        <v>92651</v>
      </c>
      <c r="H1399" s="230"/>
      <c r="K1399" s="230"/>
      <c r="P1399" s="230"/>
    </row>
    <row r="1400" spans="1:16">
      <c r="A1400" s="231"/>
      <c r="B1400" s="135" t="s">
        <v>2568</v>
      </c>
      <c r="C1400" s="231">
        <v>94261</v>
      </c>
      <c r="H1400" s="230"/>
      <c r="K1400" s="230"/>
      <c r="P1400" s="230"/>
    </row>
    <row r="1401" spans="1:16">
      <c r="A1401" s="231"/>
      <c r="B1401" s="135" t="s">
        <v>1985</v>
      </c>
      <c r="C1401" s="231">
        <v>98431</v>
      </c>
      <c r="H1401" s="230"/>
      <c r="K1401" s="230"/>
      <c r="P1401" s="230"/>
    </row>
    <row r="1402" spans="1:16">
      <c r="A1402" s="231"/>
      <c r="B1402" s="135" t="s">
        <v>1489</v>
      </c>
      <c r="C1402" s="231">
        <v>98404</v>
      </c>
      <c r="H1402" s="230"/>
      <c r="K1402" s="230"/>
      <c r="P1402" s="230"/>
    </row>
    <row r="1403" spans="1:16">
      <c r="A1403" s="231"/>
      <c r="B1403" s="135" t="s">
        <v>2569</v>
      </c>
      <c r="C1403" s="231">
        <v>91841</v>
      </c>
      <c r="H1403" s="230"/>
      <c r="K1403" s="230"/>
      <c r="P1403" s="230"/>
    </row>
    <row r="1404" spans="1:16">
      <c r="A1404" s="231"/>
      <c r="B1404" s="135" t="s">
        <v>2570</v>
      </c>
      <c r="C1404" s="231">
        <v>93521</v>
      </c>
      <c r="H1404" s="230"/>
      <c r="K1404" s="230"/>
      <c r="P1404" s="230"/>
    </row>
    <row r="1405" spans="1:16">
      <c r="A1405" s="231"/>
      <c r="B1405" s="135" t="s">
        <v>1058</v>
      </c>
      <c r="C1405" s="231">
        <v>93527</v>
      </c>
      <c r="H1405" s="230"/>
      <c r="K1405" s="230"/>
      <c r="P1405" s="230"/>
    </row>
    <row r="1406" spans="1:16">
      <c r="A1406" s="231"/>
      <c r="B1406" s="135" t="s">
        <v>1986</v>
      </c>
      <c r="C1406" s="231">
        <v>93661</v>
      </c>
      <c r="H1406" s="230"/>
      <c r="K1406" s="230"/>
      <c r="P1406" s="230"/>
    </row>
    <row r="1407" spans="1:16">
      <c r="A1407" s="231"/>
      <c r="B1407" s="135" t="s">
        <v>2766</v>
      </c>
      <c r="C1407" s="231">
        <v>96508</v>
      </c>
      <c r="H1407" s="230"/>
      <c r="K1407" s="230"/>
      <c r="P1407" s="230"/>
    </row>
    <row r="1408" spans="1:16">
      <c r="A1408" s="231"/>
      <c r="B1408" s="135" t="s">
        <v>2571</v>
      </c>
      <c r="C1408" s="53">
        <v>99841</v>
      </c>
      <c r="H1408" s="230"/>
      <c r="K1408" s="230"/>
      <c r="P1408" s="230"/>
    </row>
    <row r="1409" spans="1:16">
      <c r="A1409" s="231"/>
      <c r="B1409" s="135" t="s">
        <v>1413</v>
      </c>
      <c r="C1409" s="231">
        <v>97802</v>
      </c>
      <c r="H1409" s="230"/>
      <c r="K1409" s="230"/>
      <c r="P1409" s="230"/>
    </row>
    <row r="1410" spans="1:16">
      <c r="A1410" s="231"/>
      <c r="B1410" s="135" t="s">
        <v>1987</v>
      </c>
      <c r="C1410" s="231">
        <v>97811</v>
      </c>
      <c r="H1410" s="230"/>
      <c r="K1410" s="230"/>
      <c r="P1410" s="230"/>
    </row>
    <row r="1411" spans="1:16">
      <c r="A1411" s="231"/>
      <c r="B1411" s="135" t="s">
        <v>1417</v>
      </c>
      <c r="C1411" s="231">
        <v>97817</v>
      </c>
      <c r="H1411" s="230"/>
      <c r="K1411" s="230"/>
      <c r="P1411" s="230"/>
    </row>
    <row r="1412" spans="1:16">
      <c r="A1412" s="231"/>
      <c r="B1412" s="135" t="s">
        <v>2804</v>
      </c>
      <c r="C1412" s="231">
        <v>97818</v>
      </c>
      <c r="H1412" s="230"/>
      <c r="K1412" s="230"/>
      <c r="P1412" s="230"/>
    </row>
    <row r="1413" spans="1:16">
      <c r="A1413" s="231"/>
      <c r="B1413" s="135" t="s">
        <v>2572</v>
      </c>
      <c r="C1413" s="231">
        <v>93341</v>
      </c>
      <c r="H1413" s="230"/>
      <c r="K1413" s="230"/>
      <c r="P1413" s="230"/>
    </row>
    <row r="1414" spans="1:16">
      <c r="A1414" s="231"/>
      <c r="B1414" s="135" t="s">
        <v>1230</v>
      </c>
      <c r="C1414" s="231">
        <v>95601</v>
      </c>
      <c r="H1414" s="230"/>
      <c r="K1414" s="230"/>
      <c r="P1414" s="230"/>
    </row>
    <row r="1415" spans="1:16">
      <c r="A1415" s="231"/>
      <c r="B1415" s="135" t="s">
        <v>2573</v>
      </c>
      <c r="C1415" s="231">
        <v>97941</v>
      </c>
      <c r="H1415" s="230"/>
      <c r="K1415" s="230"/>
      <c r="P1415" s="230"/>
    </row>
    <row r="1416" spans="1:16">
      <c r="A1416" s="231"/>
      <c r="B1416" s="135" t="s">
        <v>1438</v>
      </c>
      <c r="C1416" s="231">
        <v>97947</v>
      </c>
      <c r="H1416" s="230"/>
      <c r="K1416" s="230"/>
      <c r="P1416" s="230"/>
    </row>
    <row r="1417" spans="1:16">
      <c r="A1417" s="231"/>
      <c r="B1417" s="135" t="s">
        <v>1234</v>
      </c>
      <c r="C1417" s="231">
        <v>95701</v>
      </c>
      <c r="H1417" s="230"/>
      <c r="K1417" s="230"/>
      <c r="P1417" s="230"/>
    </row>
    <row r="1418" spans="1:16">
      <c r="A1418" s="231"/>
      <c r="B1418" s="135" t="s">
        <v>1439</v>
      </c>
      <c r="C1418" s="231">
        <v>97948</v>
      </c>
      <c r="H1418" s="230"/>
      <c r="K1418" s="230"/>
      <c r="P1418" s="230"/>
    </row>
    <row r="1419" spans="1:16">
      <c r="A1419" s="231"/>
      <c r="B1419" s="135" t="s">
        <v>2574</v>
      </c>
      <c r="C1419" s="231">
        <v>94421</v>
      </c>
      <c r="H1419" s="230"/>
      <c r="K1419" s="230"/>
      <c r="P1419" s="230"/>
    </row>
    <row r="1420" spans="1:16">
      <c r="A1420" s="231"/>
      <c r="B1420" s="135" t="s">
        <v>1145</v>
      </c>
      <c r="C1420" s="231">
        <v>94427</v>
      </c>
      <c r="H1420" s="230"/>
      <c r="K1420" s="230"/>
      <c r="P1420" s="230"/>
    </row>
    <row r="1421" spans="1:16">
      <c r="A1421" s="231"/>
      <c r="B1421" s="135" t="s">
        <v>2803</v>
      </c>
      <c r="C1421" s="231">
        <v>94428</v>
      </c>
      <c r="H1421" s="230"/>
      <c r="K1421" s="230"/>
      <c r="P1421" s="230"/>
    </row>
    <row r="1422" spans="1:16">
      <c r="A1422" s="231"/>
      <c r="B1422" s="135" t="s">
        <v>2575</v>
      </c>
      <c r="C1422" s="231">
        <v>93191</v>
      </c>
      <c r="H1422" s="230"/>
      <c r="K1422" s="230"/>
      <c r="P1422" s="230"/>
    </row>
    <row r="1423" spans="1:16">
      <c r="A1423" s="231"/>
      <c r="B1423" s="135" t="s">
        <v>2576</v>
      </c>
      <c r="C1423" s="231">
        <v>91831</v>
      </c>
      <c r="H1423" s="230"/>
      <c r="K1423" s="230"/>
      <c r="P1423" s="230"/>
    </row>
    <row r="1424" spans="1:16">
      <c r="A1424" s="231"/>
      <c r="B1424" s="135" t="s">
        <v>2577</v>
      </c>
      <c r="C1424" s="231">
        <v>92831</v>
      </c>
      <c r="H1424" s="230"/>
      <c r="K1424" s="230"/>
      <c r="P1424" s="230"/>
    </row>
    <row r="1425" spans="1:16">
      <c r="A1425" s="231"/>
      <c r="B1425" s="135" t="s">
        <v>2578</v>
      </c>
      <c r="C1425" s="231">
        <v>95911</v>
      </c>
      <c r="H1425" s="230"/>
      <c r="K1425" s="230"/>
      <c r="P1425" s="230"/>
    </row>
    <row r="1426" spans="1:16">
      <c r="A1426" s="231"/>
      <c r="B1426" s="135" t="s">
        <v>1251</v>
      </c>
      <c r="C1426" s="231">
        <v>95917</v>
      </c>
      <c r="H1426" s="230"/>
      <c r="K1426" s="230"/>
      <c r="P1426" s="230"/>
    </row>
    <row r="1427" spans="1:16">
      <c r="A1427" s="231"/>
      <c r="B1427" s="135" t="s">
        <v>2579</v>
      </c>
      <c r="C1427" s="231">
        <v>95711</v>
      </c>
      <c r="H1427" s="230"/>
      <c r="K1427" s="230"/>
      <c r="P1427" s="230"/>
    </row>
    <row r="1428" spans="1:16">
      <c r="A1428" s="231"/>
      <c r="B1428" s="135" t="s">
        <v>2580</v>
      </c>
      <c r="C1428" s="231">
        <v>95721</v>
      </c>
      <c r="H1428" s="230"/>
      <c r="K1428" s="230"/>
      <c r="P1428" s="230"/>
    </row>
    <row r="1429" spans="1:16">
      <c r="A1429" s="231"/>
      <c r="B1429" s="135" t="s">
        <v>2581</v>
      </c>
      <c r="C1429" s="231">
        <v>99021</v>
      </c>
      <c r="H1429" s="230"/>
      <c r="K1429" s="230"/>
      <c r="P1429" s="230"/>
    </row>
    <row r="1430" spans="1:16">
      <c r="A1430" s="231"/>
      <c r="B1430" s="135" t="s">
        <v>2764</v>
      </c>
      <c r="C1430" s="231">
        <v>95802</v>
      </c>
      <c r="H1430" s="230"/>
      <c r="K1430" s="230"/>
      <c r="P1430" s="230"/>
    </row>
    <row r="1431" spans="1:16">
      <c r="A1431" s="231"/>
      <c r="B1431" s="135" t="s">
        <v>1238</v>
      </c>
      <c r="C1431" s="231">
        <v>95801</v>
      </c>
      <c r="H1431" s="230"/>
      <c r="K1431" s="230"/>
      <c r="P1431" s="230"/>
    </row>
    <row r="1432" spans="1:16">
      <c r="A1432" s="231"/>
      <c r="B1432" s="135" t="s">
        <v>1240</v>
      </c>
      <c r="C1432" s="231">
        <v>95804</v>
      </c>
      <c r="H1432" s="230"/>
      <c r="K1432" s="230"/>
      <c r="P1432" s="230"/>
    </row>
    <row r="1433" spans="1:16">
      <c r="A1433" s="231"/>
      <c r="B1433" s="135" t="s">
        <v>2802</v>
      </c>
      <c r="C1433" s="231">
        <v>90092</v>
      </c>
      <c r="H1433" s="230"/>
      <c r="K1433" s="230"/>
      <c r="P1433" s="230"/>
    </row>
    <row r="1434" spans="1:16">
      <c r="A1434" s="231"/>
      <c r="B1434" s="135" t="s">
        <v>2582</v>
      </c>
      <c r="C1434" s="231">
        <v>99081</v>
      </c>
      <c r="H1434" s="230"/>
      <c r="K1434" s="230"/>
      <c r="P1434" s="230"/>
    </row>
    <row r="1435" spans="1:16">
      <c r="A1435" s="231"/>
      <c r="B1435" s="135" t="s">
        <v>2583</v>
      </c>
      <c r="C1435" s="231">
        <v>96071</v>
      </c>
      <c r="H1435" s="230"/>
      <c r="K1435" s="230"/>
      <c r="P1435" s="230"/>
    </row>
    <row r="1436" spans="1:16">
      <c r="A1436" s="231"/>
      <c r="B1436" s="135" t="s">
        <v>1096</v>
      </c>
      <c r="C1436" s="231">
        <v>94002</v>
      </c>
      <c r="H1436" s="230"/>
      <c r="K1436" s="230"/>
      <c r="P1436" s="230"/>
    </row>
    <row r="1437" spans="1:16">
      <c r="A1437" s="231"/>
      <c r="B1437" s="135" t="s">
        <v>2584</v>
      </c>
      <c r="C1437" s="231">
        <v>97840</v>
      </c>
      <c r="H1437" s="230"/>
      <c r="K1437" s="230"/>
      <c r="P1437" s="230"/>
    </row>
    <row r="1438" spans="1:16">
      <c r="A1438" s="231"/>
      <c r="B1438" s="135" t="s">
        <v>1425</v>
      </c>
      <c r="C1438" s="231">
        <v>97847</v>
      </c>
      <c r="H1438" s="230"/>
      <c r="K1438" s="230"/>
      <c r="P1438" s="230"/>
    </row>
    <row r="1439" spans="1:16">
      <c r="A1439" s="231"/>
      <c r="B1439" s="135" t="s">
        <v>2585</v>
      </c>
      <c r="C1439" s="231">
        <v>97921</v>
      </c>
      <c r="H1439" s="230"/>
      <c r="K1439" s="230"/>
      <c r="P1439" s="230"/>
    </row>
    <row r="1440" spans="1:16">
      <c r="A1440" s="231"/>
      <c r="B1440" s="135" t="s">
        <v>2586</v>
      </c>
      <c r="C1440" s="231">
        <v>95221</v>
      </c>
      <c r="H1440" s="230"/>
      <c r="K1440" s="230"/>
      <c r="P1440" s="230"/>
    </row>
    <row r="1441" spans="1:16">
      <c r="A1441" s="231"/>
      <c r="B1441" s="135" t="s">
        <v>2587</v>
      </c>
      <c r="C1441" s="231">
        <v>93610</v>
      </c>
      <c r="H1441" s="230"/>
      <c r="K1441" s="230"/>
      <c r="P1441" s="230"/>
    </row>
    <row r="1442" spans="1:16">
      <c r="A1442" s="231"/>
      <c r="B1442" s="135" t="s">
        <v>1248</v>
      </c>
      <c r="C1442" s="231">
        <v>95901</v>
      </c>
      <c r="H1442" s="230"/>
      <c r="K1442" s="230"/>
      <c r="P1442" s="230"/>
    </row>
    <row r="1443" spans="1:16">
      <c r="A1443" s="231"/>
      <c r="B1443" s="135" t="s">
        <v>1988</v>
      </c>
      <c r="C1443" s="231">
        <v>90114</v>
      </c>
      <c r="H1443" s="230"/>
      <c r="K1443" s="230"/>
      <c r="P1443" s="230"/>
    </row>
    <row r="1444" spans="1:16">
      <c r="A1444" s="231"/>
      <c r="B1444" s="135" t="s">
        <v>1253</v>
      </c>
      <c r="C1444" s="231">
        <v>96001</v>
      </c>
      <c r="H1444" s="230"/>
      <c r="K1444" s="230"/>
      <c r="P1444" s="230"/>
    </row>
    <row r="1445" spans="1:16">
      <c r="A1445" s="231"/>
      <c r="B1445" s="135" t="s">
        <v>1255</v>
      </c>
      <c r="C1445" s="231">
        <v>96004</v>
      </c>
      <c r="H1445" s="230"/>
      <c r="K1445" s="230"/>
      <c r="P1445" s="230"/>
    </row>
    <row r="1446" spans="1:16">
      <c r="A1446" s="231"/>
      <c r="B1446" s="135" t="s">
        <v>2801</v>
      </c>
      <c r="C1446" s="231">
        <v>96008</v>
      </c>
      <c r="H1446" s="230"/>
      <c r="K1446" s="230"/>
      <c r="P1446" s="230"/>
    </row>
    <row r="1447" spans="1:16">
      <c r="A1447" s="231"/>
      <c r="B1447" s="135" t="s">
        <v>833</v>
      </c>
      <c r="C1447" s="231">
        <v>91108</v>
      </c>
      <c r="H1447" s="230"/>
      <c r="K1447" s="230"/>
      <c r="P1447" s="230"/>
    </row>
    <row r="1448" spans="1:16">
      <c r="A1448" s="231"/>
      <c r="B1448" s="135" t="s">
        <v>1181</v>
      </c>
      <c r="C1448" s="231">
        <v>94941</v>
      </c>
      <c r="H1448" s="230"/>
      <c r="K1448" s="230"/>
      <c r="P1448" s="230"/>
    </row>
    <row r="1449" spans="1:16">
      <c r="A1449" s="231"/>
      <c r="B1449" s="135" t="s">
        <v>2588</v>
      </c>
      <c r="C1449" s="231">
        <v>95122</v>
      </c>
      <c r="H1449" s="230"/>
      <c r="K1449" s="230"/>
      <c r="P1449" s="230"/>
    </row>
    <row r="1450" spans="1:16">
      <c r="A1450" s="231"/>
      <c r="B1450" s="135" t="s">
        <v>971</v>
      </c>
      <c r="C1450" s="231">
        <v>92607</v>
      </c>
      <c r="H1450" s="230"/>
      <c r="K1450" s="230"/>
      <c r="P1450" s="230"/>
    </row>
    <row r="1451" spans="1:16">
      <c r="A1451" s="231"/>
      <c r="B1451" s="135" t="s">
        <v>2589</v>
      </c>
      <c r="C1451" s="231">
        <v>96431</v>
      </c>
      <c r="H1451" s="230"/>
      <c r="K1451" s="230"/>
      <c r="P1451" s="230"/>
    </row>
    <row r="1452" spans="1:16">
      <c r="A1452" s="231"/>
      <c r="B1452" s="135" t="s">
        <v>778</v>
      </c>
      <c r="C1452" s="231">
        <v>90709</v>
      </c>
      <c r="H1452" s="230"/>
      <c r="K1452" s="230"/>
      <c r="P1452" s="230"/>
    </row>
    <row r="1453" spans="1:16">
      <c r="A1453" s="231"/>
      <c r="B1453" s="135" t="s">
        <v>2590</v>
      </c>
      <c r="C1453" s="231">
        <v>91341</v>
      </c>
      <c r="H1453" s="230"/>
      <c r="K1453" s="230"/>
      <c r="P1453" s="230"/>
    </row>
    <row r="1454" spans="1:16">
      <c r="A1454" s="231"/>
      <c r="B1454" s="135" t="s">
        <v>2591</v>
      </c>
      <c r="C1454" s="231">
        <v>92941</v>
      </c>
      <c r="H1454" s="230"/>
      <c r="K1454" s="230"/>
      <c r="P1454" s="230"/>
    </row>
    <row r="1455" spans="1:16">
      <c r="A1455" s="231"/>
      <c r="B1455" s="135" t="s">
        <v>2592</v>
      </c>
      <c r="C1455" s="231">
        <v>94551</v>
      </c>
      <c r="H1455" s="230"/>
      <c r="K1455" s="230"/>
      <c r="P1455" s="230"/>
    </row>
    <row r="1456" spans="1:16">
      <c r="A1456" s="231"/>
      <c r="B1456" s="135" t="s">
        <v>2593</v>
      </c>
      <c r="C1456" s="231">
        <v>99022</v>
      </c>
      <c r="H1456" s="230"/>
      <c r="K1456" s="230"/>
      <c r="P1456" s="230"/>
    </row>
    <row r="1457" spans="1:16">
      <c r="A1457" s="231"/>
      <c r="B1457" s="135" t="s">
        <v>2594</v>
      </c>
      <c r="C1457" s="231">
        <v>96031</v>
      </c>
      <c r="H1457" s="230"/>
      <c r="K1457" s="230"/>
      <c r="P1457" s="230"/>
    </row>
    <row r="1458" spans="1:16">
      <c r="A1458" s="231"/>
      <c r="B1458" s="135" t="s">
        <v>2595</v>
      </c>
      <c r="C1458" s="231">
        <v>98414</v>
      </c>
      <c r="H1458" s="230"/>
      <c r="K1458" s="230"/>
      <c r="P1458" s="230"/>
    </row>
    <row r="1459" spans="1:16">
      <c r="A1459" s="231"/>
      <c r="B1459" s="135" t="s">
        <v>1269</v>
      </c>
      <c r="C1459" s="231">
        <v>96101</v>
      </c>
      <c r="H1459" s="230"/>
      <c r="K1459" s="230"/>
      <c r="P1459" s="230"/>
    </row>
    <row r="1460" spans="1:16">
      <c r="A1460" s="231"/>
      <c r="B1460" s="135" t="s">
        <v>2800</v>
      </c>
      <c r="C1460" s="231">
        <v>96102</v>
      </c>
      <c r="H1460" s="230"/>
      <c r="K1460" s="230"/>
      <c r="P1460" s="230"/>
    </row>
    <row r="1461" spans="1:16">
      <c r="A1461" s="231"/>
      <c r="B1461" s="135" t="s">
        <v>2596</v>
      </c>
      <c r="C1461" s="231">
        <v>93011</v>
      </c>
      <c r="H1461" s="230"/>
      <c r="K1461" s="230"/>
      <c r="P1461" s="230"/>
    </row>
    <row r="1462" spans="1:16">
      <c r="A1462" s="231"/>
      <c r="B1462" s="135" t="s">
        <v>1989</v>
      </c>
      <c r="C1462" s="231">
        <v>99011</v>
      </c>
      <c r="H1462" s="230"/>
      <c r="K1462" s="230"/>
      <c r="P1462" s="230"/>
    </row>
    <row r="1463" spans="1:16">
      <c r="A1463" s="231"/>
      <c r="B1463" s="135" t="s">
        <v>1526</v>
      </c>
      <c r="C1463" s="231">
        <v>99017</v>
      </c>
      <c r="H1463" s="230"/>
      <c r="K1463" s="230"/>
      <c r="P1463" s="230"/>
    </row>
    <row r="1464" spans="1:16">
      <c r="A1464" s="231"/>
      <c r="B1464" s="135" t="s">
        <v>1990</v>
      </c>
      <c r="C1464" s="231">
        <v>99013</v>
      </c>
      <c r="H1464" s="230"/>
      <c r="K1464" s="230"/>
      <c r="P1464" s="230"/>
    </row>
    <row r="1465" spans="1:16">
      <c r="A1465" s="231"/>
      <c r="B1465" s="135" t="s">
        <v>1273</v>
      </c>
      <c r="C1465" s="231">
        <v>96201</v>
      </c>
      <c r="H1465" s="230"/>
      <c r="K1465" s="230"/>
      <c r="P1465" s="230"/>
    </row>
    <row r="1466" spans="1:16">
      <c r="A1466" s="231"/>
      <c r="B1466" s="135" t="s">
        <v>1274</v>
      </c>
      <c r="C1466" s="231">
        <v>96204</v>
      </c>
      <c r="H1466" s="230"/>
      <c r="K1466" s="230"/>
      <c r="P1466" s="230"/>
    </row>
    <row r="1467" spans="1:16">
      <c r="A1467" s="231"/>
      <c r="B1467" s="135" t="s">
        <v>2597</v>
      </c>
      <c r="C1467" s="231">
        <v>91161</v>
      </c>
      <c r="H1467" s="230"/>
      <c r="K1467" s="230"/>
      <c r="P1467" s="230"/>
    </row>
    <row r="1468" spans="1:16">
      <c r="A1468" s="231"/>
      <c r="B1468" s="135" t="s">
        <v>1280</v>
      </c>
      <c r="C1468" s="231">
        <v>96301</v>
      </c>
      <c r="H1468" s="230"/>
      <c r="K1468" s="230"/>
      <c r="P1468" s="230"/>
    </row>
    <row r="1469" spans="1:16">
      <c r="A1469" s="231"/>
      <c r="B1469" s="135" t="s">
        <v>1282</v>
      </c>
      <c r="C1469" s="231">
        <v>96304</v>
      </c>
      <c r="H1469" s="230"/>
      <c r="K1469" s="230"/>
      <c r="P1469" s="230"/>
    </row>
    <row r="1470" spans="1:16">
      <c r="A1470" s="231"/>
      <c r="B1470" s="135" t="s">
        <v>1284</v>
      </c>
      <c r="C1470" s="231">
        <v>96310</v>
      </c>
      <c r="H1470" s="230"/>
      <c r="K1470" s="230"/>
      <c r="P1470" s="230"/>
    </row>
    <row r="1471" spans="1:16">
      <c r="A1471" s="231"/>
      <c r="B1471" s="135" t="s">
        <v>1283</v>
      </c>
      <c r="C1471" s="231">
        <v>96305</v>
      </c>
      <c r="H1471" s="230"/>
      <c r="K1471" s="230"/>
      <c r="P1471" s="230"/>
    </row>
    <row r="1472" spans="1:16">
      <c r="A1472" s="231"/>
      <c r="B1472" s="135" t="s">
        <v>1991</v>
      </c>
      <c r="C1472" s="231">
        <v>94921</v>
      </c>
      <c r="H1472" s="230"/>
      <c r="K1472" s="230"/>
      <c r="P1472" s="230"/>
    </row>
    <row r="1473" spans="1:16">
      <c r="A1473" s="231"/>
      <c r="B1473" s="135" t="s">
        <v>1179</v>
      </c>
      <c r="C1473" s="231">
        <v>94927</v>
      </c>
      <c r="H1473" s="230"/>
      <c r="K1473" s="230"/>
      <c r="P1473" s="230"/>
    </row>
    <row r="1474" spans="1:16">
      <c r="A1474" s="231"/>
      <c r="B1474" s="135" t="s">
        <v>1178</v>
      </c>
      <c r="C1474" s="231">
        <v>94923</v>
      </c>
      <c r="H1474" s="230"/>
      <c r="K1474" s="230"/>
      <c r="P1474" s="230"/>
    </row>
    <row r="1475" spans="1:16">
      <c r="A1475" s="231"/>
      <c r="B1475" s="135" t="s">
        <v>2598</v>
      </c>
      <c r="C1475" s="231">
        <v>91611</v>
      </c>
      <c r="H1475" s="230"/>
      <c r="K1475" s="230"/>
      <c r="P1475" s="230"/>
    </row>
    <row r="1476" spans="1:16">
      <c r="A1476" s="231"/>
      <c r="B1476" s="135" t="s">
        <v>1992</v>
      </c>
      <c r="C1476" s="231">
        <v>91231</v>
      </c>
      <c r="H1476" s="230"/>
      <c r="K1476" s="230"/>
      <c r="P1476" s="230"/>
    </row>
    <row r="1477" spans="1:16">
      <c r="A1477" s="231"/>
      <c r="B1477" s="135" t="s">
        <v>855</v>
      </c>
      <c r="C1477" s="231">
        <v>91217</v>
      </c>
      <c r="H1477" s="230"/>
      <c r="K1477" s="230"/>
      <c r="P1477" s="230"/>
    </row>
    <row r="1478" spans="1:16">
      <c r="A1478" s="231"/>
      <c r="B1478" s="135" t="s">
        <v>858</v>
      </c>
      <c r="C1478" s="231">
        <v>91233</v>
      </c>
      <c r="H1478" s="230"/>
      <c r="K1478" s="230"/>
      <c r="P1478" s="230"/>
    </row>
    <row r="1479" spans="1:16">
      <c r="A1479" s="231"/>
      <c r="B1479" s="135" t="s">
        <v>2599</v>
      </c>
      <c r="C1479" s="231">
        <v>99206</v>
      </c>
      <c r="H1479" s="230"/>
      <c r="K1479" s="230"/>
      <c r="P1479" s="230"/>
    </row>
    <row r="1480" spans="1:16">
      <c r="A1480" s="231"/>
      <c r="B1480" s="135" t="s">
        <v>2600</v>
      </c>
      <c r="C1480" s="231">
        <v>90461</v>
      </c>
      <c r="H1480" s="230"/>
      <c r="K1480" s="230"/>
      <c r="P1480" s="230"/>
    </row>
    <row r="1481" spans="1:16">
      <c r="A1481" s="231"/>
      <c r="B1481" s="135" t="s">
        <v>1993</v>
      </c>
      <c r="C1481" s="231">
        <v>98631</v>
      </c>
      <c r="H1481" s="230"/>
      <c r="K1481" s="230"/>
      <c r="P1481" s="230"/>
    </row>
    <row r="1482" spans="1:16">
      <c r="A1482" s="231"/>
      <c r="B1482" s="135" t="s">
        <v>1511</v>
      </c>
      <c r="C1482" s="231">
        <v>98637</v>
      </c>
      <c r="H1482" s="230"/>
      <c r="K1482" s="230"/>
      <c r="P1482" s="230"/>
    </row>
    <row r="1483" spans="1:16">
      <c r="A1483" s="231"/>
      <c r="B1483" s="135" t="s">
        <v>2601</v>
      </c>
      <c r="C1483" s="231">
        <v>96251</v>
      </c>
      <c r="H1483" s="230"/>
      <c r="K1483" s="230"/>
      <c r="P1483" s="230"/>
    </row>
    <row r="1484" spans="1:16">
      <c r="A1484" s="231"/>
      <c r="B1484" s="135" t="s">
        <v>1994</v>
      </c>
      <c r="C1484" s="231">
        <v>93691</v>
      </c>
      <c r="H1484" s="230"/>
      <c r="K1484" s="230"/>
      <c r="P1484" s="230"/>
    </row>
    <row r="1485" spans="1:16">
      <c r="A1485" s="231"/>
      <c r="B1485" s="135" t="s">
        <v>2602</v>
      </c>
      <c r="C1485" s="231">
        <v>99621</v>
      </c>
      <c r="H1485" s="230"/>
      <c r="K1485" s="230"/>
      <c r="P1485" s="230"/>
    </row>
    <row r="1486" spans="1:16">
      <c r="A1486" s="231"/>
      <c r="B1486" s="135" t="s">
        <v>3507</v>
      </c>
      <c r="C1486" s="231">
        <v>99623</v>
      </c>
      <c r="H1486" s="230"/>
      <c r="K1486" s="230"/>
      <c r="P1486" s="230"/>
    </row>
    <row r="1487" spans="1:16">
      <c r="A1487" s="231"/>
      <c r="B1487" s="135" t="s">
        <v>2603</v>
      </c>
      <c r="C1487" s="231">
        <v>91321</v>
      </c>
      <c r="H1487" s="230"/>
      <c r="K1487" s="230"/>
      <c r="P1487" s="230"/>
    </row>
    <row r="1488" spans="1:16">
      <c r="A1488" s="231"/>
      <c r="B1488" s="135" t="s">
        <v>3508</v>
      </c>
      <c r="C1488" s="231">
        <v>91327</v>
      </c>
      <c r="H1488" s="230"/>
      <c r="K1488" s="230"/>
      <c r="P1488" s="230"/>
    </row>
    <row r="1489" spans="1:16">
      <c r="A1489" s="231"/>
      <c r="B1489" s="135" t="s">
        <v>2604</v>
      </c>
      <c r="C1489" s="231">
        <v>94621</v>
      </c>
      <c r="H1489" s="230"/>
      <c r="K1489" s="230"/>
      <c r="P1489" s="230"/>
    </row>
    <row r="1490" spans="1:16">
      <c r="A1490" s="231"/>
      <c r="B1490" s="135" t="s">
        <v>2605</v>
      </c>
      <c r="C1490" s="231">
        <v>92011</v>
      </c>
      <c r="H1490" s="230"/>
      <c r="K1490" s="230"/>
      <c r="P1490" s="230"/>
    </row>
    <row r="1491" spans="1:16">
      <c r="A1491" s="231"/>
      <c r="B1491" s="135" t="s">
        <v>925</v>
      </c>
      <c r="C1491" s="231">
        <v>92017</v>
      </c>
      <c r="H1491" s="230"/>
      <c r="K1491" s="230"/>
      <c r="P1491" s="230"/>
    </row>
    <row r="1492" spans="1:16">
      <c r="A1492" s="231"/>
      <c r="B1492" s="135" t="s">
        <v>1616</v>
      </c>
      <c r="C1492" s="53">
        <v>99991</v>
      </c>
      <c r="H1492" s="230"/>
      <c r="K1492" s="230"/>
      <c r="P1492" s="230"/>
    </row>
    <row r="1493" spans="1:16">
      <c r="A1493" s="231"/>
      <c r="B1493" s="135" t="s">
        <v>1617</v>
      </c>
      <c r="C1493" s="53">
        <v>99999</v>
      </c>
      <c r="H1493" s="230"/>
      <c r="K1493" s="230"/>
      <c r="P1493" s="230"/>
    </row>
    <row r="1494" spans="1:16">
      <c r="A1494" s="231"/>
      <c r="B1494" s="135" t="s">
        <v>2609</v>
      </c>
      <c r="C1494" s="231">
        <v>92811</v>
      </c>
      <c r="H1494" s="230"/>
      <c r="K1494" s="230"/>
      <c r="P1494" s="230"/>
    </row>
    <row r="1495" spans="1:16">
      <c r="A1495" s="231"/>
      <c r="B1495" s="135" t="s">
        <v>923</v>
      </c>
      <c r="C1495" s="231">
        <v>92005</v>
      </c>
      <c r="H1495" s="230"/>
      <c r="K1495" s="230"/>
      <c r="P1495" s="230"/>
    </row>
    <row r="1496" spans="1:16">
      <c r="A1496" s="231"/>
      <c r="B1496" s="135" t="s">
        <v>1296</v>
      </c>
      <c r="C1496" s="231">
        <v>96401</v>
      </c>
      <c r="H1496" s="230"/>
      <c r="K1496" s="230"/>
      <c r="P1496" s="230"/>
    </row>
    <row r="1497" spans="1:16">
      <c r="A1497" s="231"/>
      <c r="B1497" s="135" t="s">
        <v>1297</v>
      </c>
      <c r="C1497" s="231">
        <v>96404</v>
      </c>
      <c r="H1497" s="230"/>
      <c r="K1497" s="230"/>
      <c r="P1497" s="230"/>
    </row>
    <row r="1498" spans="1:16">
      <c r="A1498" s="231"/>
      <c r="B1498" s="135" t="s">
        <v>2610</v>
      </c>
      <c r="C1498" s="231">
        <v>96421</v>
      </c>
      <c r="H1498" s="230"/>
      <c r="K1498" s="230"/>
      <c r="P1498" s="230"/>
    </row>
    <row r="1499" spans="1:16">
      <c r="A1499" s="231"/>
      <c r="B1499" s="135" t="s">
        <v>2611</v>
      </c>
      <c r="C1499" s="231">
        <v>91026</v>
      </c>
      <c r="H1499" s="230"/>
      <c r="K1499" s="230"/>
      <c r="P1499" s="230"/>
    </row>
    <row r="1500" spans="1:16">
      <c r="A1500" s="231"/>
      <c r="B1500" s="135" t="s">
        <v>1218</v>
      </c>
      <c r="C1500" s="231">
        <v>95405</v>
      </c>
      <c r="H1500" s="230"/>
      <c r="K1500" s="230"/>
      <c r="P1500" s="230"/>
    </row>
    <row r="1501" spans="1:16">
      <c r="A1501" s="231"/>
      <c r="B1501" s="135" t="s">
        <v>1098</v>
      </c>
      <c r="C1501" s="231">
        <v>94005</v>
      </c>
      <c r="H1501" s="230"/>
      <c r="K1501" s="230"/>
      <c r="P1501" s="230"/>
    </row>
    <row r="1502" spans="1:16">
      <c r="A1502" s="231"/>
      <c r="B1502" s="135" t="s">
        <v>1209</v>
      </c>
      <c r="C1502" s="231">
        <v>95205</v>
      </c>
      <c r="H1502" s="230"/>
      <c r="K1502" s="230"/>
      <c r="P1502" s="230"/>
    </row>
    <row r="1503" spans="1:16">
      <c r="A1503" s="231"/>
      <c r="B1503" s="135" t="s">
        <v>958</v>
      </c>
      <c r="C1503" s="231">
        <v>92507</v>
      </c>
      <c r="H1503" s="230"/>
      <c r="K1503" s="230"/>
      <c r="P1503" s="230"/>
    </row>
    <row r="1504" spans="1:16">
      <c r="A1504" s="231"/>
      <c r="B1504" s="135" t="s">
        <v>1995</v>
      </c>
      <c r="C1504" s="231">
        <v>92511</v>
      </c>
      <c r="H1504" s="230"/>
      <c r="K1504" s="230"/>
      <c r="P1504" s="230"/>
    </row>
    <row r="1505" spans="1:16">
      <c r="A1505" s="231"/>
      <c r="B1505" s="135" t="s">
        <v>2774</v>
      </c>
      <c r="C1505" s="231">
        <v>92113</v>
      </c>
      <c r="H1505" s="230"/>
      <c r="K1505" s="230"/>
      <c r="P1505" s="230"/>
    </row>
    <row r="1506" spans="1:16">
      <c r="A1506" s="231"/>
      <c r="B1506" s="135" t="s">
        <v>2765</v>
      </c>
      <c r="C1506" s="231">
        <v>96502</v>
      </c>
      <c r="H1506" s="230"/>
      <c r="K1506" s="230"/>
      <c r="P1506" s="230"/>
    </row>
    <row r="1507" spans="1:16">
      <c r="A1507" s="231"/>
      <c r="B1507" s="135" t="s">
        <v>1305</v>
      </c>
      <c r="C1507" s="231">
        <v>96501</v>
      </c>
      <c r="H1507" s="230"/>
      <c r="K1507" s="230"/>
      <c r="P1507" s="230"/>
    </row>
    <row r="1508" spans="1:16">
      <c r="A1508" s="231"/>
      <c r="B1508" s="135" t="s">
        <v>1308</v>
      </c>
      <c r="C1508" s="231">
        <v>96504</v>
      </c>
      <c r="H1508" s="230"/>
      <c r="K1508" s="230"/>
      <c r="P1508" s="230"/>
    </row>
    <row r="1509" spans="1:16">
      <c r="A1509" s="231"/>
      <c r="B1509" s="257" t="s">
        <v>2612</v>
      </c>
      <c r="C1509" s="231">
        <v>98471</v>
      </c>
      <c r="H1509" s="230"/>
      <c r="K1509" s="230"/>
      <c r="P1509" s="230"/>
    </row>
    <row r="1510" spans="1:16">
      <c r="A1510" s="231"/>
      <c r="B1510" s="135" t="s">
        <v>2775</v>
      </c>
      <c r="C1510" s="231">
        <v>97913</v>
      </c>
      <c r="H1510" s="230"/>
      <c r="K1510" s="230"/>
      <c r="P1510" s="230"/>
    </row>
    <row r="1511" spans="1:16">
      <c r="A1511" s="231"/>
      <c r="B1511" s="135" t="s">
        <v>2613</v>
      </c>
      <c r="C1511" s="231">
        <v>90621</v>
      </c>
      <c r="H1511" s="230"/>
      <c r="K1511" s="230"/>
      <c r="P1511" s="230"/>
    </row>
    <row r="1512" spans="1:16">
      <c r="A1512" s="231"/>
      <c r="B1512" s="135" t="s">
        <v>2614</v>
      </c>
      <c r="C1512" s="231">
        <v>91621</v>
      </c>
      <c r="H1512" s="230"/>
      <c r="K1512" s="230"/>
      <c r="P1512" s="230"/>
    </row>
    <row r="1513" spans="1:16">
      <c r="A1513" s="231"/>
      <c r="B1513" s="135" t="s">
        <v>1996</v>
      </c>
      <c r="C1513" s="231">
        <v>91871</v>
      </c>
      <c r="H1513" s="230"/>
      <c r="K1513" s="230"/>
      <c r="P1513" s="230"/>
    </row>
    <row r="1514" spans="1:16">
      <c r="A1514" s="231"/>
      <c r="B1514" s="135" t="s">
        <v>2615</v>
      </c>
      <c r="C1514" s="231">
        <v>98231</v>
      </c>
      <c r="H1514" s="230"/>
      <c r="K1514" s="230"/>
      <c r="P1514" s="230"/>
    </row>
    <row r="1515" spans="1:16">
      <c r="A1515" s="231"/>
      <c r="B1515" s="135" t="s">
        <v>2616</v>
      </c>
      <c r="C1515" s="231">
        <v>99311</v>
      </c>
      <c r="H1515" s="230"/>
      <c r="K1515" s="230"/>
      <c r="P1515" s="230"/>
    </row>
    <row r="1516" spans="1:16">
      <c r="A1516" s="231"/>
      <c r="B1516" s="135" t="s">
        <v>2606</v>
      </c>
      <c r="C1516" s="231">
        <v>96751</v>
      </c>
      <c r="H1516" s="230"/>
      <c r="K1516" s="230"/>
      <c r="P1516" s="230"/>
    </row>
    <row r="1517" spans="1:16">
      <c r="A1517" s="231"/>
      <c r="B1517" s="135" t="s">
        <v>2607</v>
      </c>
      <c r="C1517" s="231">
        <v>99711</v>
      </c>
      <c r="H1517" s="230"/>
      <c r="K1517" s="230"/>
      <c r="P1517" s="230"/>
    </row>
    <row r="1518" spans="1:16">
      <c r="A1518" s="231"/>
      <c r="B1518" s="135" t="s">
        <v>2608</v>
      </c>
      <c r="C1518" s="231">
        <v>99717</v>
      </c>
      <c r="H1518" s="230"/>
      <c r="K1518" s="230"/>
      <c r="P1518" s="230"/>
    </row>
    <row r="1519" spans="1:16">
      <c r="A1519" s="231"/>
      <c r="B1519" s="135" t="s">
        <v>1316</v>
      </c>
      <c r="C1519" s="231">
        <v>96601</v>
      </c>
      <c r="H1519" s="230"/>
      <c r="K1519" s="230"/>
      <c r="P1519" s="230"/>
    </row>
    <row r="1520" spans="1:16">
      <c r="A1520" s="231"/>
      <c r="B1520" s="135" t="s">
        <v>1317</v>
      </c>
      <c r="C1520" s="231">
        <v>96604</v>
      </c>
      <c r="H1520" s="230"/>
      <c r="K1520" s="230"/>
      <c r="P1520" s="230"/>
    </row>
    <row r="1521" spans="1:16">
      <c r="A1521" s="231"/>
      <c r="B1521" s="135" t="s">
        <v>1997</v>
      </c>
      <c r="C1521" s="231">
        <v>91012</v>
      </c>
      <c r="H1521" s="230"/>
      <c r="K1521" s="230"/>
      <c r="P1521" s="230"/>
    </row>
    <row r="1522" spans="1:16">
      <c r="A1522" s="231"/>
      <c r="B1522" s="135" t="s">
        <v>753</v>
      </c>
      <c r="C1522" s="231">
        <v>90305</v>
      </c>
      <c r="H1522" s="230"/>
      <c r="K1522" s="230"/>
      <c r="P1522" s="230"/>
    </row>
    <row r="1523" spans="1:16">
      <c r="A1523" s="231"/>
      <c r="B1523" s="135" t="s">
        <v>2617</v>
      </c>
      <c r="C1523" s="231">
        <v>98421</v>
      </c>
      <c r="H1523" s="230"/>
      <c r="K1523" s="230"/>
      <c r="P1523" s="230"/>
    </row>
    <row r="1524" spans="1:16">
      <c r="A1524" s="231"/>
      <c r="B1524" s="135" t="s">
        <v>2799</v>
      </c>
      <c r="C1524" s="231">
        <v>98427</v>
      </c>
      <c r="H1524" s="230"/>
      <c r="K1524" s="230"/>
      <c r="P1524" s="230"/>
    </row>
    <row r="1525" spans="1:16">
      <c r="A1525" s="231"/>
      <c r="B1525" s="135" t="s">
        <v>2618</v>
      </c>
      <c r="C1525" s="231">
        <v>95821</v>
      </c>
      <c r="H1525" s="230"/>
      <c r="K1525" s="230"/>
      <c r="P1525" s="230"/>
    </row>
    <row r="1526" spans="1:16">
      <c r="A1526" s="231"/>
      <c r="B1526" s="135" t="s">
        <v>2619</v>
      </c>
      <c r="C1526" s="231">
        <v>91021</v>
      </c>
      <c r="H1526" s="230"/>
      <c r="K1526" s="230"/>
      <c r="P1526" s="230"/>
    </row>
    <row r="1527" spans="1:16">
      <c r="A1527" s="231"/>
      <c r="B1527" s="135" t="s">
        <v>2798</v>
      </c>
      <c r="C1527" s="231">
        <v>91027</v>
      </c>
      <c r="H1527" s="230"/>
      <c r="K1527" s="230"/>
      <c r="P1527" s="230"/>
    </row>
    <row r="1528" spans="1:16">
      <c r="A1528" s="231"/>
      <c r="B1528" s="135" t="s">
        <v>2620</v>
      </c>
      <c r="C1528" s="231">
        <v>94161</v>
      </c>
      <c r="H1528" s="230"/>
      <c r="K1528" s="230"/>
      <c r="P1528" s="230"/>
    </row>
    <row r="1529" spans="1:16">
      <c r="A1529" s="231"/>
      <c r="B1529" s="135" t="s">
        <v>2621</v>
      </c>
      <c r="C1529" s="231">
        <v>98441</v>
      </c>
      <c r="H1529" s="230"/>
      <c r="K1529" s="230"/>
      <c r="P1529" s="230"/>
    </row>
    <row r="1530" spans="1:16">
      <c r="A1530" s="231"/>
      <c r="B1530" s="135" t="s">
        <v>2622</v>
      </c>
      <c r="C1530" s="231">
        <v>91061</v>
      </c>
      <c r="H1530" s="230"/>
      <c r="K1530" s="230"/>
      <c r="P1530" s="230"/>
    </row>
    <row r="1531" spans="1:16">
      <c r="A1531" s="231"/>
      <c r="B1531" s="135" t="s">
        <v>824</v>
      </c>
      <c r="C1531" s="231">
        <v>91067</v>
      </c>
      <c r="H1531" s="230"/>
      <c r="K1531" s="230"/>
      <c r="P1531" s="230"/>
    </row>
    <row r="1532" spans="1:16">
      <c r="A1532" s="231"/>
      <c r="B1532" s="135" t="s">
        <v>2797</v>
      </c>
      <c r="C1532" s="231">
        <v>94812</v>
      </c>
      <c r="H1532" s="230"/>
      <c r="K1532" s="230"/>
      <c r="P1532" s="230"/>
    </row>
    <row r="1533" spans="1:16">
      <c r="A1533" s="231"/>
      <c r="B1533" s="135" t="s">
        <v>2623</v>
      </c>
      <c r="C1533" s="231">
        <v>95921</v>
      </c>
      <c r="H1533" s="230"/>
      <c r="K1533" s="230"/>
      <c r="P1533" s="230"/>
    </row>
    <row r="1534" spans="1:16">
      <c r="A1534" s="231"/>
      <c r="B1534" s="135" t="s">
        <v>1327</v>
      </c>
      <c r="C1534" s="231">
        <v>96701</v>
      </c>
      <c r="H1534" s="230"/>
      <c r="K1534" s="230"/>
      <c r="P1534" s="230"/>
    </row>
    <row r="1535" spans="1:16">
      <c r="A1535" s="231"/>
      <c r="B1535" s="135" t="s">
        <v>1328</v>
      </c>
      <c r="C1535" s="231">
        <v>96704</v>
      </c>
      <c r="H1535" s="230"/>
      <c r="K1535" s="230"/>
      <c r="P1535" s="230"/>
    </row>
    <row r="1536" spans="1:16">
      <c r="A1536" s="231"/>
      <c r="B1536" s="135" t="s">
        <v>1329</v>
      </c>
      <c r="C1536" s="231">
        <v>96708</v>
      </c>
      <c r="H1536" s="230"/>
      <c r="K1536" s="230"/>
      <c r="P1536" s="230"/>
    </row>
    <row r="1537" spans="1:16">
      <c r="A1537" s="231"/>
      <c r="B1537" s="135" t="s">
        <v>1336</v>
      </c>
      <c r="C1537" s="231">
        <v>96801</v>
      </c>
      <c r="H1537" s="230"/>
      <c r="K1537" s="230"/>
      <c r="P1537" s="230"/>
    </row>
    <row r="1538" spans="1:16">
      <c r="A1538" s="231"/>
      <c r="B1538" s="135" t="s">
        <v>1337</v>
      </c>
      <c r="C1538" s="231">
        <v>96804</v>
      </c>
      <c r="H1538" s="230"/>
      <c r="K1538" s="230"/>
      <c r="P1538" s="230"/>
    </row>
    <row r="1539" spans="1:16">
      <c r="A1539" s="231"/>
      <c r="B1539" s="135" t="s">
        <v>1338</v>
      </c>
      <c r="C1539" s="231">
        <v>96808</v>
      </c>
      <c r="H1539" s="230"/>
      <c r="K1539" s="230"/>
      <c r="P1539" s="230"/>
    </row>
    <row r="1540" spans="1:16">
      <c r="A1540" s="231"/>
      <c r="B1540" s="135" t="s">
        <v>2624</v>
      </c>
      <c r="C1540" s="231">
        <v>96912</v>
      </c>
      <c r="H1540" s="230"/>
      <c r="K1540" s="230"/>
      <c r="P1540" s="230"/>
    </row>
    <row r="1541" spans="1:16">
      <c r="A1541" s="231"/>
      <c r="B1541" s="135" t="s">
        <v>1998</v>
      </c>
      <c r="C1541" s="231">
        <v>93911</v>
      </c>
      <c r="H1541" s="230"/>
      <c r="K1541" s="230"/>
      <c r="P1541" s="230"/>
    </row>
    <row r="1542" spans="1:16">
      <c r="A1542" s="231"/>
      <c r="B1542" s="135" t="s">
        <v>1091</v>
      </c>
      <c r="C1542" s="231">
        <v>93913</v>
      </c>
      <c r="H1542" s="230"/>
      <c r="K1542" s="230"/>
      <c r="P1542" s="230"/>
    </row>
    <row r="1543" spans="1:16">
      <c r="A1543" s="231"/>
      <c r="B1543" s="135" t="s">
        <v>1342</v>
      </c>
      <c r="C1543" s="231">
        <v>96901</v>
      </c>
      <c r="H1543" s="230"/>
      <c r="K1543" s="230"/>
      <c r="P1543" s="230"/>
    </row>
    <row r="1544" spans="1:16">
      <c r="A1544" s="231"/>
      <c r="B1544" s="135" t="s">
        <v>2625</v>
      </c>
      <c r="C1544" s="231">
        <v>97841</v>
      </c>
      <c r="H1544" s="230"/>
      <c r="K1544" s="230"/>
      <c r="P1544" s="230"/>
    </row>
    <row r="1545" spans="1:16">
      <c r="A1545" s="231"/>
      <c r="B1545" s="135" t="s">
        <v>1022</v>
      </c>
      <c r="C1545" s="231">
        <v>93202</v>
      </c>
      <c r="H1545" s="230"/>
      <c r="K1545" s="230"/>
      <c r="P1545" s="230"/>
    </row>
    <row r="1546" spans="1:16">
      <c r="A1546" s="231"/>
      <c r="B1546" s="135" t="s">
        <v>1064</v>
      </c>
      <c r="C1546" s="231">
        <v>93609</v>
      </c>
      <c r="H1546" s="230"/>
      <c r="K1546" s="230"/>
      <c r="P1546" s="230"/>
    </row>
    <row r="1547" spans="1:16">
      <c r="A1547" s="231"/>
      <c r="B1547" s="135" t="s">
        <v>1348</v>
      </c>
      <c r="C1547" s="231">
        <v>97004</v>
      </c>
      <c r="H1547" s="230"/>
      <c r="K1547" s="230"/>
      <c r="P1547" s="230"/>
    </row>
    <row r="1548" spans="1:16">
      <c r="A1548" s="231"/>
      <c r="B1548" s="135" t="s">
        <v>1346</v>
      </c>
      <c r="C1548" s="231">
        <v>97001</v>
      </c>
      <c r="H1548" s="230"/>
      <c r="K1548" s="230"/>
      <c r="P1548" s="230"/>
    </row>
    <row r="1549" spans="1:16">
      <c r="A1549" s="231"/>
      <c r="B1549" s="135" t="s">
        <v>1347</v>
      </c>
      <c r="C1549" s="231">
        <v>97002</v>
      </c>
      <c r="H1549" s="230"/>
      <c r="K1549" s="230"/>
      <c r="P1549" s="230"/>
    </row>
    <row r="1550" spans="1:16">
      <c r="A1550" s="231"/>
      <c r="B1550" s="135" t="s">
        <v>1355</v>
      </c>
      <c r="C1550" s="231">
        <v>97015</v>
      </c>
      <c r="H1550" s="230"/>
      <c r="K1550" s="230"/>
      <c r="P1550" s="230"/>
    </row>
    <row r="1551" spans="1:16">
      <c r="A1551" s="231"/>
      <c r="B1551" s="135" t="s">
        <v>2626</v>
      </c>
      <c r="C1551" s="231">
        <v>90441</v>
      </c>
      <c r="H1551" s="230"/>
      <c r="K1551" s="230"/>
      <c r="P1551" s="230"/>
    </row>
    <row r="1552" spans="1:16">
      <c r="A1552" s="231"/>
      <c r="B1552" s="135" t="s">
        <v>2627</v>
      </c>
      <c r="C1552" s="231">
        <v>97851</v>
      </c>
      <c r="H1552" s="230"/>
      <c r="K1552" s="230"/>
      <c r="P1552" s="230"/>
    </row>
    <row r="1553" spans="1:16">
      <c r="A1553" s="231"/>
      <c r="B1553" s="135" t="s">
        <v>1427</v>
      </c>
      <c r="C1553" s="231">
        <v>97853</v>
      </c>
      <c r="H1553" s="230"/>
      <c r="K1553" s="230"/>
      <c r="P1553" s="230"/>
    </row>
    <row r="1554" spans="1:16">
      <c r="A1554" s="231"/>
      <c r="B1554" s="135" t="s">
        <v>1357</v>
      </c>
      <c r="C1554" s="231">
        <v>97101</v>
      </c>
      <c r="H1554" s="230"/>
      <c r="K1554" s="230"/>
      <c r="P1554" s="230"/>
    </row>
    <row r="1555" spans="1:16">
      <c r="A1555" s="231"/>
      <c r="B1555" s="135" t="s">
        <v>1358</v>
      </c>
      <c r="C1555" s="231">
        <v>97104</v>
      </c>
      <c r="H1555" s="230"/>
      <c r="K1555" s="230"/>
      <c r="P1555" s="230"/>
    </row>
    <row r="1556" spans="1:16">
      <c r="A1556" s="231"/>
      <c r="B1556" s="135" t="s">
        <v>1362</v>
      </c>
      <c r="C1556" s="231">
        <v>97201</v>
      </c>
      <c r="H1556" s="230"/>
      <c r="K1556" s="230"/>
      <c r="P1556" s="230"/>
    </row>
    <row r="1557" spans="1:16">
      <c r="A1557" s="231"/>
      <c r="B1557" s="135" t="s">
        <v>2796</v>
      </c>
      <c r="C1557" s="231">
        <v>97304</v>
      </c>
      <c r="H1557" s="230"/>
      <c r="K1557" s="230"/>
      <c r="P1557" s="230"/>
    </row>
    <row r="1558" spans="1:16">
      <c r="A1558" s="231"/>
      <c r="B1558" s="135" t="s">
        <v>1367</v>
      </c>
      <c r="C1558" s="231">
        <v>97301</v>
      </c>
      <c r="H1558" s="230"/>
      <c r="K1558" s="230"/>
      <c r="P1558" s="230"/>
    </row>
    <row r="1559" spans="1:16">
      <c r="A1559" s="231"/>
      <c r="B1559" s="135" t="s">
        <v>1569</v>
      </c>
      <c r="C1559" s="231">
        <v>99405</v>
      </c>
      <c r="H1559" s="230"/>
      <c r="K1559" s="230"/>
      <c r="P1559" s="230"/>
    </row>
    <row r="1560" spans="1:16">
      <c r="A1560" s="231"/>
      <c r="B1560" s="135" t="s">
        <v>728</v>
      </c>
      <c r="C1560" s="224">
        <v>72265</v>
      </c>
      <c r="H1560" s="230"/>
      <c r="K1560" s="230"/>
      <c r="P1560" s="230"/>
    </row>
    <row r="1561" spans="1:16">
      <c r="A1561" s="231"/>
      <c r="B1561" s="135" t="s">
        <v>2762</v>
      </c>
      <c r="C1561" s="231">
        <v>94112</v>
      </c>
      <c r="H1561" s="230"/>
      <c r="K1561" s="230"/>
      <c r="P1561" s="230"/>
    </row>
    <row r="1562" spans="1:16">
      <c r="A1562" s="231"/>
      <c r="B1562" s="135" t="s">
        <v>1042</v>
      </c>
      <c r="C1562" s="231">
        <v>93406</v>
      </c>
      <c r="H1562" s="230"/>
      <c r="K1562" s="230"/>
      <c r="P1562" s="230"/>
    </row>
    <row r="1563" spans="1:16">
      <c r="A1563" s="231"/>
      <c r="B1563" s="135" t="s">
        <v>2628</v>
      </c>
      <c r="C1563" s="231">
        <v>99651</v>
      </c>
      <c r="H1563" s="230"/>
      <c r="K1563" s="230"/>
      <c r="P1563" s="230"/>
    </row>
    <row r="1564" spans="1:16">
      <c r="A1564" s="231"/>
      <c r="B1564" s="135" t="s">
        <v>2629</v>
      </c>
      <c r="C1564" s="231">
        <v>98611</v>
      </c>
      <c r="H1564" s="230"/>
      <c r="K1564" s="230"/>
      <c r="P1564" s="230"/>
    </row>
    <row r="1565" spans="1:16">
      <c r="A1565" s="231"/>
      <c r="B1565" s="135" t="s">
        <v>1505</v>
      </c>
      <c r="C1565" s="231">
        <v>98607</v>
      </c>
      <c r="H1565" s="230"/>
      <c r="K1565" s="230"/>
      <c r="P1565" s="230"/>
    </row>
    <row r="1566" spans="1:16">
      <c r="A1566" s="231"/>
      <c r="B1566" s="135" t="s">
        <v>2630</v>
      </c>
      <c r="C1566" s="231">
        <v>91641</v>
      </c>
      <c r="H1566" s="230"/>
      <c r="K1566" s="230"/>
      <c r="P1566" s="230"/>
    </row>
    <row r="1567" spans="1:16">
      <c r="A1567" s="231"/>
      <c r="B1567" s="135" t="s">
        <v>2631</v>
      </c>
      <c r="C1567" s="231">
        <v>95161</v>
      </c>
      <c r="H1567" s="230"/>
      <c r="K1567" s="230"/>
      <c r="P1567" s="230"/>
    </row>
    <row r="1568" spans="1:16">
      <c r="A1568" s="231"/>
      <c r="B1568" s="135" t="s">
        <v>2632</v>
      </c>
      <c r="C1568" s="231">
        <v>96361</v>
      </c>
      <c r="H1568" s="230"/>
      <c r="K1568" s="230"/>
      <c r="P1568" s="230"/>
    </row>
    <row r="1569" spans="1:16">
      <c r="A1569" s="231"/>
      <c r="B1569" s="135" t="s">
        <v>1104</v>
      </c>
      <c r="C1569" s="231">
        <v>94108</v>
      </c>
      <c r="H1569" s="230"/>
      <c r="K1569" s="230"/>
      <c r="P1569" s="230"/>
    </row>
    <row r="1570" spans="1:16">
      <c r="A1570" s="231"/>
      <c r="B1570" s="135" t="s">
        <v>2633</v>
      </c>
      <c r="C1570" s="231">
        <v>96351</v>
      </c>
      <c r="H1570" s="230"/>
      <c r="K1570" s="230"/>
      <c r="P1570" s="230"/>
    </row>
    <row r="1571" spans="1:16">
      <c r="A1571" s="231"/>
      <c r="B1571" s="135" t="s">
        <v>2634</v>
      </c>
      <c r="C1571" s="231">
        <v>93331</v>
      </c>
      <c r="H1571" s="230"/>
      <c r="K1571" s="230"/>
      <c r="P1571" s="230"/>
    </row>
    <row r="1572" spans="1:16">
      <c r="A1572" s="231"/>
      <c r="B1572" s="135" t="s">
        <v>2635</v>
      </c>
      <c r="C1572" s="231">
        <v>96021</v>
      </c>
      <c r="H1572" s="230"/>
      <c r="K1572" s="230"/>
      <c r="P1572" s="230"/>
    </row>
    <row r="1573" spans="1:16">
      <c r="A1573" s="231"/>
      <c r="B1573" s="135" t="s">
        <v>2636</v>
      </c>
      <c r="C1573" s="231">
        <v>95421</v>
      </c>
      <c r="H1573" s="230"/>
      <c r="K1573" s="230"/>
      <c r="P1573" s="230"/>
    </row>
    <row r="1574" spans="1:16">
      <c r="A1574" s="231"/>
      <c r="B1574" s="135" t="s">
        <v>1370</v>
      </c>
      <c r="C1574" s="231">
        <v>97401</v>
      </c>
      <c r="H1574" s="230"/>
      <c r="K1574" s="230"/>
      <c r="P1574" s="230"/>
    </row>
    <row r="1575" spans="1:16">
      <c r="A1575" s="231"/>
      <c r="B1575" s="135" t="s">
        <v>1372</v>
      </c>
      <c r="C1575" s="231">
        <v>97404</v>
      </c>
      <c r="H1575" s="230"/>
      <c r="K1575" s="230"/>
      <c r="P1575" s="230"/>
    </row>
    <row r="1576" spans="1:16">
      <c r="A1576" s="231"/>
      <c r="B1576" s="135" t="s">
        <v>2795</v>
      </c>
      <c r="C1576" s="231">
        <v>97402</v>
      </c>
      <c r="H1576" s="230"/>
      <c r="K1576" s="230"/>
      <c r="P1576" s="230"/>
    </row>
    <row r="1577" spans="1:16">
      <c r="A1577" s="231"/>
      <c r="B1577" s="135" t="s">
        <v>2637</v>
      </c>
      <c r="C1577" s="231">
        <v>91921</v>
      </c>
      <c r="H1577" s="230"/>
      <c r="K1577" s="230"/>
      <c r="P1577" s="230"/>
    </row>
    <row r="1578" spans="1:16">
      <c r="A1578" s="231"/>
      <c r="B1578" s="135" t="s">
        <v>1249</v>
      </c>
      <c r="C1578" s="231">
        <v>95908</v>
      </c>
      <c r="H1578" s="230"/>
      <c r="K1578" s="230"/>
      <c r="P1578" s="230"/>
    </row>
    <row r="1579" spans="1:16">
      <c r="A1579" s="231"/>
      <c r="B1579" s="135" t="s">
        <v>2638</v>
      </c>
      <c r="C1579" s="231">
        <v>99411</v>
      </c>
      <c r="H1579" s="230"/>
      <c r="K1579" s="230"/>
      <c r="P1579" s="230"/>
    </row>
    <row r="1580" spans="1:16">
      <c r="A1580" s="231"/>
      <c r="B1580" s="135" t="s">
        <v>1571</v>
      </c>
      <c r="C1580" s="231">
        <v>99413</v>
      </c>
      <c r="H1580" s="230"/>
      <c r="K1580" s="230"/>
      <c r="P1580" s="230"/>
    </row>
    <row r="1581" spans="1:16">
      <c r="A1581" s="231"/>
      <c r="B1581" s="135" t="s">
        <v>1388</v>
      </c>
      <c r="C1581" s="231">
        <v>97501</v>
      </c>
      <c r="H1581" s="230"/>
      <c r="K1581" s="230"/>
      <c r="P1581" s="230"/>
    </row>
    <row r="1582" spans="1:16">
      <c r="A1582" s="231"/>
      <c r="B1582" s="135" t="s">
        <v>2639</v>
      </c>
      <c r="C1582" s="231">
        <v>90431</v>
      </c>
      <c r="H1582" s="230"/>
      <c r="K1582" s="230"/>
      <c r="P1582" s="230"/>
    </row>
    <row r="1583" spans="1:16">
      <c r="A1583" s="231"/>
      <c r="B1583" s="135" t="s">
        <v>2640</v>
      </c>
      <c r="C1583" s="231">
        <v>95211</v>
      </c>
      <c r="H1583" s="230"/>
      <c r="K1583" s="230"/>
      <c r="P1583" s="230"/>
    </row>
    <row r="1584" spans="1:16">
      <c r="A1584" s="231"/>
      <c r="B1584" s="135" t="s">
        <v>2641</v>
      </c>
      <c r="C1584" s="231">
        <v>95181</v>
      </c>
      <c r="H1584" s="230"/>
      <c r="K1584" s="230"/>
      <c r="P1584" s="230"/>
    </row>
    <row r="1585" spans="1:16">
      <c r="A1585" s="231"/>
      <c r="B1585" s="135" t="s">
        <v>2642</v>
      </c>
      <c r="C1585" s="231">
        <v>93351</v>
      </c>
      <c r="H1585" s="230"/>
      <c r="K1585" s="230"/>
      <c r="P1585" s="230"/>
    </row>
    <row r="1586" spans="1:16">
      <c r="A1586" s="231"/>
      <c r="B1586" s="135" t="s">
        <v>1192</v>
      </c>
      <c r="C1586" s="231">
        <v>95105</v>
      </c>
      <c r="H1586" s="230"/>
      <c r="K1586" s="230"/>
      <c r="P1586" s="230"/>
    </row>
    <row r="1587" spans="1:16">
      <c r="A1587" s="231"/>
      <c r="B1587" s="135" t="s">
        <v>2643</v>
      </c>
      <c r="C1587" s="231">
        <v>94711</v>
      </c>
      <c r="H1587" s="230"/>
      <c r="K1587" s="230"/>
      <c r="P1587" s="230"/>
    </row>
    <row r="1588" spans="1:16">
      <c r="A1588" s="231"/>
      <c r="B1588" s="135" t="s">
        <v>1999</v>
      </c>
      <c r="C1588" s="231">
        <v>99211</v>
      </c>
      <c r="H1588" s="230"/>
      <c r="K1588" s="230"/>
      <c r="P1588" s="230"/>
    </row>
    <row r="1589" spans="1:16">
      <c r="A1589" s="231"/>
      <c r="B1589" s="135" t="s">
        <v>2000</v>
      </c>
      <c r="C1589" s="231">
        <v>99213</v>
      </c>
      <c r="H1589" s="230"/>
      <c r="K1589" s="230"/>
      <c r="P1589" s="230"/>
    </row>
    <row r="1590" spans="1:16">
      <c r="A1590" s="231"/>
      <c r="B1590" s="135" t="s">
        <v>1552</v>
      </c>
      <c r="C1590" s="231">
        <v>99218</v>
      </c>
      <c r="H1590" s="230"/>
      <c r="K1590" s="230"/>
      <c r="P1590" s="230"/>
    </row>
    <row r="1591" spans="1:16">
      <c r="A1591" s="231"/>
      <c r="B1591" s="135" t="s">
        <v>2644</v>
      </c>
      <c r="C1591" s="231">
        <v>97641</v>
      </c>
      <c r="H1591" s="230"/>
      <c r="K1591" s="230"/>
      <c r="P1591" s="230"/>
    </row>
    <row r="1592" spans="1:16">
      <c r="A1592" s="231"/>
      <c r="B1592" s="135" t="s">
        <v>2001</v>
      </c>
      <c r="C1592" s="231">
        <v>97621</v>
      </c>
      <c r="H1592" s="230"/>
      <c r="K1592" s="230"/>
      <c r="P1592" s="230"/>
    </row>
    <row r="1593" spans="1:16">
      <c r="A1593" s="231"/>
      <c r="B1593" s="135" t="s">
        <v>2002</v>
      </c>
      <c r="C1593" s="231">
        <v>97627</v>
      </c>
      <c r="H1593" s="230"/>
      <c r="K1593" s="230"/>
      <c r="P1593" s="230"/>
    </row>
    <row r="1594" spans="1:16">
      <c r="A1594" s="231"/>
      <c r="B1594" s="135" t="s">
        <v>2003</v>
      </c>
      <c r="C1594" s="231">
        <v>97623</v>
      </c>
      <c r="H1594" s="230"/>
      <c r="K1594" s="230"/>
      <c r="P1594" s="230"/>
    </row>
    <row r="1595" spans="1:16">
      <c r="A1595" s="231"/>
      <c r="B1595" s="135" t="s">
        <v>1392</v>
      </c>
      <c r="C1595" s="231">
        <v>97601</v>
      </c>
      <c r="H1595" s="230"/>
      <c r="K1595" s="230"/>
      <c r="P1595" s="230"/>
    </row>
    <row r="1596" spans="1:16">
      <c r="A1596" s="231"/>
      <c r="B1596" s="135" t="s">
        <v>2645</v>
      </c>
      <c r="C1596" s="231">
        <v>93681</v>
      </c>
      <c r="H1596" s="230"/>
      <c r="K1596" s="230"/>
      <c r="P1596" s="230"/>
    </row>
    <row r="1597" spans="1:16">
      <c r="A1597" s="231"/>
      <c r="B1597" s="135" t="s">
        <v>2646</v>
      </c>
      <c r="C1597" s="231">
        <v>97871</v>
      </c>
      <c r="H1597" s="230"/>
      <c r="K1597" s="230"/>
      <c r="P1597" s="230"/>
    </row>
    <row r="1598" spans="1:16">
      <c r="A1598" s="231"/>
      <c r="B1598" s="135" t="s">
        <v>1430</v>
      </c>
      <c r="C1598" s="231">
        <v>97877</v>
      </c>
      <c r="H1598" s="230"/>
      <c r="K1598" s="230"/>
      <c r="P1598" s="230"/>
    </row>
    <row r="1599" spans="1:16">
      <c r="A1599" s="231"/>
      <c r="B1599" s="135" t="s">
        <v>1575</v>
      </c>
      <c r="C1599" s="231">
        <v>99502</v>
      </c>
      <c r="H1599" s="230"/>
      <c r="K1599" s="230"/>
      <c r="P1599" s="230"/>
    </row>
    <row r="1600" spans="1:16">
      <c r="A1600" s="231"/>
      <c r="B1600" s="135" t="s">
        <v>2004</v>
      </c>
      <c r="C1600" s="231">
        <v>97911</v>
      </c>
      <c r="H1600" s="230"/>
      <c r="K1600" s="230"/>
      <c r="P1600" s="230"/>
    </row>
    <row r="1601" spans="1:16">
      <c r="A1601" s="231"/>
      <c r="B1601" s="135" t="s">
        <v>1434</v>
      </c>
      <c r="C1601" s="231">
        <v>97917</v>
      </c>
      <c r="H1601" s="230"/>
      <c r="K1601" s="230"/>
      <c r="P1601" s="230"/>
    </row>
    <row r="1602" spans="1:16">
      <c r="A1602" s="231"/>
      <c r="B1602" s="135" t="s">
        <v>3748</v>
      </c>
      <c r="C1602" s="231">
        <v>91414</v>
      </c>
      <c r="H1602" s="230"/>
      <c r="K1602" s="230"/>
      <c r="P1602" s="230"/>
    </row>
    <row r="1603" spans="1:16">
      <c r="A1603" s="231"/>
      <c r="B1603" s="135" t="s">
        <v>2647</v>
      </c>
      <c r="C1603" s="231">
        <v>96611</v>
      </c>
      <c r="H1603" s="230"/>
      <c r="K1603" s="230"/>
      <c r="P1603" s="230"/>
    </row>
    <row r="1604" spans="1:16">
      <c r="A1604" s="231"/>
      <c r="B1604" s="135" t="s">
        <v>2648</v>
      </c>
      <c r="C1604" s="231">
        <v>96741</v>
      </c>
      <c r="H1604" s="230"/>
      <c r="K1604" s="230"/>
      <c r="P1604" s="230"/>
    </row>
    <row r="1605" spans="1:16">
      <c r="A1605" s="231"/>
      <c r="B1605" s="135" t="s">
        <v>1404</v>
      </c>
      <c r="C1605" s="231">
        <v>97701</v>
      </c>
      <c r="H1605" s="230"/>
      <c r="K1605" s="230"/>
      <c r="P1605" s="230"/>
    </row>
    <row r="1606" spans="1:16">
      <c r="A1606" s="231"/>
      <c r="B1606" s="135" t="s">
        <v>2649</v>
      </c>
      <c r="C1606" s="231">
        <v>92541</v>
      </c>
      <c r="H1606" s="230"/>
      <c r="K1606" s="230"/>
      <c r="P1606" s="230"/>
    </row>
    <row r="1607" spans="1:16">
      <c r="A1607" s="231"/>
      <c r="B1607" s="135" t="s">
        <v>2005</v>
      </c>
      <c r="C1607" s="231">
        <v>94221</v>
      </c>
      <c r="H1607" s="230"/>
      <c r="K1607" s="230"/>
      <c r="P1607" s="230"/>
    </row>
    <row r="1608" spans="1:16">
      <c r="A1608" s="231"/>
      <c r="B1608" s="135" t="s">
        <v>1122</v>
      </c>
      <c r="C1608" s="231">
        <v>94209</v>
      </c>
      <c r="H1608" s="230"/>
      <c r="K1608" s="230"/>
      <c r="P1608" s="230"/>
    </row>
    <row r="1609" spans="1:16">
      <c r="A1609" s="231"/>
      <c r="B1609" s="135" t="s">
        <v>2650</v>
      </c>
      <c r="C1609" s="231">
        <v>96341</v>
      </c>
      <c r="H1609" s="230"/>
      <c r="K1609" s="230"/>
      <c r="P1609" s="230"/>
    </row>
    <row r="1610" spans="1:16">
      <c r="A1610" s="231"/>
      <c r="B1610" s="135" t="s">
        <v>2651</v>
      </c>
      <c r="C1610" s="231">
        <v>93821</v>
      </c>
      <c r="H1610" s="230"/>
      <c r="K1610" s="230"/>
      <c r="P1610" s="230"/>
    </row>
    <row r="1611" spans="1:16">
      <c r="A1611" s="231"/>
      <c r="B1611" s="135" t="s">
        <v>2652</v>
      </c>
      <c r="C1611" s="231">
        <v>95851</v>
      </c>
      <c r="H1611" s="230"/>
      <c r="K1611" s="230"/>
      <c r="P1611" s="230"/>
    </row>
    <row r="1612" spans="1:16">
      <c r="A1612" s="231"/>
      <c r="B1612" s="135" t="s">
        <v>1247</v>
      </c>
      <c r="C1612" s="231">
        <v>95853</v>
      </c>
      <c r="H1612" s="230"/>
      <c r="K1612" s="230"/>
      <c r="P1612" s="230"/>
    </row>
    <row r="1613" spans="1:16">
      <c r="A1613" s="231"/>
      <c r="B1613" s="135" t="s">
        <v>1412</v>
      </c>
      <c r="C1613" s="231">
        <v>97801</v>
      </c>
      <c r="H1613" s="230"/>
      <c r="K1613" s="230"/>
      <c r="P1613" s="230"/>
    </row>
    <row r="1614" spans="1:16">
      <c r="A1614" s="231"/>
      <c r="B1614" s="135" t="s">
        <v>1414</v>
      </c>
      <c r="C1614" s="231">
        <v>97803</v>
      </c>
      <c r="H1614" s="230"/>
      <c r="K1614" s="230"/>
      <c r="P1614" s="230"/>
    </row>
    <row r="1615" spans="1:16">
      <c r="A1615" s="231"/>
      <c r="B1615" s="135" t="s">
        <v>1415</v>
      </c>
      <c r="C1615" s="231">
        <v>97805</v>
      </c>
      <c r="H1615" s="230"/>
      <c r="K1615" s="230"/>
      <c r="P1615" s="230"/>
    </row>
    <row r="1616" spans="1:16">
      <c r="A1616" s="231"/>
      <c r="B1616" s="135" t="s">
        <v>2006</v>
      </c>
      <c r="C1616" s="231">
        <v>97711</v>
      </c>
      <c r="H1616" s="230"/>
      <c r="K1616" s="230"/>
      <c r="P1616" s="230"/>
    </row>
    <row r="1617" spans="1:16">
      <c r="A1617" s="231"/>
      <c r="B1617" s="135" t="s">
        <v>2007</v>
      </c>
      <c r="C1617" s="231">
        <v>97727</v>
      </c>
      <c r="H1617" s="230"/>
      <c r="K1617" s="230"/>
      <c r="P1617" s="230"/>
    </row>
    <row r="1618" spans="1:16">
      <c r="A1618" s="231"/>
      <c r="B1618" s="135" t="s">
        <v>1431</v>
      </c>
      <c r="C1618" s="231">
        <v>97901</v>
      </c>
      <c r="H1618" s="230"/>
      <c r="K1618" s="230"/>
      <c r="P1618" s="230"/>
    </row>
    <row r="1619" spans="1:16">
      <c r="A1619" s="231"/>
      <c r="B1619" s="135" t="s">
        <v>1407</v>
      </c>
      <c r="C1619" s="231">
        <v>97713</v>
      </c>
      <c r="H1619" s="230"/>
      <c r="K1619" s="230"/>
      <c r="P1619" s="230"/>
    </row>
    <row r="1620" spans="1:16">
      <c r="A1620" s="231"/>
      <c r="B1620" s="135" t="s">
        <v>2653</v>
      </c>
      <c r="C1620" s="231">
        <v>98071</v>
      </c>
      <c r="H1620" s="230"/>
      <c r="K1620" s="230"/>
      <c r="P1620" s="230"/>
    </row>
    <row r="1621" spans="1:16">
      <c r="A1621" s="231"/>
      <c r="B1621" s="135" t="s">
        <v>2008</v>
      </c>
      <c r="C1621" s="231">
        <v>93321</v>
      </c>
      <c r="H1621" s="230"/>
      <c r="K1621" s="230"/>
      <c r="P1621" s="230"/>
    </row>
    <row r="1622" spans="1:16">
      <c r="A1622" s="231"/>
      <c r="B1622" s="135" t="s">
        <v>1035</v>
      </c>
      <c r="C1622" s="231">
        <v>93323</v>
      </c>
      <c r="H1622" s="230"/>
      <c r="K1622" s="230"/>
      <c r="P1622" s="230"/>
    </row>
    <row r="1623" spans="1:16">
      <c r="A1623" s="231"/>
      <c r="B1623" s="135" t="s">
        <v>1037</v>
      </c>
      <c r="C1623" s="231">
        <v>93333</v>
      </c>
      <c r="H1623" s="230"/>
      <c r="K1623" s="230"/>
      <c r="P1623" s="230"/>
    </row>
    <row r="1624" spans="1:16">
      <c r="A1624" s="231"/>
      <c r="B1624" s="135" t="s">
        <v>2654</v>
      </c>
      <c r="C1624" s="231">
        <v>99203</v>
      </c>
      <c r="H1624" s="230"/>
      <c r="K1624" s="230"/>
      <c r="P1624" s="230"/>
    </row>
    <row r="1625" spans="1:16">
      <c r="A1625" s="231"/>
      <c r="B1625" s="135" t="s">
        <v>2655</v>
      </c>
      <c r="C1625" s="231">
        <v>99421</v>
      </c>
      <c r="H1625" s="230"/>
      <c r="K1625" s="230"/>
      <c r="P1625" s="230"/>
    </row>
    <row r="1626" spans="1:16">
      <c r="A1626" s="231"/>
      <c r="B1626" s="135" t="s">
        <v>2656</v>
      </c>
      <c r="C1626" s="231">
        <v>93161</v>
      </c>
      <c r="H1626" s="230"/>
      <c r="K1626" s="230"/>
      <c r="P1626" s="230"/>
    </row>
    <row r="1627" spans="1:16">
      <c r="A1627" s="231"/>
      <c r="B1627" s="135" t="s">
        <v>2657</v>
      </c>
      <c r="C1627" s="231">
        <v>98261</v>
      </c>
      <c r="H1627" s="230"/>
      <c r="K1627" s="230"/>
      <c r="P1627" s="230"/>
    </row>
    <row r="1628" spans="1:16">
      <c r="A1628" s="231"/>
      <c r="B1628" s="135" t="s">
        <v>1476</v>
      </c>
      <c r="C1628" s="231">
        <v>98237</v>
      </c>
      <c r="H1628" s="230"/>
      <c r="K1628" s="230"/>
      <c r="P1628" s="230"/>
    </row>
    <row r="1629" spans="1:16">
      <c r="A1629" s="231"/>
      <c r="B1629" s="135" t="s">
        <v>1444</v>
      </c>
      <c r="C1629" s="231">
        <v>98003</v>
      </c>
      <c r="H1629" s="230"/>
      <c r="K1629" s="230"/>
      <c r="P1629" s="230"/>
    </row>
    <row r="1630" spans="1:16">
      <c r="A1630" s="231"/>
      <c r="B1630" s="135" t="s">
        <v>2793</v>
      </c>
      <c r="C1630" s="231">
        <v>98008</v>
      </c>
      <c r="H1630" s="230"/>
      <c r="K1630" s="230"/>
      <c r="P1630" s="230"/>
    </row>
    <row r="1631" spans="1:16">
      <c r="A1631" s="231"/>
      <c r="B1631" s="135" t="s">
        <v>1443</v>
      </c>
      <c r="C1631" s="231">
        <v>98002</v>
      </c>
      <c r="H1631" s="230"/>
      <c r="K1631" s="230"/>
      <c r="P1631" s="230"/>
    </row>
    <row r="1632" spans="1:16">
      <c r="A1632" s="231"/>
      <c r="B1632" s="135" t="s">
        <v>1442</v>
      </c>
      <c r="C1632" s="231">
        <v>98001</v>
      </c>
      <c r="H1632" s="230"/>
      <c r="K1632" s="230"/>
      <c r="P1632" s="230"/>
    </row>
    <row r="1633" spans="1:16">
      <c r="A1633" s="231"/>
      <c r="B1633" s="135" t="s">
        <v>1445</v>
      </c>
      <c r="C1633" s="231">
        <v>98004</v>
      </c>
      <c r="H1633" s="230"/>
      <c r="K1633" s="230"/>
      <c r="P1633" s="230"/>
    </row>
    <row r="1634" spans="1:16">
      <c r="A1634" s="231"/>
      <c r="B1634" s="135" t="s">
        <v>2658</v>
      </c>
      <c r="C1634" s="231">
        <v>97861</v>
      </c>
      <c r="H1634" s="230"/>
      <c r="K1634" s="230"/>
      <c r="P1634" s="230"/>
    </row>
    <row r="1635" spans="1:16">
      <c r="A1635" s="231"/>
      <c r="B1635" s="135" t="s">
        <v>2009</v>
      </c>
      <c r="C1635" s="231">
        <v>97311</v>
      </c>
      <c r="H1635" s="230"/>
      <c r="K1635" s="230"/>
      <c r="P1635" s="230"/>
    </row>
    <row r="1636" spans="1:16">
      <c r="A1636" s="231"/>
      <c r="B1636" s="135" t="s">
        <v>3639</v>
      </c>
      <c r="C1636" s="231">
        <v>97302</v>
      </c>
      <c r="H1636" s="230"/>
      <c r="K1636" s="230"/>
      <c r="P1636" s="230"/>
    </row>
    <row r="1637" spans="1:16">
      <c r="A1637" s="231"/>
      <c r="B1637" s="135" t="s">
        <v>2659</v>
      </c>
      <c r="C1637" s="231">
        <v>93431</v>
      </c>
      <c r="H1637" s="230"/>
      <c r="K1637" s="230"/>
      <c r="P1637" s="230"/>
    </row>
    <row r="1638" spans="1:16">
      <c r="A1638" s="231"/>
      <c r="B1638" s="135" t="s">
        <v>2660</v>
      </c>
      <c r="C1638" s="231">
        <v>91214</v>
      </c>
      <c r="H1638" s="230"/>
      <c r="K1638" s="230"/>
      <c r="P1638" s="230"/>
    </row>
    <row r="1639" spans="1:16">
      <c r="A1639" s="231"/>
      <c r="B1639" s="135" t="s">
        <v>1458</v>
      </c>
      <c r="C1639" s="231">
        <v>98101</v>
      </c>
      <c r="H1639" s="230"/>
      <c r="K1639" s="230"/>
      <c r="P1639" s="230"/>
    </row>
    <row r="1640" spans="1:16">
      <c r="A1640" s="231"/>
      <c r="B1640" s="135" t="s">
        <v>2792</v>
      </c>
      <c r="C1640" s="231">
        <v>98103</v>
      </c>
      <c r="H1640" s="230"/>
      <c r="K1640" s="230"/>
      <c r="P1640" s="230"/>
    </row>
    <row r="1641" spans="1:16">
      <c r="A1641" s="231"/>
      <c r="B1641" s="135" t="s">
        <v>2661</v>
      </c>
      <c r="C1641" s="231">
        <v>98141</v>
      </c>
      <c r="H1641" s="230"/>
      <c r="K1641" s="230"/>
      <c r="P1641" s="230"/>
    </row>
    <row r="1642" spans="1:16">
      <c r="A1642" s="231"/>
      <c r="B1642" s="135" t="s">
        <v>2791</v>
      </c>
      <c r="C1642" s="231">
        <v>98147</v>
      </c>
      <c r="H1642" s="230"/>
      <c r="K1642" s="230"/>
      <c r="P1642" s="230"/>
    </row>
    <row r="1643" spans="1:16">
      <c r="A1643" s="231"/>
      <c r="B1643" s="135" t="s">
        <v>2685</v>
      </c>
      <c r="C1643" s="231">
        <v>91032</v>
      </c>
      <c r="H1643" s="230"/>
      <c r="K1643" s="230"/>
      <c r="P1643" s="230"/>
    </row>
    <row r="1644" spans="1:16">
      <c r="A1644" s="231"/>
      <c r="B1644" s="135" t="s">
        <v>2686</v>
      </c>
      <c r="C1644" s="231">
        <v>97831</v>
      </c>
      <c r="H1644" s="230"/>
      <c r="K1644" s="230"/>
      <c r="P1644" s="230"/>
    </row>
    <row r="1645" spans="1:16">
      <c r="A1645" s="231"/>
      <c r="B1645" s="135" t="s">
        <v>2790</v>
      </c>
      <c r="C1645" s="231">
        <v>97837</v>
      </c>
      <c r="H1645" s="230"/>
      <c r="K1645" s="230"/>
      <c r="P1645" s="230"/>
    </row>
    <row r="1646" spans="1:16">
      <c r="A1646" s="231"/>
      <c r="B1646" s="135" t="s">
        <v>2662</v>
      </c>
      <c r="C1646" s="231">
        <v>98221</v>
      </c>
      <c r="H1646" s="230"/>
      <c r="K1646" s="230"/>
      <c r="P1646" s="230"/>
    </row>
    <row r="1647" spans="1:16">
      <c r="A1647" s="231"/>
      <c r="B1647" s="135" t="s">
        <v>2010</v>
      </c>
      <c r="C1647" s="231">
        <v>98011</v>
      </c>
      <c r="H1647" s="230"/>
      <c r="K1647" s="230"/>
      <c r="P1647" s="230"/>
    </row>
    <row r="1648" spans="1:16">
      <c r="A1648" s="231"/>
      <c r="B1648" s="135" t="s">
        <v>2809</v>
      </c>
      <c r="C1648" s="231">
        <v>98013</v>
      </c>
      <c r="H1648" s="230"/>
      <c r="K1648" s="230"/>
      <c r="P1648" s="230"/>
    </row>
    <row r="1649" spans="1:16">
      <c r="A1649" s="231"/>
      <c r="B1649" s="135" t="s">
        <v>2011</v>
      </c>
      <c r="C1649" s="231">
        <v>97531</v>
      </c>
      <c r="H1649" s="230"/>
      <c r="K1649" s="230"/>
      <c r="P1649" s="230"/>
    </row>
    <row r="1650" spans="1:16">
      <c r="A1650" s="231"/>
      <c r="B1650" s="135" t="s">
        <v>1470</v>
      </c>
      <c r="C1650" s="231">
        <v>98201</v>
      </c>
      <c r="H1650" s="230"/>
      <c r="K1650" s="230"/>
      <c r="P1650" s="230"/>
    </row>
    <row r="1651" spans="1:16">
      <c r="A1651" s="231"/>
      <c r="B1651" s="135" t="s">
        <v>1405</v>
      </c>
      <c r="C1651" s="231">
        <v>97705</v>
      </c>
      <c r="H1651" s="230"/>
      <c r="K1651" s="230"/>
      <c r="P1651" s="230"/>
    </row>
    <row r="1652" spans="1:16">
      <c r="A1652" s="231"/>
      <c r="B1652" s="135" t="s">
        <v>1287</v>
      </c>
      <c r="C1652" s="231">
        <v>96318</v>
      </c>
      <c r="H1652" s="230"/>
      <c r="K1652" s="230"/>
      <c r="P1652" s="230"/>
    </row>
    <row r="1653" spans="1:16">
      <c r="A1653" s="231"/>
      <c r="B1653" s="135" t="s">
        <v>2012</v>
      </c>
      <c r="C1653" s="231">
        <v>95311</v>
      </c>
      <c r="H1653" s="230"/>
      <c r="K1653" s="230"/>
      <c r="P1653" s="230"/>
    </row>
    <row r="1654" spans="1:16">
      <c r="A1654" s="231"/>
      <c r="B1654" s="135" t="s">
        <v>1214</v>
      </c>
      <c r="C1654" s="231">
        <v>95317</v>
      </c>
      <c r="H1654" s="230"/>
      <c r="K1654" s="230"/>
      <c r="P1654" s="230"/>
    </row>
    <row r="1655" spans="1:16">
      <c r="A1655" s="231"/>
      <c r="B1655" s="135" t="s">
        <v>2663</v>
      </c>
      <c r="C1655" s="231">
        <v>91421</v>
      </c>
      <c r="H1655" s="230"/>
      <c r="K1655" s="230"/>
      <c r="P1655" s="230"/>
    </row>
    <row r="1656" spans="1:16">
      <c r="A1656" s="231"/>
      <c r="B1656" s="135" t="s">
        <v>1481</v>
      </c>
      <c r="C1656" s="231">
        <v>98301</v>
      </c>
      <c r="H1656" s="230"/>
      <c r="K1656" s="230"/>
      <c r="P1656" s="230"/>
    </row>
    <row r="1657" spans="1:16">
      <c r="A1657" s="231"/>
      <c r="B1657" s="135" t="s">
        <v>1482</v>
      </c>
      <c r="C1657" s="231">
        <v>98304</v>
      </c>
      <c r="H1657" s="230"/>
      <c r="K1657" s="230"/>
      <c r="P1657" s="230"/>
    </row>
    <row r="1658" spans="1:16">
      <c r="A1658" s="231"/>
      <c r="B1658" s="135" t="s">
        <v>2664</v>
      </c>
      <c r="C1658" s="231">
        <v>94241</v>
      </c>
      <c r="H1658" s="230"/>
      <c r="K1658" s="230"/>
      <c r="P1658" s="230"/>
    </row>
    <row r="1659" spans="1:16">
      <c r="A1659" s="231"/>
      <c r="B1659" s="135" t="s">
        <v>2665</v>
      </c>
      <c r="C1659" s="231">
        <v>96681</v>
      </c>
      <c r="H1659" s="230"/>
      <c r="K1659" s="230"/>
      <c r="P1659" s="230"/>
    </row>
    <row r="1660" spans="1:16">
      <c r="A1660" s="231"/>
      <c r="B1660" s="135" t="s">
        <v>2666</v>
      </c>
      <c r="C1660" s="224">
        <v>72593</v>
      </c>
      <c r="H1660" s="230"/>
      <c r="K1660" s="230"/>
      <c r="P1660" s="230"/>
    </row>
    <row r="1661" spans="1:16">
      <c r="A1661" s="231"/>
      <c r="B1661" s="135" t="s">
        <v>2667</v>
      </c>
      <c r="C1661" s="231">
        <v>95121</v>
      </c>
      <c r="H1661" s="230"/>
      <c r="K1661" s="230"/>
      <c r="P1661" s="230"/>
    </row>
    <row r="1662" spans="1:16">
      <c r="A1662" s="231"/>
      <c r="B1662" s="135" t="s">
        <v>1199</v>
      </c>
      <c r="C1662" s="231">
        <v>95123</v>
      </c>
      <c r="H1662" s="230"/>
      <c r="K1662" s="230"/>
      <c r="P1662" s="230"/>
    </row>
    <row r="1663" spans="1:16">
      <c r="A1663" s="231"/>
      <c r="B1663" s="135" t="s">
        <v>2668</v>
      </c>
      <c r="C1663" s="231">
        <v>99531</v>
      </c>
      <c r="H1663" s="230"/>
      <c r="K1663" s="230"/>
      <c r="P1663" s="230"/>
    </row>
    <row r="1664" spans="1:16">
      <c r="A1664" s="231"/>
      <c r="B1664" s="135" t="s">
        <v>2669</v>
      </c>
      <c r="C1664" s="231">
        <v>96671</v>
      </c>
      <c r="H1664" s="230"/>
      <c r="K1664" s="230"/>
      <c r="P1664" s="230"/>
    </row>
    <row r="1665" spans="1:16">
      <c r="A1665" s="231"/>
      <c r="B1665" s="135" t="s">
        <v>2670</v>
      </c>
      <c r="C1665" s="231">
        <v>91081</v>
      </c>
      <c r="H1665" s="230"/>
      <c r="K1665" s="230"/>
      <c r="P1665" s="230"/>
    </row>
    <row r="1666" spans="1:16">
      <c r="A1666" s="231"/>
      <c r="B1666" s="135" t="s">
        <v>822</v>
      </c>
      <c r="C1666" s="231">
        <v>91057</v>
      </c>
      <c r="H1666" s="230"/>
      <c r="K1666" s="230"/>
      <c r="P1666" s="230"/>
    </row>
    <row r="1667" spans="1:16">
      <c r="A1667" s="231"/>
      <c r="B1667" s="135" t="s">
        <v>2671</v>
      </c>
      <c r="C1667" s="231">
        <v>96461</v>
      </c>
      <c r="H1667" s="230"/>
      <c r="K1667" s="230"/>
      <c r="P1667" s="230"/>
    </row>
    <row r="1668" spans="1:16">
      <c r="A1668" s="231"/>
      <c r="B1668" s="135" t="s">
        <v>2013</v>
      </c>
      <c r="C1668" s="231">
        <v>92311</v>
      </c>
      <c r="H1668" s="230"/>
      <c r="K1668" s="230"/>
      <c r="P1668" s="230"/>
    </row>
    <row r="1669" spans="1:16">
      <c r="A1669" s="231"/>
      <c r="B1669" s="135" t="s">
        <v>936</v>
      </c>
      <c r="C1669" s="231">
        <v>92317</v>
      </c>
      <c r="H1669" s="230"/>
      <c r="K1669" s="230"/>
      <c r="P1669" s="230"/>
    </row>
    <row r="1670" spans="1:16">
      <c r="A1670" s="231"/>
      <c r="B1670" s="135" t="s">
        <v>1373</v>
      </c>
      <c r="C1670" s="231">
        <v>97405</v>
      </c>
      <c r="H1670" s="230"/>
      <c r="K1670" s="230"/>
      <c r="P1670" s="230"/>
    </row>
    <row r="1671" spans="1:16">
      <c r="A1671" s="231"/>
      <c r="B1671" s="135" t="s">
        <v>2672</v>
      </c>
      <c r="C1671" s="231">
        <v>91911</v>
      </c>
      <c r="H1671" s="230"/>
      <c r="K1671" s="230"/>
      <c r="P1671" s="230"/>
    </row>
    <row r="1672" spans="1:16">
      <c r="A1672" s="231"/>
      <c r="B1672" s="135" t="s">
        <v>920</v>
      </c>
      <c r="C1672" s="231">
        <v>91917</v>
      </c>
      <c r="H1672" s="230"/>
      <c r="K1672" s="230"/>
      <c r="P1672" s="230"/>
    </row>
    <row r="1673" spans="1:16">
      <c r="A1673" s="231"/>
      <c r="B1673" s="135" t="s">
        <v>2673</v>
      </c>
      <c r="C1673" s="231">
        <v>97481</v>
      </c>
      <c r="H1673" s="230"/>
      <c r="K1673" s="230"/>
      <c r="P1673" s="230"/>
    </row>
    <row r="1674" spans="1:16">
      <c r="A1674" s="231"/>
      <c r="B1674" s="135" t="s">
        <v>840</v>
      </c>
      <c r="C1674" s="53">
        <v>91138</v>
      </c>
      <c r="H1674" s="230"/>
      <c r="K1674" s="230"/>
      <c r="P1674" s="230"/>
    </row>
    <row r="1675" spans="1:16">
      <c r="A1675" s="231"/>
      <c r="B1675" s="135" t="s">
        <v>2674</v>
      </c>
      <c r="C1675" s="231">
        <v>95111</v>
      </c>
      <c r="H1675" s="230"/>
      <c r="K1675" s="230"/>
      <c r="P1675" s="230"/>
    </row>
    <row r="1676" spans="1:16">
      <c r="A1676" s="231"/>
      <c r="B1676" s="135" t="s">
        <v>1196</v>
      </c>
      <c r="C1676" s="231">
        <v>95113</v>
      </c>
      <c r="H1676" s="230"/>
      <c r="K1676" s="230"/>
      <c r="P1676" s="230"/>
    </row>
    <row r="1677" spans="1:16">
      <c r="A1677" s="231"/>
      <c r="B1677" s="135" t="s">
        <v>2675</v>
      </c>
      <c r="C1677" s="231">
        <v>94021</v>
      </c>
      <c r="H1677" s="230"/>
      <c r="K1677" s="230"/>
      <c r="P1677" s="230"/>
    </row>
    <row r="1678" spans="1:16">
      <c r="A1678" s="231"/>
      <c r="B1678" s="135" t="s">
        <v>795</v>
      </c>
      <c r="C1678" s="231">
        <v>90918</v>
      </c>
      <c r="H1678" s="230"/>
      <c r="K1678" s="230"/>
      <c r="P1678" s="230"/>
    </row>
    <row r="1679" spans="1:16">
      <c r="A1679" s="231"/>
      <c r="B1679" s="135" t="s">
        <v>1089</v>
      </c>
      <c r="C1679" s="231">
        <v>93910</v>
      </c>
      <c r="H1679" s="230"/>
      <c r="K1679" s="230"/>
      <c r="P1679" s="230"/>
    </row>
    <row r="1680" spans="1:16">
      <c r="A1680" s="231"/>
      <c r="B1680" s="135" t="s">
        <v>810</v>
      </c>
      <c r="C1680" s="231">
        <v>91013</v>
      </c>
      <c r="H1680" s="230"/>
      <c r="K1680" s="230"/>
      <c r="P1680" s="230"/>
    </row>
    <row r="1681" spans="1:16">
      <c r="A1681" s="231"/>
      <c r="B1681" s="135" t="s">
        <v>2676</v>
      </c>
      <c r="C1681" s="231">
        <v>96311</v>
      </c>
      <c r="H1681" s="230"/>
      <c r="K1681" s="230"/>
      <c r="P1681" s="230"/>
    </row>
    <row r="1682" spans="1:16">
      <c r="A1682" s="231"/>
      <c r="B1682" s="135" t="s">
        <v>2677</v>
      </c>
      <c r="C1682" s="231">
        <v>92841</v>
      </c>
      <c r="H1682" s="230"/>
      <c r="K1682" s="230"/>
      <c r="P1682" s="230"/>
    </row>
    <row r="1683" spans="1:16">
      <c r="A1683" s="231"/>
      <c r="B1683" s="135" t="s">
        <v>1586</v>
      </c>
      <c r="C1683" s="231">
        <v>99609</v>
      </c>
      <c r="H1683" s="230"/>
      <c r="K1683" s="230"/>
      <c r="P1683" s="230"/>
    </row>
    <row r="1684" spans="1:16">
      <c r="A1684" s="231"/>
      <c r="B1684" s="135" t="s">
        <v>2014</v>
      </c>
      <c r="C1684" s="231">
        <v>91011</v>
      </c>
      <c r="H1684" s="230"/>
      <c r="K1684" s="230"/>
      <c r="P1684" s="230"/>
    </row>
    <row r="1685" spans="1:16">
      <c r="A1685" s="231"/>
      <c r="B1685" s="135" t="s">
        <v>2015</v>
      </c>
      <c r="C1685" s="231">
        <v>91017</v>
      </c>
      <c r="H1685" s="230"/>
      <c r="K1685" s="230"/>
      <c r="P1685" s="230"/>
    </row>
    <row r="1686" spans="1:16">
      <c r="A1686" s="231"/>
      <c r="B1686" s="135" t="s">
        <v>1185</v>
      </c>
      <c r="C1686" s="231">
        <v>95008</v>
      </c>
      <c r="H1686" s="230"/>
      <c r="K1686" s="230"/>
      <c r="P1686" s="230"/>
    </row>
    <row r="1687" spans="1:16">
      <c r="A1687" s="231"/>
      <c r="B1687" s="135" t="s">
        <v>2678</v>
      </c>
      <c r="C1687" s="231">
        <v>72657</v>
      </c>
      <c r="H1687" s="230"/>
      <c r="K1687" s="230"/>
      <c r="P1687" s="230"/>
    </row>
    <row r="1688" spans="1:16">
      <c r="A1688" s="231"/>
      <c r="B1688" s="135" t="s">
        <v>2679</v>
      </c>
      <c r="C1688" s="231">
        <v>90307</v>
      </c>
      <c r="H1688" s="230"/>
      <c r="K1688" s="230"/>
      <c r="P1688" s="230"/>
    </row>
    <row r="1689" spans="1:16">
      <c r="A1689" s="231"/>
      <c r="B1689" s="135" t="s">
        <v>2680</v>
      </c>
      <c r="C1689" s="231">
        <v>98031</v>
      </c>
      <c r="H1689" s="230"/>
      <c r="K1689" s="230"/>
      <c r="P1689" s="230"/>
    </row>
    <row r="1690" spans="1:16">
      <c r="A1690" s="231"/>
      <c r="B1690" s="135" t="s">
        <v>2681</v>
      </c>
      <c r="C1690" s="231">
        <v>98121</v>
      </c>
      <c r="H1690" s="230"/>
      <c r="K1690" s="230"/>
      <c r="P1690" s="230"/>
    </row>
    <row r="1691" spans="1:16">
      <c r="A1691" s="231"/>
      <c r="B1691" s="135" t="s">
        <v>2682</v>
      </c>
      <c r="C1691" s="231">
        <v>96411</v>
      </c>
      <c r="H1691" s="230"/>
      <c r="K1691" s="230"/>
      <c r="P1691" s="230"/>
    </row>
    <row r="1692" spans="1:16">
      <c r="A1692" s="231"/>
      <c r="B1692" s="135" t="s">
        <v>2683</v>
      </c>
      <c r="C1692" s="231">
        <v>92661</v>
      </c>
      <c r="H1692" s="230"/>
      <c r="K1692" s="230"/>
      <c r="P1692" s="230"/>
    </row>
    <row r="1693" spans="1:16">
      <c r="A1693" s="231"/>
      <c r="B1693" s="135" t="s">
        <v>2684</v>
      </c>
      <c r="C1693" s="231">
        <v>96111</v>
      </c>
      <c r="H1693" s="230"/>
      <c r="K1693" s="230"/>
      <c r="P1693" s="230"/>
    </row>
    <row r="1694" spans="1:16">
      <c r="A1694" s="231"/>
      <c r="B1694" s="135" t="s">
        <v>2687</v>
      </c>
      <c r="C1694" s="231">
        <v>96061</v>
      </c>
      <c r="H1694" s="230"/>
      <c r="K1694" s="230"/>
      <c r="P1694" s="230"/>
    </row>
    <row r="1695" spans="1:16">
      <c r="A1695" s="231"/>
      <c r="B1695" s="135" t="s">
        <v>2688</v>
      </c>
      <c r="C1695" s="231">
        <v>98481</v>
      </c>
      <c r="H1695" s="230"/>
      <c r="K1695" s="230"/>
      <c r="P1695" s="230"/>
    </row>
    <row r="1696" spans="1:16">
      <c r="A1696" s="231"/>
      <c r="B1696" s="135" t="s">
        <v>2689</v>
      </c>
      <c r="C1696" s="231">
        <v>93602</v>
      </c>
      <c r="H1696" s="230"/>
      <c r="K1696" s="230"/>
      <c r="P1696" s="230"/>
    </row>
    <row r="1697" spans="1:16">
      <c r="A1697" s="231"/>
      <c r="B1697" s="135" t="s">
        <v>1488</v>
      </c>
      <c r="C1697" s="231">
        <v>98401</v>
      </c>
      <c r="H1697" s="230"/>
      <c r="K1697" s="230"/>
      <c r="P1697" s="230"/>
    </row>
    <row r="1698" spans="1:16">
      <c r="A1698" s="231"/>
      <c r="B1698" s="135" t="s">
        <v>2690</v>
      </c>
      <c r="C1698" s="53">
        <v>99821</v>
      </c>
      <c r="H1698" s="230"/>
      <c r="K1698" s="230"/>
      <c r="P1698" s="230"/>
    </row>
    <row r="1699" spans="1:16">
      <c r="A1699" s="231"/>
      <c r="B1699" s="135" t="s">
        <v>2691</v>
      </c>
      <c r="C1699" s="231">
        <v>96211</v>
      </c>
      <c r="H1699" s="230"/>
      <c r="K1699" s="230"/>
      <c r="P1699" s="230"/>
    </row>
    <row r="1700" spans="1:16">
      <c r="A1700" s="231"/>
      <c r="B1700" s="135" t="s">
        <v>2016</v>
      </c>
      <c r="C1700" s="231">
        <v>94911</v>
      </c>
      <c r="H1700" s="230"/>
      <c r="K1700" s="230"/>
      <c r="P1700" s="230"/>
    </row>
    <row r="1701" spans="1:16">
      <c r="A1701" s="231"/>
      <c r="B1701" s="135" t="s">
        <v>1176</v>
      </c>
      <c r="C1701" s="231">
        <v>94917</v>
      </c>
      <c r="H1701" s="230"/>
      <c r="K1701" s="230"/>
      <c r="P1701" s="230"/>
    </row>
    <row r="1702" spans="1:16">
      <c r="A1702" s="231"/>
      <c r="B1702" s="135" t="s">
        <v>2692</v>
      </c>
      <c r="C1702" s="231">
        <v>92621</v>
      </c>
      <c r="H1702" s="230"/>
      <c r="K1702" s="230"/>
      <c r="P1702" s="230"/>
    </row>
    <row r="1703" spans="1:16">
      <c r="A1703" s="231"/>
      <c r="B1703" s="135" t="s">
        <v>1499</v>
      </c>
      <c r="C1703" s="231">
        <v>98501</v>
      </c>
      <c r="H1703" s="230"/>
      <c r="K1703" s="230"/>
      <c r="P1703" s="230"/>
    </row>
    <row r="1704" spans="1:16">
      <c r="A1704" s="231"/>
      <c r="B1704" s="135" t="s">
        <v>2693</v>
      </c>
      <c r="C1704" s="231">
        <v>97931</v>
      </c>
      <c r="H1704" s="230"/>
      <c r="K1704" s="230"/>
      <c r="P1704" s="230"/>
    </row>
    <row r="1705" spans="1:16">
      <c r="A1705" s="231"/>
      <c r="B1705" s="135" t="s">
        <v>2694</v>
      </c>
      <c r="C1705" s="231">
        <v>93914</v>
      </c>
      <c r="H1705" s="230"/>
      <c r="K1705" s="230"/>
      <c r="P1705" s="230"/>
    </row>
    <row r="1706" spans="1:16">
      <c r="A1706" s="231"/>
      <c r="B1706" s="135" t="s">
        <v>2695</v>
      </c>
      <c r="C1706" s="231">
        <v>90651</v>
      </c>
      <c r="H1706" s="230"/>
      <c r="K1706" s="230"/>
      <c r="P1706" s="230"/>
    </row>
    <row r="1707" spans="1:16">
      <c r="A1707" s="231"/>
      <c r="B1707" s="135" t="s">
        <v>2696</v>
      </c>
      <c r="C1707" s="231">
        <v>94171</v>
      </c>
      <c r="H1707" s="230"/>
      <c r="K1707" s="230"/>
      <c r="P1707" s="230"/>
    </row>
    <row r="1708" spans="1:16">
      <c r="A1708" s="231"/>
      <c r="B1708" s="135" t="s">
        <v>1118</v>
      </c>
      <c r="C1708" s="231">
        <v>94172</v>
      </c>
      <c r="H1708" s="230"/>
      <c r="K1708" s="230"/>
      <c r="P1708" s="230"/>
    </row>
    <row r="1709" spans="1:16">
      <c r="A1709" s="231"/>
      <c r="B1709" s="135" t="s">
        <v>2697</v>
      </c>
      <c r="C1709" s="231">
        <v>91041</v>
      </c>
      <c r="H1709" s="230"/>
      <c r="K1709" s="230"/>
      <c r="P1709" s="230"/>
    </row>
    <row r="1710" spans="1:16">
      <c r="A1710" s="231"/>
      <c r="B1710" s="135" t="s">
        <v>2698</v>
      </c>
      <c r="C1710" s="231">
        <v>91047</v>
      </c>
      <c r="H1710" s="230"/>
      <c r="K1710" s="230"/>
      <c r="P1710" s="230"/>
    </row>
    <row r="1711" spans="1:16">
      <c r="A1711" s="231"/>
      <c r="B1711" s="135" t="s">
        <v>2699</v>
      </c>
      <c r="C1711" s="231">
        <v>97131</v>
      </c>
      <c r="H1711" s="230"/>
      <c r="K1711" s="230"/>
      <c r="P1711" s="230"/>
    </row>
    <row r="1712" spans="1:16">
      <c r="A1712" s="231"/>
      <c r="B1712" s="135" t="s">
        <v>1503</v>
      </c>
      <c r="C1712" s="231">
        <v>98601</v>
      </c>
      <c r="H1712" s="230"/>
      <c r="K1712" s="230"/>
      <c r="P1712" s="230"/>
    </row>
    <row r="1713" spans="1:16">
      <c r="A1713" s="231"/>
      <c r="B1713" s="135" t="s">
        <v>1513</v>
      </c>
      <c r="C1713" s="231">
        <v>98701</v>
      </c>
      <c r="H1713" s="230"/>
      <c r="K1713" s="230"/>
      <c r="P1713" s="230"/>
    </row>
    <row r="1714" spans="1:16">
      <c r="A1714" s="231"/>
      <c r="B1714" s="135" t="s">
        <v>2700</v>
      </c>
      <c r="C1714" s="231">
        <v>96721</v>
      </c>
      <c r="H1714" s="230"/>
      <c r="K1714" s="230"/>
      <c r="P1714" s="230"/>
    </row>
    <row r="1715" spans="1:16">
      <c r="A1715" s="231"/>
      <c r="B1715" s="135" t="s">
        <v>2701</v>
      </c>
      <c r="C1715" s="231">
        <v>95011</v>
      </c>
      <c r="H1715" s="230"/>
      <c r="K1715" s="230"/>
      <c r="P1715" s="230"/>
    </row>
    <row r="1716" spans="1:16">
      <c r="A1716" s="231"/>
      <c r="B1716" s="135" t="s">
        <v>2702</v>
      </c>
      <c r="C1716" s="231">
        <v>92451</v>
      </c>
      <c r="H1716" s="230"/>
      <c r="K1716" s="230"/>
      <c r="P1716" s="230"/>
    </row>
    <row r="1717" spans="1:16">
      <c r="A1717" s="231"/>
      <c r="B1717" s="135" t="s">
        <v>2703</v>
      </c>
      <c r="C1717" s="231">
        <v>93311</v>
      </c>
      <c r="H1717" s="230"/>
      <c r="K1717" s="230"/>
      <c r="P1717" s="230"/>
    </row>
    <row r="1718" spans="1:16">
      <c r="A1718" s="231"/>
      <c r="B1718" s="135" t="s">
        <v>1033</v>
      </c>
      <c r="C1718" s="231">
        <v>93317</v>
      </c>
      <c r="H1718" s="230"/>
      <c r="K1718" s="230"/>
      <c r="P1718" s="230"/>
    </row>
    <row r="1719" spans="1:16">
      <c r="A1719" s="231"/>
      <c r="B1719" s="135" t="s">
        <v>2704</v>
      </c>
      <c r="C1719" s="231">
        <v>90211</v>
      </c>
      <c r="H1719" s="230"/>
      <c r="K1719" s="230"/>
      <c r="P1719" s="230"/>
    </row>
    <row r="1720" spans="1:16">
      <c r="A1720" s="231"/>
      <c r="B1720" s="135" t="s">
        <v>2705</v>
      </c>
      <c r="C1720" s="231">
        <v>96302</v>
      </c>
      <c r="H1720" s="230"/>
      <c r="K1720" s="230"/>
      <c r="P1720" s="230"/>
    </row>
    <row r="1721" spans="1:16">
      <c r="A1721" s="231"/>
      <c r="B1721" s="135" t="s">
        <v>2706</v>
      </c>
      <c r="C1721" s="231">
        <v>93181</v>
      </c>
      <c r="H1721" s="230"/>
      <c r="K1721" s="230"/>
      <c r="P1721" s="230"/>
    </row>
    <row r="1722" spans="1:16">
      <c r="A1722" s="231"/>
      <c r="B1722" s="135" t="s">
        <v>2017</v>
      </c>
      <c r="C1722" s="231">
        <v>92911</v>
      </c>
      <c r="H1722" s="230"/>
      <c r="K1722" s="230"/>
      <c r="P1722" s="230"/>
    </row>
    <row r="1723" spans="1:16">
      <c r="A1723" s="231"/>
      <c r="B1723" s="135" t="s">
        <v>997</v>
      </c>
      <c r="C1723" s="231">
        <v>92914</v>
      </c>
      <c r="H1723" s="230"/>
      <c r="K1723" s="230"/>
      <c r="P1723" s="230"/>
    </row>
    <row r="1724" spans="1:16">
      <c r="A1724" s="231"/>
      <c r="B1724" s="135" t="s">
        <v>996</v>
      </c>
      <c r="C1724" s="231">
        <v>92913</v>
      </c>
      <c r="H1724" s="230"/>
      <c r="K1724" s="230"/>
      <c r="P1724" s="230"/>
    </row>
    <row r="1725" spans="1:16">
      <c r="A1725" s="231"/>
      <c r="B1725" s="135" t="s">
        <v>2707</v>
      </c>
      <c r="C1725" s="231">
        <v>93471</v>
      </c>
      <c r="H1725" s="230"/>
      <c r="K1725" s="230"/>
      <c r="P1725" s="230"/>
    </row>
    <row r="1726" spans="1:16">
      <c r="A1726" s="231"/>
      <c r="B1726" s="135" t="s">
        <v>736</v>
      </c>
      <c r="C1726" s="231">
        <v>90098</v>
      </c>
      <c r="H1726" s="230"/>
      <c r="K1726" s="230"/>
      <c r="P1726" s="230"/>
    </row>
    <row r="1727" spans="1:16">
      <c r="A1727" s="231"/>
      <c r="B1727" s="135" t="s">
        <v>2708</v>
      </c>
      <c r="C1727" s="231">
        <v>97121</v>
      </c>
      <c r="H1727" s="230"/>
      <c r="K1727" s="230"/>
      <c r="P1727" s="230"/>
    </row>
    <row r="1728" spans="1:16">
      <c r="A1728" s="231"/>
      <c r="B1728" s="135" t="s">
        <v>1516</v>
      </c>
      <c r="C1728" s="231">
        <v>98801</v>
      </c>
      <c r="H1728" s="230"/>
      <c r="K1728" s="230"/>
      <c r="P1728" s="230"/>
    </row>
    <row r="1729" spans="1:16">
      <c r="A1729" s="231"/>
      <c r="B1729" s="135" t="s">
        <v>2709</v>
      </c>
      <c r="C1729" s="231">
        <v>92521</v>
      </c>
      <c r="H1729" s="230"/>
      <c r="K1729" s="230"/>
      <c r="P1729" s="230"/>
    </row>
    <row r="1730" spans="1:16">
      <c r="A1730" s="231"/>
      <c r="B1730" s="135" t="s">
        <v>1046</v>
      </c>
      <c r="C1730" s="231">
        <v>93417</v>
      </c>
      <c r="H1730" s="230"/>
      <c r="K1730" s="230"/>
      <c r="P1730" s="230"/>
    </row>
    <row r="1731" spans="1:16">
      <c r="A1731" s="231"/>
      <c r="B1731" s="135" t="s">
        <v>1027</v>
      </c>
      <c r="C1731" s="231">
        <v>93219</v>
      </c>
      <c r="H1731" s="230"/>
      <c r="K1731" s="230"/>
      <c r="P1731" s="230"/>
    </row>
    <row r="1732" spans="1:16">
      <c r="A1732" s="231"/>
      <c r="B1732" s="135" t="s">
        <v>961</v>
      </c>
      <c r="C1732" s="231">
        <v>92513</v>
      </c>
      <c r="H1732" s="230"/>
      <c r="K1732" s="230"/>
      <c r="P1732" s="230"/>
    </row>
    <row r="1733" spans="1:16">
      <c r="A1733" s="231"/>
      <c r="B1733" s="135" t="s">
        <v>2018</v>
      </c>
      <c r="C1733" s="231">
        <v>97661</v>
      </c>
      <c r="H1733" s="230"/>
      <c r="K1733" s="230"/>
      <c r="P1733" s="230"/>
    </row>
    <row r="1734" spans="1:16">
      <c r="A1734" s="231"/>
      <c r="B1734" s="135" t="s">
        <v>2710</v>
      </c>
      <c r="C1734" s="231">
        <v>94931</v>
      </c>
      <c r="H1734" s="230"/>
      <c r="K1734" s="230"/>
      <c r="P1734" s="230"/>
    </row>
    <row r="1735" spans="1:16">
      <c r="A1735" s="231"/>
      <c r="B1735" s="258" t="s">
        <v>2711</v>
      </c>
      <c r="C1735" s="231">
        <v>94937</v>
      </c>
      <c r="H1735" s="230"/>
      <c r="K1735" s="230"/>
      <c r="P1735" s="230"/>
    </row>
    <row r="1736" spans="1:16">
      <c r="A1736" s="231"/>
      <c r="B1736" s="135" t="s">
        <v>2712</v>
      </c>
      <c r="C1736" s="231">
        <v>96221</v>
      </c>
      <c r="H1736" s="230"/>
      <c r="K1736" s="230"/>
      <c r="P1736" s="230"/>
    </row>
    <row r="1737" spans="1:16">
      <c r="A1737" s="231"/>
      <c r="B1737" s="135" t="s">
        <v>2713</v>
      </c>
      <c r="C1737" s="231">
        <v>97511</v>
      </c>
      <c r="H1737" s="230"/>
      <c r="K1737" s="230"/>
      <c r="P1737" s="230"/>
    </row>
    <row r="1738" spans="1:16">
      <c r="A1738" s="231"/>
      <c r="B1738" s="135" t="s">
        <v>1183</v>
      </c>
      <c r="C1738" s="231">
        <v>95002</v>
      </c>
      <c r="H1738" s="230"/>
      <c r="K1738" s="230"/>
      <c r="P1738" s="230"/>
    </row>
    <row r="1739" spans="1:16">
      <c r="A1739" s="231"/>
      <c r="B1739" s="135" t="s">
        <v>2714</v>
      </c>
      <c r="C1739" s="231">
        <v>98251</v>
      </c>
      <c r="H1739" s="230"/>
      <c r="K1739" s="230"/>
      <c r="P1739" s="230"/>
    </row>
    <row r="1740" spans="1:16">
      <c r="A1740" s="231"/>
      <c r="B1740" s="135" t="s">
        <v>1519</v>
      </c>
      <c r="C1740" s="231">
        <v>98901</v>
      </c>
      <c r="H1740" s="230"/>
      <c r="K1740" s="230"/>
      <c r="P1740" s="230"/>
    </row>
    <row r="1741" spans="1:16">
      <c r="A1741" s="231"/>
      <c r="B1741" s="135" t="s">
        <v>2789</v>
      </c>
      <c r="C1741" s="231">
        <v>98904</v>
      </c>
      <c r="H1741" s="230"/>
      <c r="K1741" s="230"/>
      <c r="P1741" s="230"/>
    </row>
    <row r="1742" spans="1:16">
      <c r="A1742" s="231"/>
      <c r="B1742" s="135" t="s">
        <v>1522</v>
      </c>
      <c r="C1742" s="231">
        <v>99001</v>
      </c>
      <c r="H1742" s="230"/>
      <c r="K1742" s="230"/>
      <c r="P1742" s="230"/>
    </row>
    <row r="1743" spans="1:16">
      <c r="A1743" s="231"/>
      <c r="B1743" s="135" t="s">
        <v>2752</v>
      </c>
      <c r="C1743" s="231">
        <v>99061</v>
      </c>
      <c r="H1743" s="230"/>
      <c r="K1743" s="230"/>
      <c r="P1743" s="230"/>
    </row>
    <row r="1744" spans="1:16">
      <c r="A1744" s="231"/>
      <c r="B1744" s="135" t="s">
        <v>1031</v>
      </c>
      <c r="C1744" s="231">
        <v>93309</v>
      </c>
      <c r="H1744" s="230"/>
      <c r="K1744" s="230"/>
      <c r="P1744" s="230"/>
    </row>
    <row r="1745" spans="1:16">
      <c r="A1745" s="231"/>
      <c r="B1745" s="135" t="s">
        <v>2715</v>
      </c>
      <c r="C1745" s="231">
        <v>91211</v>
      </c>
      <c r="H1745" s="230"/>
      <c r="K1745" s="230"/>
      <c r="P1745" s="230"/>
    </row>
    <row r="1746" spans="1:16">
      <c r="A1746" s="231"/>
      <c r="B1746" s="254" t="s">
        <v>1934</v>
      </c>
      <c r="C1746" s="231">
        <v>94947</v>
      </c>
      <c r="H1746" s="230"/>
      <c r="K1746" s="230"/>
      <c r="P1746" s="230"/>
    </row>
    <row r="1747" spans="1:16">
      <c r="A1747" s="231"/>
      <c r="B1747" s="135" t="s">
        <v>853</v>
      </c>
      <c r="C1747" s="231">
        <v>91213</v>
      </c>
      <c r="H1747" s="230"/>
      <c r="K1747" s="230"/>
      <c r="P1747" s="230"/>
    </row>
    <row r="1748" spans="1:16">
      <c r="A1748" s="231"/>
      <c r="B1748" s="135" t="s">
        <v>1536</v>
      </c>
      <c r="C1748" s="231">
        <v>99101</v>
      </c>
      <c r="H1748" s="230"/>
      <c r="K1748" s="230"/>
      <c r="P1748" s="230"/>
    </row>
    <row r="1749" spans="1:16">
      <c r="A1749" s="231"/>
      <c r="B1749" s="135" t="s">
        <v>2788</v>
      </c>
      <c r="C1749" s="231">
        <v>99104</v>
      </c>
      <c r="H1749" s="230"/>
      <c r="K1749" s="230"/>
      <c r="P1749" s="230"/>
    </row>
    <row r="1750" spans="1:16">
      <c r="A1750" s="231"/>
      <c r="B1750" s="135" t="s">
        <v>2716</v>
      </c>
      <c r="C1750" s="231">
        <v>92551</v>
      </c>
      <c r="H1750" s="230"/>
      <c r="K1750" s="230"/>
      <c r="P1750" s="230"/>
    </row>
    <row r="1751" spans="1:16">
      <c r="A1751" s="231"/>
      <c r="B1751" s="135" t="s">
        <v>2717</v>
      </c>
      <c r="C1751" s="231">
        <v>96321</v>
      </c>
      <c r="H1751" s="230"/>
      <c r="K1751" s="230"/>
      <c r="P1751" s="230"/>
    </row>
    <row r="1752" spans="1:16">
      <c r="A1752" s="231"/>
      <c r="B1752" s="135" t="s">
        <v>1186</v>
      </c>
      <c r="C1752" s="231">
        <v>95009</v>
      </c>
      <c r="H1752" s="230"/>
      <c r="K1752" s="230"/>
      <c r="P1752" s="230"/>
    </row>
    <row r="1753" spans="1:16">
      <c r="A1753" s="231"/>
      <c r="B1753" s="135" t="s">
        <v>2718</v>
      </c>
      <c r="C1753" s="231">
        <v>92641</v>
      </c>
      <c r="H1753" s="230"/>
      <c r="K1753" s="230"/>
      <c r="P1753" s="230"/>
    </row>
    <row r="1754" spans="1:16">
      <c r="A1754" s="231"/>
      <c r="B1754" s="135" t="s">
        <v>2719</v>
      </c>
      <c r="C1754" s="231">
        <v>90411</v>
      </c>
      <c r="H1754" s="230"/>
      <c r="K1754" s="230"/>
      <c r="P1754" s="230"/>
    </row>
    <row r="1755" spans="1:16">
      <c r="A1755" s="231"/>
      <c r="B1755" s="135" t="s">
        <v>758</v>
      </c>
      <c r="C1755" s="231">
        <v>90417</v>
      </c>
      <c r="H1755" s="230"/>
      <c r="K1755" s="230"/>
      <c r="P1755" s="230"/>
    </row>
    <row r="1756" spans="1:16">
      <c r="A1756" s="231"/>
      <c r="B1756" s="135" t="s">
        <v>757</v>
      </c>
      <c r="C1756" s="231">
        <v>90413</v>
      </c>
      <c r="H1756" s="230"/>
      <c r="K1756" s="230"/>
      <c r="P1756" s="230"/>
    </row>
    <row r="1757" spans="1:16">
      <c r="A1757" s="231"/>
      <c r="B1757" s="135" t="s">
        <v>2720</v>
      </c>
      <c r="C1757" s="231">
        <v>98321</v>
      </c>
      <c r="H1757" s="230"/>
      <c r="K1757" s="230"/>
      <c r="P1757" s="230"/>
    </row>
    <row r="1758" spans="1:16">
      <c r="A1758" s="231"/>
      <c r="B1758" s="135" t="s">
        <v>1541</v>
      </c>
      <c r="C1758" s="53">
        <v>99201</v>
      </c>
      <c r="H1758" s="230"/>
      <c r="K1758" s="230"/>
      <c r="P1758" s="230"/>
    </row>
    <row r="1759" spans="1:16">
      <c r="A1759" s="231"/>
      <c r="B1759" s="135" t="s">
        <v>1544</v>
      </c>
      <c r="C1759" s="231">
        <v>99204</v>
      </c>
      <c r="H1759" s="230"/>
      <c r="K1759" s="230"/>
      <c r="P1759" s="230"/>
    </row>
    <row r="1760" spans="1:16">
      <c r="A1760" s="231"/>
      <c r="B1760" s="135" t="s">
        <v>1546</v>
      </c>
      <c r="C1760" s="231">
        <v>99207</v>
      </c>
      <c r="H1760" s="230"/>
      <c r="K1760" s="230"/>
      <c r="P1760" s="230"/>
    </row>
    <row r="1761" spans="1:16">
      <c r="A1761" s="231"/>
      <c r="B1761" s="135" t="s">
        <v>2721</v>
      </c>
      <c r="C1761" s="231">
        <v>99281</v>
      </c>
      <c r="H1761" s="230"/>
      <c r="K1761" s="230"/>
      <c r="P1761" s="230"/>
    </row>
    <row r="1762" spans="1:16">
      <c r="A1762" s="231"/>
      <c r="B1762" s="135" t="s">
        <v>2722</v>
      </c>
      <c r="C1762" s="231">
        <v>93461</v>
      </c>
      <c r="H1762" s="230"/>
      <c r="K1762" s="230"/>
      <c r="P1762" s="230"/>
    </row>
    <row r="1763" spans="1:16">
      <c r="A1763" s="231"/>
      <c r="B1763" s="135" t="s">
        <v>2723</v>
      </c>
      <c r="C1763" s="231">
        <v>93151</v>
      </c>
      <c r="H1763" s="230"/>
      <c r="K1763" s="230"/>
      <c r="P1763" s="230"/>
    </row>
    <row r="1764" spans="1:16">
      <c r="A1764" s="231"/>
      <c r="B1764" s="135" t="s">
        <v>1016</v>
      </c>
      <c r="C1764" s="231">
        <v>93157</v>
      </c>
      <c r="H1764" s="230"/>
      <c r="K1764" s="230"/>
      <c r="P1764" s="230"/>
    </row>
    <row r="1765" spans="1:16">
      <c r="A1765" s="231"/>
      <c r="B1765" s="135" t="s">
        <v>2724</v>
      </c>
      <c r="C1765" s="231">
        <v>98511</v>
      </c>
      <c r="H1765" s="230"/>
      <c r="K1765" s="230"/>
      <c r="P1765" s="230"/>
    </row>
    <row r="1766" spans="1:16">
      <c r="A1766" s="231"/>
      <c r="B1766" s="135" t="s">
        <v>1501</v>
      </c>
      <c r="C1766" s="231">
        <v>98517</v>
      </c>
      <c r="H1766" s="230"/>
      <c r="K1766" s="230"/>
      <c r="P1766" s="230"/>
    </row>
    <row r="1767" spans="1:16">
      <c r="A1767" s="231"/>
      <c r="B1767" s="135" t="s">
        <v>2725</v>
      </c>
      <c r="C1767" s="231">
        <v>99661</v>
      </c>
      <c r="H1767" s="230"/>
      <c r="K1767" s="230"/>
      <c r="P1767" s="230"/>
    </row>
    <row r="1768" spans="1:16">
      <c r="A1768" s="231"/>
      <c r="B1768" s="135" t="s">
        <v>2726</v>
      </c>
      <c r="C1768" s="231">
        <v>94031</v>
      </c>
      <c r="H1768" s="230"/>
      <c r="K1768" s="230"/>
      <c r="P1768" s="230"/>
    </row>
    <row r="1769" spans="1:16">
      <c r="A1769" s="231"/>
      <c r="B1769" s="135" t="s">
        <v>1563</v>
      </c>
      <c r="C1769" s="231">
        <v>99301</v>
      </c>
      <c r="H1769" s="230"/>
      <c r="K1769" s="230"/>
      <c r="P1769" s="230"/>
    </row>
    <row r="1770" spans="1:16">
      <c r="A1770" s="231"/>
      <c r="B1770" s="135" t="s">
        <v>1564</v>
      </c>
      <c r="C1770" s="231">
        <v>99304</v>
      </c>
      <c r="H1770" s="230"/>
      <c r="K1770" s="230"/>
      <c r="P1770" s="230"/>
    </row>
    <row r="1771" spans="1:16">
      <c r="A1771" s="231"/>
      <c r="B1771" s="135" t="s">
        <v>2727</v>
      </c>
      <c r="C1771" s="231">
        <v>99321</v>
      </c>
      <c r="H1771" s="230"/>
      <c r="K1771" s="230"/>
      <c r="P1771" s="230"/>
    </row>
    <row r="1772" spans="1:16">
      <c r="A1772" s="231"/>
      <c r="B1772" s="135" t="s">
        <v>2728</v>
      </c>
      <c r="C1772" s="231">
        <v>93131</v>
      </c>
      <c r="H1772" s="230"/>
      <c r="K1772" s="230"/>
      <c r="P1772" s="230"/>
    </row>
    <row r="1773" spans="1:16">
      <c r="A1773" s="231"/>
      <c r="B1773" s="135" t="s">
        <v>1013</v>
      </c>
      <c r="C1773" s="231">
        <v>93137</v>
      </c>
      <c r="H1773" s="230"/>
      <c r="K1773" s="230"/>
      <c r="P1773" s="230"/>
    </row>
    <row r="1774" spans="1:16">
      <c r="A1774" s="231"/>
      <c r="B1774" s="135" t="s">
        <v>2019</v>
      </c>
      <c r="C1774" s="231">
        <v>90711</v>
      </c>
      <c r="H1774" s="230"/>
      <c r="K1774" s="230"/>
      <c r="P1774" s="230"/>
    </row>
    <row r="1775" spans="1:16">
      <c r="A1775" s="231"/>
      <c r="B1775" s="135" t="s">
        <v>1567</v>
      </c>
      <c r="C1775" s="231">
        <v>99401</v>
      </c>
      <c r="H1775" s="230"/>
      <c r="K1775" s="230"/>
      <c r="P1775" s="230"/>
    </row>
    <row r="1776" spans="1:16">
      <c r="A1776" s="231"/>
      <c r="B1776" s="135" t="s">
        <v>1568</v>
      </c>
      <c r="C1776" s="231">
        <v>99404</v>
      </c>
      <c r="H1776" s="230"/>
      <c r="K1776" s="230"/>
      <c r="P1776" s="230"/>
    </row>
    <row r="1777" spans="1:16">
      <c r="A1777" s="231"/>
      <c r="B1777" s="135" t="s">
        <v>2729</v>
      </c>
      <c r="C1777" s="231">
        <v>90741</v>
      </c>
      <c r="H1777" s="230"/>
      <c r="K1777" s="230"/>
      <c r="P1777" s="230"/>
    </row>
    <row r="1778" spans="1:16">
      <c r="A1778" s="231"/>
      <c r="B1778" s="135" t="s">
        <v>1574</v>
      </c>
      <c r="C1778" s="231">
        <v>99501</v>
      </c>
      <c r="H1778" s="230"/>
      <c r="K1778" s="230"/>
      <c r="P1778" s="230"/>
    </row>
    <row r="1779" spans="1:16">
      <c r="A1779" s="231"/>
      <c r="B1779" s="135" t="s">
        <v>1577</v>
      </c>
      <c r="C1779" s="231">
        <v>99509</v>
      </c>
      <c r="H1779" s="230"/>
      <c r="K1779" s="230"/>
      <c r="P1779" s="230"/>
    </row>
    <row r="1780" spans="1:16">
      <c r="A1780" s="231"/>
      <c r="B1780" s="135" t="s">
        <v>2787</v>
      </c>
      <c r="C1780" s="231">
        <v>91302</v>
      </c>
      <c r="H1780" s="230"/>
      <c r="K1780" s="230"/>
      <c r="P1780" s="230"/>
    </row>
    <row r="1781" spans="1:16">
      <c r="A1781" s="231"/>
      <c r="B1781" s="135" t="s">
        <v>2730</v>
      </c>
      <c r="C1781" s="231">
        <v>99041</v>
      </c>
      <c r="H1781" s="230"/>
      <c r="K1781" s="230"/>
      <c r="P1781" s="230"/>
    </row>
    <row r="1782" spans="1:16">
      <c r="A1782" s="231"/>
      <c r="B1782" s="135" t="s">
        <v>1530</v>
      </c>
      <c r="C1782" s="231">
        <v>99047</v>
      </c>
      <c r="H1782" s="230"/>
      <c r="K1782" s="230"/>
      <c r="P1782" s="230"/>
    </row>
    <row r="1783" spans="1:16">
      <c r="A1783" s="231"/>
      <c r="B1783" s="135" t="s">
        <v>1582</v>
      </c>
      <c r="C1783" s="231">
        <v>99601</v>
      </c>
      <c r="H1783" s="230"/>
      <c r="K1783" s="230"/>
      <c r="P1783" s="230"/>
    </row>
    <row r="1784" spans="1:16">
      <c r="A1784" s="231"/>
      <c r="B1784" s="135" t="s">
        <v>1585</v>
      </c>
      <c r="C1784" s="231">
        <v>99604</v>
      </c>
      <c r="H1784" s="230"/>
      <c r="K1784" s="230"/>
      <c r="P1784" s="230"/>
    </row>
    <row r="1785" spans="1:16">
      <c r="A1785" s="231"/>
      <c r="B1785" s="135" t="s">
        <v>2731</v>
      </c>
      <c r="C1785" s="231">
        <v>94411</v>
      </c>
      <c r="H1785" s="230"/>
      <c r="K1785" s="230"/>
      <c r="P1785" s="230"/>
    </row>
    <row r="1786" spans="1:16">
      <c r="A1786" s="231"/>
      <c r="B1786" s="135" t="s">
        <v>1143</v>
      </c>
      <c r="C1786" s="231">
        <v>94412</v>
      </c>
      <c r="H1786" s="230"/>
      <c r="K1786" s="230"/>
      <c r="P1786" s="230"/>
    </row>
    <row r="1787" spans="1:16">
      <c r="A1787" s="231"/>
      <c r="B1787" s="135" t="s">
        <v>2732</v>
      </c>
      <c r="C1787" s="231">
        <v>91141</v>
      </c>
      <c r="H1787" s="230"/>
      <c r="K1787" s="230"/>
      <c r="P1787" s="230"/>
    </row>
    <row r="1788" spans="1:16">
      <c r="A1788" s="231"/>
      <c r="B1788" s="135" t="s">
        <v>842</v>
      </c>
      <c r="C1788" s="231">
        <v>91147</v>
      </c>
      <c r="H1788" s="230"/>
      <c r="K1788" s="230"/>
      <c r="P1788" s="230"/>
    </row>
    <row r="1789" spans="1:16">
      <c r="A1789" s="231"/>
      <c r="B1789" s="135" t="s">
        <v>2733</v>
      </c>
      <c r="C1789" s="231">
        <v>99071</v>
      </c>
      <c r="H1789" s="230"/>
      <c r="K1789" s="230"/>
      <c r="P1789" s="230"/>
    </row>
    <row r="1790" spans="1:16">
      <c r="A1790" s="231"/>
      <c r="B1790" s="135" t="s">
        <v>2734</v>
      </c>
      <c r="C1790" s="231">
        <v>94231</v>
      </c>
      <c r="H1790" s="230"/>
      <c r="K1790" s="230"/>
      <c r="P1790" s="230"/>
    </row>
    <row r="1791" spans="1:16">
      <c r="A1791" s="231"/>
      <c r="B1791" s="135" t="s">
        <v>2735</v>
      </c>
      <c r="C1791" s="231">
        <v>99231</v>
      </c>
      <c r="H1791" s="230"/>
      <c r="K1791" s="230"/>
      <c r="P1791" s="230"/>
    </row>
    <row r="1792" spans="1:16">
      <c r="A1792" s="231"/>
      <c r="B1792" s="135" t="s">
        <v>2736</v>
      </c>
      <c r="C1792" s="231">
        <v>99091</v>
      </c>
      <c r="H1792" s="230"/>
      <c r="K1792" s="230"/>
      <c r="P1792" s="230"/>
    </row>
    <row r="1793" spans="1:16">
      <c r="A1793" s="231"/>
      <c r="B1793" s="135" t="s">
        <v>836</v>
      </c>
      <c r="C1793" s="231">
        <v>91120</v>
      </c>
      <c r="H1793" s="230"/>
      <c r="K1793" s="230"/>
      <c r="P1793" s="230"/>
    </row>
    <row r="1794" spans="1:16">
      <c r="A1794" s="231"/>
      <c r="B1794" s="135" t="s">
        <v>950</v>
      </c>
      <c r="C1794" s="231">
        <v>92444</v>
      </c>
      <c r="H1794" s="230"/>
      <c r="K1794" s="230"/>
      <c r="P1794" s="230"/>
    </row>
    <row r="1795" spans="1:16">
      <c r="A1795" s="231"/>
      <c r="B1795" s="135" t="s">
        <v>2737</v>
      </c>
      <c r="C1795" s="231">
        <v>90521</v>
      </c>
      <c r="H1795" s="230"/>
      <c r="K1795" s="230"/>
      <c r="P1795" s="230"/>
    </row>
    <row r="1796" spans="1:16">
      <c r="A1796" s="231"/>
      <c r="B1796" s="135" t="s">
        <v>34</v>
      </c>
      <c r="C1796" s="231">
        <v>90507</v>
      </c>
      <c r="H1796" s="230"/>
      <c r="K1796" s="230"/>
      <c r="P1796" s="230"/>
    </row>
    <row r="1797" spans="1:16">
      <c r="A1797" s="231"/>
      <c r="B1797" s="135" t="s">
        <v>969</v>
      </c>
      <c r="C1797" s="231">
        <v>92602</v>
      </c>
      <c r="H1797" s="230"/>
      <c r="K1797" s="230"/>
      <c r="P1797" s="230"/>
    </row>
    <row r="1798" spans="1:16">
      <c r="A1798" s="231"/>
      <c r="B1798" s="135" t="s">
        <v>886</v>
      </c>
      <c r="C1798" s="231">
        <v>91608</v>
      </c>
      <c r="H1798" s="230"/>
      <c r="K1798" s="230"/>
      <c r="P1798" s="230"/>
    </row>
    <row r="1799" spans="1:16">
      <c r="A1799" s="231"/>
      <c r="B1799" s="135" t="s">
        <v>48</v>
      </c>
      <c r="C1799" s="231">
        <v>91119</v>
      </c>
      <c r="H1799" s="230"/>
      <c r="K1799" s="230"/>
      <c r="P1799" s="230"/>
    </row>
    <row r="1800" spans="1:16">
      <c r="A1800" s="231"/>
      <c r="B1800" s="135" t="s">
        <v>832</v>
      </c>
      <c r="C1800" s="231">
        <v>91107</v>
      </c>
      <c r="H1800" s="230"/>
      <c r="K1800" s="230"/>
      <c r="P1800" s="230"/>
    </row>
    <row r="1801" spans="1:16">
      <c r="A1801" s="231"/>
      <c r="B1801" s="135" t="s">
        <v>2786</v>
      </c>
      <c r="C1801" s="231">
        <v>91818</v>
      </c>
      <c r="H1801" s="230"/>
      <c r="K1801" s="230"/>
      <c r="P1801" s="230"/>
    </row>
    <row r="1802" spans="1:16">
      <c r="A1802" s="231"/>
      <c r="B1802" s="135" t="s">
        <v>907</v>
      </c>
      <c r="C1802" s="231">
        <v>91819</v>
      </c>
      <c r="H1802" s="230"/>
      <c r="K1802" s="230"/>
      <c r="P1802" s="230"/>
    </row>
    <row r="1803" spans="1:16">
      <c r="A1803" s="231"/>
      <c r="B1803" s="135" t="s">
        <v>2738</v>
      </c>
      <c r="C1803" s="231">
        <v>96371</v>
      </c>
      <c r="H1803" s="230"/>
      <c r="K1803" s="230"/>
      <c r="P1803" s="230"/>
    </row>
    <row r="1804" spans="1:16">
      <c r="A1804" s="231"/>
      <c r="B1804" s="135" t="s">
        <v>2739</v>
      </c>
      <c r="C1804" s="231">
        <v>96441</v>
      </c>
      <c r="H1804" s="230"/>
      <c r="K1804" s="230"/>
      <c r="P1804" s="230"/>
    </row>
    <row r="1805" spans="1:16">
      <c r="A1805" s="231"/>
      <c r="B1805" s="135" t="s">
        <v>2740</v>
      </c>
      <c r="C1805" s="231">
        <v>90921</v>
      </c>
      <c r="H1805" s="230"/>
      <c r="K1805" s="230"/>
      <c r="P1805" s="230"/>
    </row>
    <row r="1806" spans="1:16">
      <c r="A1806" s="231"/>
      <c r="B1806" s="135" t="s">
        <v>2020</v>
      </c>
      <c r="C1806" s="231">
        <v>92411</v>
      </c>
      <c r="H1806" s="230"/>
      <c r="K1806" s="230"/>
      <c r="P1806" s="230"/>
    </row>
    <row r="1807" spans="1:16">
      <c r="A1807" s="231"/>
      <c r="B1807" s="135" t="s">
        <v>945</v>
      </c>
      <c r="C1807" s="231">
        <v>92417</v>
      </c>
      <c r="H1807" s="230"/>
      <c r="K1807" s="230"/>
      <c r="P1807" s="230"/>
    </row>
    <row r="1808" spans="1:16">
      <c r="A1808" s="231"/>
      <c r="B1808" s="135" t="s">
        <v>943</v>
      </c>
      <c r="C1808" s="231">
        <v>92403</v>
      </c>
      <c r="H1808" s="230"/>
      <c r="K1808" s="230"/>
      <c r="P1808" s="230"/>
    </row>
    <row r="1809" spans="1:16">
      <c r="A1809" s="231"/>
      <c r="B1809" s="135" t="s">
        <v>1595</v>
      </c>
      <c r="C1809" s="231">
        <v>99701</v>
      </c>
      <c r="H1809" s="230"/>
      <c r="K1809" s="230"/>
      <c r="P1809" s="230"/>
    </row>
    <row r="1810" spans="1:16">
      <c r="A1810" s="231"/>
      <c r="B1810" s="135" t="s">
        <v>2741</v>
      </c>
      <c r="C1810" s="231">
        <v>99721</v>
      </c>
      <c r="H1810" s="230"/>
      <c r="K1810" s="230"/>
      <c r="P1810" s="230"/>
    </row>
    <row r="1811" spans="1:16">
      <c r="A1811" s="231"/>
      <c r="B1811" s="135" t="s">
        <v>1600</v>
      </c>
      <c r="C1811" s="231">
        <v>99727</v>
      </c>
      <c r="H1811" s="230"/>
      <c r="K1811" s="230"/>
      <c r="P1811" s="230"/>
    </row>
    <row r="1812" spans="1:16">
      <c r="A1812" s="231"/>
      <c r="B1812" s="135" t="s">
        <v>2742</v>
      </c>
      <c r="C1812" s="231">
        <v>95811</v>
      </c>
      <c r="H1812" s="230"/>
      <c r="K1812" s="230"/>
      <c r="P1812" s="230"/>
    </row>
    <row r="1813" spans="1:16">
      <c r="A1813" s="231"/>
      <c r="B1813" s="135" t="s">
        <v>1242</v>
      </c>
      <c r="C1813" s="231">
        <v>95813</v>
      </c>
      <c r="H1813" s="230"/>
      <c r="K1813" s="230"/>
      <c r="P1813" s="230"/>
    </row>
    <row r="1814" spans="1:16">
      <c r="A1814" s="231"/>
      <c r="B1814" s="135" t="s">
        <v>2021</v>
      </c>
      <c r="C1814" s="231">
        <v>96531</v>
      </c>
      <c r="H1814" s="230"/>
      <c r="K1814" s="230"/>
      <c r="P1814" s="230"/>
    </row>
    <row r="1815" spans="1:16">
      <c r="A1815" s="231"/>
      <c r="B1815" s="135" t="s">
        <v>1307</v>
      </c>
      <c r="C1815" s="231">
        <v>96503</v>
      </c>
      <c r="H1815" s="230"/>
      <c r="K1815" s="230"/>
      <c r="P1815" s="230"/>
    </row>
    <row r="1816" spans="1:16">
      <c r="A1816" s="231"/>
      <c r="B1816" s="135" t="s">
        <v>2022</v>
      </c>
      <c r="C1816" s="231">
        <v>99811</v>
      </c>
      <c r="H1816" s="230"/>
      <c r="K1816" s="230"/>
      <c r="P1816" s="230"/>
    </row>
    <row r="1817" spans="1:16">
      <c r="A1817" s="231"/>
      <c r="B1817" s="135" t="s">
        <v>2023</v>
      </c>
      <c r="C1817" s="53">
        <v>99818</v>
      </c>
      <c r="H1817" s="230"/>
      <c r="K1817" s="230"/>
      <c r="P1817" s="230"/>
    </row>
    <row r="1818" spans="1:16">
      <c r="A1818" s="231"/>
      <c r="B1818" s="135" t="s">
        <v>1601</v>
      </c>
      <c r="C1818" s="231">
        <v>99801</v>
      </c>
      <c r="H1818" s="230"/>
      <c r="K1818" s="230"/>
      <c r="P1818" s="230"/>
    </row>
    <row r="1819" spans="1:16">
      <c r="A1819" s="231"/>
      <c r="B1819" s="135" t="s">
        <v>1603</v>
      </c>
      <c r="C1819" s="231">
        <v>99804</v>
      </c>
      <c r="H1819" s="230"/>
      <c r="K1819" s="230"/>
      <c r="P1819" s="230"/>
    </row>
    <row r="1820" spans="1:16">
      <c r="A1820" s="231"/>
      <c r="B1820" s="135" t="s">
        <v>2773</v>
      </c>
      <c r="C1820" s="231">
        <v>99802</v>
      </c>
      <c r="H1820" s="230"/>
      <c r="K1820" s="230"/>
      <c r="P1820" s="230"/>
    </row>
    <row r="1821" spans="1:16">
      <c r="A1821" s="231"/>
      <c r="B1821" s="135" t="s">
        <v>1605</v>
      </c>
      <c r="C1821" s="53">
        <v>99812</v>
      </c>
      <c r="H1821" s="230"/>
      <c r="K1821" s="230"/>
      <c r="P1821" s="230"/>
    </row>
    <row r="1822" spans="1:16">
      <c r="A1822" s="231"/>
      <c r="B1822" s="135" t="s">
        <v>2743</v>
      </c>
      <c r="C1822" s="231">
        <v>95191</v>
      </c>
      <c r="H1822" s="230"/>
      <c r="K1822" s="230"/>
      <c r="P1822" s="230"/>
    </row>
    <row r="1823" spans="1:16">
      <c r="A1823" s="231"/>
      <c r="B1823" s="135" t="s">
        <v>2744</v>
      </c>
      <c r="C1823" s="231">
        <v>90812</v>
      </c>
      <c r="H1823" s="230"/>
      <c r="K1823" s="230"/>
      <c r="P1823" s="230"/>
    </row>
    <row r="1824" spans="1:16">
      <c r="A1824" s="231"/>
      <c r="B1824" s="135" t="s">
        <v>2745</v>
      </c>
      <c r="C1824" s="231">
        <v>97221</v>
      </c>
      <c r="H1824" s="230"/>
      <c r="K1824" s="230"/>
      <c r="P1824" s="230"/>
    </row>
    <row r="1825" spans="1:16">
      <c r="A1825" s="231"/>
      <c r="B1825" s="135" t="s">
        <v>2746</v>
      </c>
      <c r="C1825" s="231">
        <v>99031</v>
      </c>
      <c r="H1825" s="230"/>
      <c r="K1825" s="230"/>
      <c r="P1825" s="230"/>
    </row>
    <row r="1826" spans="1:16">
      <c r="A1826" s="231"/>
      <c r="B1826" s="135" t="s">
        <v>2024</v>
      </c>
      <c r="C1826" s="231">
        <v>93411</v>
      </c>
      <c r="H1826" s="230"/>
      <c r="K1826" s="230"/>
      <c r="P1826" s="230"/>
    </row>
    <row r="1827" spans="1:16">
      <c r="A1827" s="231"/>
      <c r="B1827" s="135" t="s">
        <v>1045</v>
      </c>
      <c r="C1827" s="231">
        <v>93413</v>
      </c>
      <c r="H1827" s="230"/>
      <c r="K1827" s="230"/>
      <c r="P1827" s="230"/>
    </row>
    <row r="1828" spans="1:16">
      <c r="A1828" s="231"/>
      <c r="B1828" s="135" t="s">
        <v>2747</v>
      </c>
      <c r="C1828" s="231">
        <v>97451</v>
      </c>
      <c r="H1828" s="230"/>
      <c r="K1828" s="230"/>
      <c r="P1828" s="230"/>
    </row>
    <row r="1829" spans="1:16">
      <c r="A1829" s="231"/>
      <c r="B1829" s="135" t="s">
        <v>2748</v>
      </c>
      <c r="C1829" s="231">
        <v>94631</v>
      </c>
      <c r="H1829" s="230"/>
      <c r="K1829" s="230"/>
      <c r="P1829" s="230"/>
    </row>
    <row r="1830" spans="1:16">
      <c r="A1830" s="231"/>
      <c r="B1830" s="135" t="s">
        <v>2749</v>
      </c>
      <c r="C1830" s="231">
        <v>91171</v>
      </c>
      <c r="H1830" s="230"/>
      <c r="K1830" s="230"/>
      <c r="P1830" s="230"/>
    </row>
    <row r="1831" spans="1:16">
      <c r="A1831" s="231"/>
      <c r="B1831" s="135" t="s">
        <v>831</v>
      </c>
      <c r="C1831" s="231">
        <v>91104</v>
      </c>
      <c r="H1831" s="230"/>
      <c r="K1831" s="230"/>
      <c r="P1831" s="230"/>
    </row>
    <row r="1832" spans="1:16">
      <c r="A1832" s="231"/>
      <c r="B1832" s="135" t="s">
        <v>2785</v>
      </c>
      <c r="C1832" s="231">
        <v>91109</v>
      </c>
      <c r="H1832" s="230"/>
      <c r="K1832" s="230"/>
      <c r="P1832" s="230"/>
    </row>
    <row r="1833" spans="1:16">
      <c r="A1833" s="231"/>
      <c r="B1833" s="135" t="s">
        <v>2750</v>
      </c>
      <c r="C1833" s="231">
        <v>96621</v>
      </c>
      <c r="H1833" s="230"/>
      <c r="K1833" s="230"/>
      <c r="P1833" s="230"/>
    </row>
    <row r="1834" spans="1:16">
      <c r="A1834" s="231"/>
      <c r="B1834" s="135" t="s">
        <v>2498</v>
      </c>
      <c r="C1834" s="231">
        <v>96511</v>
      </c>
      <c r="H1834" s="230"/>
      <c r="K1834" s="230"/>
      <c r="P1834" s="230"/>
    </row>
    <row r="1835" spans="1:16">
      <c r="A1835" s="231"/>
      <c r="B1835" s="135" t="s">
        <v>1611</v>
      </c>
      <c r="C1835" s="53">
        <v>99901</v>
      </c>
      <c r="H1835" s="230"/>
      <c r="K1835" s="230"/>
      <c r="P1835" s="230"/>
    </row>
    <row r="1836" spans="1:16">
      <c r="A1836" s="231"/>
      <c r="B1836" s="135" t="s">
        <v>3524</v>
      </c>
      <c r="C1836" s="231">
        <v>98604</v>
      </c>
      <c r="H1836" s="230"/>
      <c r="K1836" s="230"/>
      <c r="P1836" s="230"/>
    </row>
    <row r="1837" spans="1:16">
      <c r="A1837" s="231"/>
      <c r="B1837" s="135" t="s">
        <v>1506</v>
      </c>
      <c r="C1837" s="231">
        <v>98608</v>
      </c>
      <c r="H1837" s="230"/>
      <c r="K1837" s="230"/>
      <c r="P1837" s="230"/>
    </row>
    <row r="1838" spans="1:16">
      <c r="A1838" s="231"/>
      <c r="B1838" s="135" t="s">
        <v>2497</v>
      </c>
      <c r="C1838" s="53">
        <v>99911</v>
      </c>
      <c r="H1838" s="230"/>
      <c r="K1838" s="230"/>
      <c r="P1838" s="230"/>
    </row>
    <row r="1839" spans="1:16">
      <c r="A1839" s="231"/>
      <c r="B1839" s="135" t="s">
        <v>731</v>
      </c>
      <c r="C1839" s="231">
        <v>90001</v>
      </c>
      <c r="H1839" s="230"/>
      <c r="K1839" s="230"/>
      <c r="P1839" s="230"/>
    </row>
    <row r="1840" spans="1:16">
      <c r="A1840" s="231"/>
      <c r="B1840" s="135" t="s">
        <v>2784</v>
      </c>
      <c r="C1840" s="231">
        <v>90002</v>
      </c>
      <c r="H1840" s="230"/>
      <c r="K1840" s="230"/>
      <c r="P1840" s="230"/>
    </row>
    <row r="1841" spans="1:16">
      <c r="A1841" s="231"/>
      <c r="B1841" s="135" t="s">
        <v>2496</v>
      </c>
      <c r="C1841" s="231">
        <v>91719</v>
      </c>
      <c r="H1841" s="230"/>
      <c r="K1841" s="230"/>
      <c r="P1841" s="230"/>
    </row>
    <row r="1842" spans="1:16">
      <c r="A1842" s="231"/>
      <c r="B1842" s="135" t="s">
        <v>2494</v>
      </c>
      <c r="C1842" s="231">
        <v>93541</v>
      </c>
      <c r="H1842" s="230"/>
      <c r="K1842" s="230"/>
      <c r="P1842" s="230"/>
    </row>
    <row r="1843" spans="1:16">
      <c r="A1843" s="231"/>
      <c r="B1843" s="135" t="s">
        <v>2495</v>
      </c>
      <c r="C1843" s="231">
        <v>99241</v>
      </c>
      <c r="H1843" s="230"/>
      <c r="K1843" s="230"/>
      <c r="P1843" s="230"/>
    </row>
    <row r="1844" spans="1:16">
      <c r="A1844" s="231"/>
      <c r="B1844" s="255"/>
      <c r="H1844" s="230"/>
      <c r="K1844" s="230"/>
      <c r="P1844" s="230"/>
    </row>
    <row r="1845" spans="1:16">
      <c r="A1845" s="231"/>
      <c r="B1845" s="255"/>
      <c r="H1845" s="230"/>
      <c r="K1845" s="230"/>
      <c r="P1845" s="230"/>
    </row>
    <row r="1846" spans="1:16">
      <c r="A1846" s="231"/>
      <c r="B1846" s="255"/>
      <c r="H1846" s="230"/>
      <c r="K1846" s="230"/>
      <c r="P1846" s="230"/>
    </row>
    <row r="1847" spans="1:16">
      <c r="B1847" s="255"/>
      <c r="H1847" s="230"/>
      <c r="K1847" s="230"/>
      <c r="P1847" s="230"/>
    </row>
    <row r="1848" spans="1:16">
      <c r="B1848" s="255"/>
      <c r="H1848" s="230"/>
      <c r="K1848" s="230"/>
      <c r="P1848" s="230"/>
    </row>
    <row r="1849" spans="1:16">
      <c r="B1849" s="255"/>
      <c r="H1849" s="230"/>
      <c r="K1849" s="230"/>
      <c r="P1849" s="230"/>
    </row>
    <row r="1850" spans="1:16">
      <c r="B1850" s="255"/>
      <c r="H1850" s="230"/>
      <c r="K1850" s="230"/>
      <c r="P1850" s="230"/>
    </row>
    <row r="1851" spans="1:16">
      <c r="B1851" s="255"/>
      <c r="H1851" s="230"/>
      <c r="K1851" s="230"/>
      <c r="P1851" s="230"/>
    </row>
    <row r="1852" spans="1:16">
      <c r="B1852" s="255"/>
      <c r="H1852" s="230"/>
      <c r="K1852" s="230"/>
      <c r="P1852" s="230"/>
    </row>
    <row r="1853" spans="1:16">
      <c r="B1853" s="255"/>
      <c r="H1853" s="230"/>
      <c r="K1853" s="230"/>
      <c r="P1853" s="230"/>
    </row>
    <row r="1854" spans="1:16">
      <c r="B1854" s="255"/>
      <c r="H1854" s="230"/>
      <c r="K1854" s="230"/>
      <c r="P1854" s="230"/>
    </row>
    <row r="1855" spans="1:16">
      <c r="B1855" s="255"/>
      <c r="H1855" s="230"/>
      <c r="K1855" s="230"/>
      <c r="P1855" s="230"/>
    </row>
    <row r="1856" spans="1:16">
      <c r="B1856" s="255"/>
      <c r="H1856" s="230"/>
      <c r="K1856" s="230"/>
      <c r="P1856" s="230"/>
    </row>
    <row r="1857" spans="2:16">
      <c r="B1857" s="255"/>
      <c r="H1857" s="230"/>
      <c r="K1857" s="230"/>
      <c r="P1857" s="230"/>
    </row>
    <row r="1858" spans="2:16">
      <c r="B1858" s="255"/>
      <c r="H1858" s="230"/>
      <c r="K1858" s="230"/>
      <c r="P1858" s="230"/>
    </row>
    <row r="1859" spans="2:16">
      <c r="B1859" s="255"/>
      <c r="H1859" s="230"/>
      <c r="K1859" s="230"/>
      <c r="P1859" s="230"/>
    </row>
    <row r="1860" spans="2:16">
      <c r="B1860" s="255"/>
      <c r="H1860" s="230"/>
      <c r="K1860" s="230"/>
      <c r="P1860" s="230"/>
    </row>
    <row r="1861" spans="2:16">
      <c r="B1861" s="255"/>
      <c r="H1861" s="230"/>
      <c r="K1861" s="230"/>
      <c r="P1861" s="230"/>
    </row>
    <row r="1862" spans="2:16">
      <c r="B1862" s="255"/>
      <c r="H1862" s="230"/>
      <c r="K1862" s="230"/>
      <c r="P1862" s="230"/>
    </row>
    <row r="1863" spans="2:16">
      <c r="B1863" s="255"/>
      <c r="H1863" s="230"/>
      <c r="K1863" s="230"/>
      <c r="P1863" s="230"/>
    </row>
    <row r="1864" spans="2:16">
      <c r="B1864" s="255"/>
      <c r="H1864" s="230"/>
      <c r="K1864" s="230"/>
      <c r="P1864" s="230"/>
    </row>
    <row r="1865" spans="2:16">
      <c r="B1865" s="255"/>
      <c r="H1865" s="230"/>
      <c r="K1865" s="230"/>
      <c r="P1865" s="230"/>
    </row>
    <row r="1866" spans="2:16">
      <c r="B1866" s="255"/>
      <c r="H1866" s="230"/>
      <c r="K1866" s="230"/>
      <c r="P1866" s="230"/>
    </row>
    <row r="1867" spans="2:16">
      <c r="B1867" s="255"/>
      <c r="H1867" s="230"/>
      <c r="K1867" s="230"/>
      <c r="P1867" s="230"/>
    </row>
    <row r="1868" spans="2:16">
      <c r="B1868" s="255"/>
      <c r="H1868" s="230"/>
      <c r="K1868" s="230"/>
      <c r="P1868" s="230"/>
    </row>
    <row r="1869" spans="2:16">
      <c r="B1869" s="255"/>
      <c r="H1869" s="230"/>
      <c r="K1869" s="230"/>
      <c r="P1869" s="230"/>
    </row>
    <row r="1870" spans="2:16">
      <c r="B1870" s="255"/>
      <c r="H1870" s="230"/>
      <c r="K1870" s="230"/>
      <c r="P1870" s="230"/>
    </row>
    <row r="1871" spans="2:16">
      <c r="B1871" s="255"/>
      <c r="H1871" s="230"/>
      <c r="K1871" s="230"/>
      <c r="P1871" s="230"/>
    </row>
    <row r="1872" spans="2:16">
      <c r="B1872" s="255"/>
      <c r="H1872" s="230"/>
      <c r="K1872" s="230"/>
      <c r="P1872" s="230"/>
    </row>
    <row r="1873" spans="2:16">
      <c r="B1873" s="255"/>
      <c r="H1873" s="230"/>
      <c r="K1873" s="230"/>
      <c r="P1873" s="230"/>
    </row>
    <row r="1874" spans="2:16">
      <c r="B1874" s="255"/>
      <c r="H1874" s="230"/>
      <c r="K1874" s="230"/>
      <c r="P1874" s="230"/>
    </row>
    <row r="1875" spans="2:16">
      <c r="B1875" s="255"/>
      <c r="H1875" s="230"/>
      <c r="K1875" s="230"/>
      <c r="P1875" s="230"/>
    </row>
    <row r="1876" spans="2:16">
      <c r="B1876" s="255"/>
      <c r="H1876" s="230"/>
      <c r="K1876" s="230"/>
      <c r="P1876" s="230"/>
    </row>
    <row r="1877" spans="2:16">
      <c r="B1877" s="255"/>
      <c r="H1877" s="230"/>
      <c r="K1877" s="230"/>
      <c r="P1877" s="230"/>
    </row>
    <row r="1878" spans="2:16">
      <c r="B1878" s="255"/>
      <c r="H1878" s="230"/>
      <c r="K1878" s="230"/>
      <c r="P1878" s="230"/>
    </row>
    <row r="1879" spans="2:16">
      <c r="B1879" s="255"/>
      <c r="H1879" s="230"/>
      <c r="K1879" s="230"/>
      <c r="P1879" s="230"/>
    </row>
    <row r="1880" spans="2:16">
      <c r="B1880" s="255"/>
      <c r="H1880" s="230"/>
      <c r="K1880" s="230"/>
      <c r="P1880" s="230"/>
    </row>
    <row r="1881" spans="2:16">
      <c r="B1881" s="255"/>
      <c r="H1881" s="230"/>
      <c r="K1881" s="230"/>
      <c r="P1881" s="230"/>
    </row>
    <row r="1882" spans="2:16">
      <c r="B1882" s="255"/>
      <c r="H1882" s="230"/>
      <c r="K1882" s="230"/>
      <c r="P1882" s="230"/>
    </row>
    <row r="1883" spans="2:16">
      <c r="B1883" s="255"/>
      <c r="H1883" s="230"/>
      <c r="K1883" s="230"/>
      <c r="P1883" s="230"/>
    </row>
    <row r="1884" spans="2:16">
      <c r="B1884" s="255"/>
      <c r="H1884" s="230"/>
      <c r="K1884" s="230"/>
      <c r="P1884" s="230"/>
    </row>
    <row r="1885" spans="2:16">
      <c r="B1885" s="255"/>
      <c r="H1885" s="230"/>
      <c r="K1885" s="230"/>
      <c r="P1885" s="230"/>
    </row>
    <row r="1886" spans="2:16">
      <c r="B1886" s="255"/>
      <c r="H1886" s="230"/>
      <c r="K1886" s="230"/>
      <c r="P1886" s="230"/>
    </row>
    <row r="1887" spans="2:16">
      <c r="B1887" s="255"/>
      <c r="H1887" s="230"/>
      <c r="K1887" s="230"/>
      <c r="P1887" s="230"/>
    </row>
    <row r="1888" spans="2:16">
      <c r="B1888" s="255"/>
      <c r="H1888" s="230"/>
      <c r="K1888" s="230"/>
      <c r="P1888" s="230"/>
    </row>
    <row r="1889" spans="2:16">
      <c r="B1889" s="255"/>
      <c r="H1889" s="230"/>
      <c r="K1889" s="230"/>
      <c r="P1889" s="230"/>
    </row>
    <row r="1890" spans="2:16">
      <c r="B1890" s="255"/>
      <c r="H1890" s="230"/>
      <c r="K1890" s="230"/>
      <c r="P1890" s="230"/>
    </row>
    <row r="1891" spans="2:16">
      <c r="B1891" s="255"/>
      <c r="H1891" s="230"/>
      <c r="K1891" s="230"/>
      <c r="P1891" s="230"/>
    </row>
    <row r="1892" spans="2:16">
      <c r="B1892" s="255"/>
      <c r="H1892" s="230"/>
      <c r="K1892" s="230"/>
      <c r="P1892" s="230"/>
    </row>
    <row r="1893" spans="2:16">
      <c r="B1893" s="255"/>
      <c r="H1893" s="230"/>
      <c r="K1893" s="230"/>
      <c r="P1893" s="230"/>
    </row>
    <row r="1894" spans="2:16">
      <c r="B1894" s="255"/>
      <c r="H1894" s="230"/>
      <c r="K1894" s="230"/>
      <c r="P1894" s="230"/>
    </row>
    <row r="1895" spans="2:16">
      <c r="B1895" s="255"/>
      <c r="H1895" s="230"/>
      <c r="K1895" s="230"/>
      <c r="P1895" s="230"/>
    </row>
    <row r="1896" spans="2:16">
      <c r="B1896" s="255"/>
      <c r="H1896" s="230"/>
      <c r="K1896" s="230"/>
      <c r="P1896" s="230"/>
    </row>
    <row r="1897" spans="2:16">
      <c r="B1897" s="255"/>
      <c r="H1897" s="230"/>
      <c r="K1897" s="230"/>
      <c r="P1897" s="230"/>
    </row>
    <row r="1898" spans="2:16">
      <c r="B1898" s="255"/>
      <c r="H1898" s="230"/>
      <c r="K1898" s="230"/>
      <c r="P1898" s="230"/>
    </row>
    <row r="1899" spans="2:16">
      <c r="B1899" s="255"/>
      <c r="H1899" s="230"/>
      <c r="K1899" s="230"/>
      <c r="P1899" s="230"/>
    </row>
    <row r="1900" spans="2:16">
      <c r="B1900" s="255"/>
      <c r="H1900" s="230"/>
      <c r="K1900" s="230"/>
      <c r="P1900" s="230"/>
    </row>
    <row r="1901" spans="2:16">
      <c r="B1901" s="255"/>
      <c r="H1901" s="230"/>
      <c r="K1901" s="230"/>
      <c r="P1901" s="230"/>
    </row>
    <row r="1902" spans="2:16">
      <c r="B1902" s="255"/>
      <c r="H1902" s="230"/>
      <c r="K1902" s="230"/>
      <c r="P1902" s="230"/>
    </row>
    <row r="1903" spans="2:16">
      <c r="B1903" s="255"/>
      <c r="H1903" s="230"/>
      <c r="K1903" s="230"/>
      <c r="P1903" s="230"/>
    </row>
    <row r="1904" spans="2:16">
      <c r="B1904" s="255"/>
      <c r="H1904" s="230"/>
      <c r="K1904" s="230"/>
      <c r="P1904" s="230"/>
    </row>
    <row r="1905" spans="2:16">
      <c r="B1905" s="255"/>
      <c r="H1905" s="230"/>
      <c r="K1905" s="230"/>
      <c r="P1905" s="230"/>
    </row>
    <row r="1906" spans="2:16">
      <c r="B1906" s="255"/>
      <c r="H1906" s="230"/>
      <c r="K1906" s="230"/>
      <c r="P1906" s="230"/>
    </row>
    <row r="1907" spans="2:16">
      <c r="B1907" s="255"/>
      <c r="H1907" s="230"/>
      <c r="K1907" s="230"/>
      <c r="P1907" s="230"/>
    </row>
    <row r="1908" spans="2:16">
      <c r="B1908" s="255"/>
      <c r="H1908" s="230"/>
      <c r="K1908" s="230"/>
      <c r="P1908" s="230"/>
    </row>
    <row r="1909" spans="2:16">
      <c r="B1909" s="255"/>
      <c r="H1909" s="230"/>
      <c r="K1909" s="230"/>
      <c r="P1909" s="230"/>
    </row>
    <row r="1910" spans="2:16">
      <c r="B1910" s="255"/>
      <c r="H1910" s="230"/>
      <c r="K1910" s="230"/>
      <c r="P1910" s="230"/>
    </row>
    <row r="1911" spans="2:16">
      <c r="B1911" s="255"/>
      <c r="H1911" s="230"/>
      <c r="K1911" s="230"/>
      <c r="P1911" s="230"/>
    </row>
    <row r="1912" spans="2:16">
      <c r="B1912" s="255"/>
      <c r="H1912" s="230"/>
      <c r="K1912" s="230"/>
      <c r="P1912" s="230"/>
    </row>
    <row r="1913" spans="2:16">
      <c r="B1913" s="255"/>
      <c r="H1913" s="230"/>
      <c r="K1913" s="230"/>
      <c r="P1913" s="230"/>
    </row>
    <row r="1914" spans="2:16">
      <c r="H1914" s="230"/>
      <c r="K1914" s="230"/>
      <c r="P1914" s="230"/>
    </row>
    <row r="1915" spans="2:16">
      <c r="H1915" s="230"/>
      <c r="K1915" s="230"/>
      <c r="P1915" s="230"/>
    </row>
  </sheetData>
  <sheetProtection password="CEAA" sheet="1" objects="1" scenarios="1"/>
  <autoFilter ref="A7:T932" xr:uid="{A86E2DE0-9FF4-4C02-97CB-4D6704BF96EB}">
    <sortState xmlns:xlrd2="http://schemas.microsoft.com/office/spreadsheetml/2017/richdata2" ref="A8:T932">
      <sortCondition descending="1" sortBy="cellColor" ref="A8:A932" dxfId="4"/>
    </sortState>
  </autoFilter>
  <sortState xmlns:xlrd2="http://schemas.microsoft.com/office/spreadsheetml/2017/richdata2" ref="A8:U32">
    <sortCondition sortBy="cellColor" ref="A8:A32" dxfId="3"/>
    <sortCondition sortBy="cellColor" ref="A8:A32" dxfId="2"/>
  </sortState>
  <pageMargins left="0.7" right="0.7" top="0.75" bottom="0.75" header="0.3" footer="0.3"/>
  <pageSetup paperSize="5" scale="40"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pageSetUpPr fitToPage="1"/>
  </sheetPr>
  <dimension ref="A1:T1913"/>
  <sheetViews>
    <sheetView zoomScale="90" zoomScaleNormal="90" workbookViewId="0">
      <pane ySplit="7" topLeftCell="A8" activePane="bottomLeft" state="frozen"/>
      <selection activeCell="B12" sqref="B12"/>
      <selection pane="bottomLeft" activeCell="A8" sqref="A8"/>
    </sheetView>
  </sheetViews>
  <sheetFormatPr defaultRowHeight="15"/>
  <cols>
    <col min="1" max="1" width="10.5703125" style="87" customWidth="1"/>
    <col min="2" max="2" width="48.85546875" style="87" customWidth="1"/>
    <col min="3" max="4" width="13.85546875" style="87" customWidth="1"/>
    <col min="5" max="5" width="30.140625" style="87" customWidth="1"/>
    <col min="6" max="6" width="3.85546875" style="87" customWidth="1"/>
    <col min="7" max="7" width="18.28515625" style="87" customWidth="1"/>
    <col min="8" max="8" width="20" style="94" customWidth="1"/>
    <col min="9" max="9" width="16.85546875" style="87" customWidth="1"/>
    <col min="10" max="10" width="19.42578125" style="87" customWidth="1"/>
    <col min="11" max="11" width="20" style="94" customWidth="1"/>
    <col min="12" max="12" width="3.85546875" style="87" customWidth="1"/>
    <col min="13" max="13" width="18.28515625" style="87" customWidth="1"/>
    <col min="14" max="14" width="11.85546875" style="87" customWidth="1"/>
    <col min="15" max="15" width="19.42578125" style="87" customWidth="1"/>
    <col min="16" max="16" width="20" style="94" customWidth="1"/>
    <col min="17" max="17" width="3.85546875" style="87" customWidth="1"/>
    <col min="18" max="18" width="13.85546875" style="87" customWidth="1"/>
    <col min="19" max="19" width="22.42578125" style="87" customWidth="1"/>
    <col min="20" max="20" width="14.85546875" style="87" bestFit="1" customWidth="1"/>
    <col min="21" max="16384" width="9.140625" style="87"/>
  </cols>
  <sheetData>
    <row r="1" spans="1:20">
      <c r="A1" s="87" t="s">
        <v>1928</v>
      </c>
      <c r="H1" s="87"/>
    </row>
    <row r="2" spans="1:20">
      <c r="A2" s="87" t="s">
        <v>1926</v>
      </c>
      <c r="H2" s="87"/>
    </row>
    <row r="3" spans="1:20" s="100" customFormat="1">
      <c r="A3" s="95"/>
      <c r="B3" s="56" t="s">
        <v>715</v>
      </c>
      <c r="C3" s="252">
        <f>SUM(C9:C928)-SUM(C253:C255)-SUM(C685:C686)-SUM(C795:C796)-SUM(C811:C812)</f>
        <v>0.99999999999999978</v>
      </c>
      <c r="D3" s="252">
        <f>SUM(D9:D928)-SUM(D253:D255)-SUM(D685:D686)-SUM(D795:D796)-SUM(D811:D812)</f>
        <v>1</v>
      </c>
      <c r="E3" s="253">
        <f>SUM(E9:E928)-SUM(E253:E255)-SUM(E685:E686)-SUM(E795:E796)-SUM(E811:E812)</f>
        <v>2372341991</v>
      </c>
      <c r="F3" s="97"/>
      <c r="G3" s="97">
        <f>SUM(G9:G928)-SUM(G253:G255)-SUM(G685:G686)-SUM(G795:G796)-SUM(G811:G812)</f>
        <v>365996013</v>
      </c>
      <c r="H3" s="242">
        <f>SUM(H9:H928)-SUM(H253:H255)-SUM(H685:H686)-SUM(H795:H796)-SUM(H811:H812)</f>
        <v>325651977</v>
      </c>
      <c r="I3" s="97">
        <f>SUM(I9:I928)-SUM(I253:I255)-SUM(I685:I686)-SUM(I795:I796)-SUM(I811:I812)</f>
        <v>629527990</v>
      </c>
      <c r="J3" s="97">
        <f>SUM(J9:J928)-SUM(J253:J255)-SUM(J685:J686)-SUM(J795:J796)-SUM(J811:J812)</f>
        <v>39321171</v>
      </c>
      <c r="K3" s="242">
        <f>SUM(K9:K928)-SUM(K253:K255)-SUM(K685:K686)-SUM(K795:K796)-SUM(K811:K812)</f>
        <v>1360497151</v>
      </c>
      <c r="L3" s="97"/>
      <c r="M3" s="97">
        <f>SUM(M9:M928)-SUM(M253:M255)-SUM(M685:M686)-SUM(M795:M796)-SUM(M811:M812)</f>
        <v>12280987</v>
      </c>
      <c r="N3" s="97">
        <f>SUM(N9:N928)-SUM(N253:N255)-SUM(N685:N686)-SUM(N795:N796)-SUM(N811:N812)</f>
        <v>0</v>
      </c>
      <c r="O3" s="97">
        <f>SUM(O9:O928)-SUM(O253:O255)-SUM(O685:O686)-SUM(O795:O796)-SUM(O811:O812)</f>
        <v>39321083</v>
      </c>
      <c r="P3" s="99">
        <f>SUM(P9:P928)-SUM(P253:P255)-SUM(P685:P686)-SUM(P795:P796)-SUM(P811:P812)</f>
        <v>51602070</v>
      </c>
      <c r="Q3" s="98"/>
      <c r="R3" s="98">
        <f>SUM(R9:R928)-SUM(R253:R255)-SUM(R685:R686)-SUM(R795:R796)-SUM(R811:R812)</f>
        <v>658973009</v>
      </c>
      <c r="S3" s="98">
        <f>SUM(S9:S928)-SUM(S253:S255)-SUM(S685:S686)-SUM(S795:S796)-SUM(S811:S812)</f>
        <v>6</v>
      </c>
      <c r="T3" s="98">
        <f>SUM(T9:T928)-SUM(T253:T255)-SUM(T685:T686)-SUM(T795:T796)-SUM(T811:T812)</f>
        <v>658973015</v>
      </c>
    </row>
    <row r="4" spans="1:20" s="100" customFormat="1">
      <c r="A4" s="95"/>
      <c r="B4" s="56" t="s">
        <v>3522</v>
      </c>
      <c r="C4" s="252">
        <v>1.0000000000000002</v>
      </c>
      <c r="D4" s="252">
        <v>0.99999999999999978</v>
      </c>
      <c r="E4" s="253">
        <v>2372341991</v>
      </c>
      <c r="F4" s="97"/>
      <c r="G4" s="97">
        <v>365996013</v>
      </c>
      <c r="H4" s="242">
        <v>325651977</v>
      </c>
      <c r="I4" s="97">
        <v>629527990</v>
      </c>
      <c r="J4" s="97">
        <v>39321171</v>
      </c>
      <c r="K4" s="242">
        <v>1360497151</v>
      </c>
      <c r="L4" s="97"/>
      <c r="M4" s="97">
        <v>12280987</v>
      </c>
      <c r="N4" s="97">
        <v>0</v>
      </c>
      <c r="O4" s="97">
        <v>39321083</v>
      </c>
      <c r="P4" s="99">
        <v>51602070</v>
      </c>
      <c r="Q4" s="98"/>
      <c r="R4" s="98">
        <v>658973009</v>
      </c>
      <c r="S4" s="98">
        <v>6</v>
      </c>
      <c r="T4" s="98">
        <v>658973015</v>
      </c>
    </row>
    <row r="5" spans="1:20">
      <c r="H5" s="87"/>
    </row>
    <row r="6" spans="1:20">
      <c r="G6" s="88" t="s">
        <v>2</v>
      </c>
      <c r="H6" s="88"/>
      <c r="I6" s="88"/>
      <c r="J6" s="88"/>
      <c r="K6" s="89"/>
      <c r="M6" s="88" t="s">
        <v>3</v>
      </c>
      <c r="N6" s="88"/>
      <c r="O6" s="88"/>
      <c r="P6" s="89"/>
      <c r="R6" s="88" t="s">
        <v>4</v>
      </c>
      <c r="S6" s="88"/>
      <c r="T6" s="88"/>
    </row>
    <row r="7" spans="1:20" ht="120">
      <c r="A7" s="90" t="s">
        <v>0</v>
      </c>
      <c r="B7" s="90" t="s">
        <v>1</v>
      </c>
      <c r="C7" s="90" t="s">
        <v>263</v>
      </c>
      <c r="D7" s="90" t="s">
        <v>264</v>
      </c>
      <c r="E7" s="90" t="s">
        <v>724</v>
      </c>
      <c r="F7" s="90"/>
      <c r="G7" s="90" t="s">
        <v>5</v>
      </c>
      <c r="H7" s="91" t="s">
        <v>6</v>
      </c>
      <c r="I7" s="90" t="s">
        <v>7</v>
      </c>
      <c r="J7" s="90" t="s">
        <v>8</v>
      </c>
      <c r="K7" s="91" t="s">
        <v>725</v>
      </c>
      <c r="L7" s="90"/>
      <c r="M7" s="90" t="s">
        <v>5</v>
      </c>
      <c r="N7" s="90" t="s">
        <v>7</v>
      </c>
      <c r="O7" s="90" t="s">
        <v>8</v>
      </c>
      <c r="P7" s="91" t="s">
        <v>726</v>
      </c>
      <c r="Q7" s="90"/>
      <c r="R7" s="90" t="s">
        <v>9</v>
      </c>
      <c r="S7" s="90" t="s">
        <v>10</v>
      </c>
      <c r="T7" s="90" t="s">
        <v>11</v>
      </c>
    </row>
    <row r="8" spans="1:20">
      <c r="A8" s="8" t="s">
        <v>692</v>
      </c>
      <c r="B8" s="64" t="s">
        <v>691</v>
      </c>
      <c r="C8" s="90"/>
      <c r="D8" s="90"/>
      <c r="E8" s="90"/>
      <c r="F8" s="90"/>
      <c r="G8" s="90"/>
      <c r="H8" s="91"/>
      <c r="I8" s="90"/>
      <c r="J8" s="90"/>
      <c r="K8" s="91"/>
      <c r="L8" s="90"/>
      <c r="M8" s="90"/>
      <c r="N8" s="90"/>
      <c r="O8" s="90"/>
      <c r="P8" s="91"/>
      <c r="Q8" s="90"/>
      <c r="R8" s="90"/>
      <c r="S8" s="90"/>
      <c r="T8" s="90"/>
    </row>
    <row r="9" spans="1:20">
      <c r="A9" s="50">
        <v>70505</v>
      </c>
      <c r="B9" s="51" t="s">
        <v>727</v>
      </c>
      <c r="C9" s="239">
        <v>3.6600000000000001E-4</v>
      </c>
      <c r="D9" s="239">
        <v>4.147E-4</v>
      </c>
      <c r="E9" s="52">
        <v>868277</v>
      </c>
      <c r="F9" s="52"/>
      <c r="G9" s="237">
        <v>133955</v>
      </c>
      <c r="H9" s="225">
        <v>119188</v>
      </c>
      <c r="I9" s="237">
        <v>230407</v>
      </c>
      <c r="J9" s="236">
        <v>0</v>
      </c>
      <c r="K9" s="93">
        <f t="shared" ref="K9:K73" si="0">G9+H9+I9+J9</f>
        <v>483550</v>
      </c>
      <c r="L9" s="52"/>
      <c r="M9" s="237">
        <v>4495</v>
      </c>
      <c r="N9" s="237">
        <v>0</v>
      </c>
      <c r="O9" s="236">
        <v>53689</v>
      </c>
      <c r="P9" s="93">
        <f t="shared" ref="P9:P73" si="1">M9+N9+O9</f>
        <v>58184</v>
      </c>
      <c r="Q9" s="52"/>
      <c r="R9" s="237">
        <v>241184</v>
      </c>
      <c r="S9" s="236">
        <v>-22825</v>
      </c>
      <c r="T9" s="238">
        <v>218359</v>
      </c>
    </row>
    <row r="10" spans="1:20" s="230" customFormat="1">
      <c r="A10" s="231">
        <v>97302</v>
      </c>
      <c r="B10" s="232" t="s">
        <v>3751</v>
      </c>
      <c r="C10" s="239">
        <v>0</v>
      </c>
      <c r="D10" s="239">
        <v>0</v>
      </c>
      <c r="E10" s="236">
        <v>0</v>
      </c>
      <c r="F10" s="236"/>
      <c r="G10" s="237">
        <v>0</v>
      </c>
      <c r="H10" s="225">
        <v>0</v>
      </c>
      <c r="I10" s="237">
        <v>0</v>
      </c>
      <c r="J10" s="236">
        <v>0</v>
      </c>
      <c r="K10" s="225">
        <v>0</v>
      </c>
      <c r="L10" s="236"/>
      <c r="M10" s="237">
        <v>0</v>
      </c>
      <c r="N10" s="237">
        <v>0</v>
      </c>
      <c r="O10" s="236">
        <v>0</v>
      </c>
      <c r="P10" s="225">
        <v>0</v>
      </c>
      <c r="Q10" s="236"/>
      <c r="R10" s="237">
        <v>0</v>
      </c>
      <c r="S10" s="236">
        <v>0</v>
      </c>
      <c r="T10" s="238">
        <v>0</v>
      </c>
    </row>
    <row r="11" spans="1:20">
      <c r="A11" s="50">
        <v>72265</v>
      </c>
      <c r="B11" s="51" t="s">
        <v>728</v>
      </c>
      <c r="C11" s="239">
        <v>1.538E-4</v>
      </c>
      <c r="D11" s="239">
        <v>1.4009999999999999E-4</v>
      </c>
      <c r="E11" s="52">
        <v>364866</v>
      </c>
      <c r="F11" s="52"/>
      <c r="G11" s="237">
        <v>56290</v>
      </c>
      <c r="H11" s="225">
        <v>50085</v>
      </c>
      <c r="I11" s="237">
        <v>96821</v>
      </c>
      <c r="J11" s="236">
        <v>10295</v>
      </c>
      <c r="K11" s="93">
        <f t="shared" si="0"/>
        <v>213491</v>
      </c>
      <c r="L11" s="52"/>
      <c r="M11" s="237">
        <v>1889</v>
      </c>
      <c r="N11" s="237">
        <v>0</v>
      </c>
      <c r="O11" s="236">
        <v>2396</v>
      </c>
      <c r="P11" s="93">
        <f t="shared" si="1"/>
        <v>4285</v>
      </c>
      <c r="Q11" s="52"/>
      <c r="R11" s="237">
        <v>101350</v>
      </c>
      <c r="S11" s="236">
        <v>5014</v>
      </c>
      <c r="T11" s="238">
        <v>106364</v>
      </c>
    </row>
    <row r="12" spans="1:20">
      <c r="A12" s="50">
        <v>72593</v>
      </c>
      <c r="B12" s="51" t="s">
        <v>2133</v>
      </c>
      <c r="C12" s="239">
        <v>6.0000000000000002E-6</v>
      </c>
      <c r="D12" s="239">
        <v>5.9000000000000003E-6</v>
      </c>
      <c r="E12" s="52">
        <v>14234</v>
      </c>
      <c r="F12" s="52"/>
      <c r="G12" s="237">
        <v>2196</v>
      </c>
      <c r="H12" s="225">
        <v>1954</v>
      </c>
      <c r="I12" s="237">
        <v>3777</v>
      </c>
      <c r="J12" s="236">
        <v>2261</v>
      </c>
      <c r="K12" s="93">
        <f t="shared" si="0"/>
        <v>10188</v>
      </c>
      <c r="L12" s="52"/>
      <c r="M12" s="237">
        <v>74</v>
      </c>
      <c r="N12" s="237">
        <v>0</v>
      </c>
      <c r="O12" s="236">
        <v>590</v>
      </c>
      <c r="P12" s="93">
        <f t="shared" si="1"/>
        <v>664</v>
      </c>
      <c r="Q12" s="52"/>
      <c r="R12" s="237">
        <v>3954</v>
      </c>
      <c r="S12" s="236">
        <v>605</v>
      </c>
      <c r="T12" s="238">
        <v>4559</v>
      </c>
    </row>
    <row r="13" spans="1:20">
      <c r="A13" s="50">
        <v>72657</v>
      </c>
      <c r="B13" s="51" t="s">
        <v>2134</v>
      </c>
      <c r="C13" s="239">
        <v>3.9199999999999997E-5</v>
      </c>
      <c r="D13" s="239">
        <v>3.9900000000000001E-5</v>
      </c>
      <c r="E13" s="52">
        <v>92996</v>
      </c>
      <c r="F13" s="52"/>
      <c r="G13" s="237">
        <v>14347</v>
      </c>
      <c r="H13" s="225">
        <v>12765</v>
      </c>
      <c r="I13" s="237">
        <v>24677</v>
      </c>
      <c r="J13" s="236">
        <v>0</v>
      </c>
      <c r="K13" s="93">
        <f t="shared" si="0"/>
        <v>51789</v>
      </c>
      <c r="L13" s="52"/>
      <c r="M13" s="237">
        <v>481</v>
      </c>
      <c r="N13" s="237">
        <v>0</v>
      </c>
      <c r="O13" s="236">
        <v>6011</v>
      </c>
      <c r="P13" s="93">
        <f t="shared" si="1"/>
        <v>6492</v>
      </c>
      <c r="Q13" s="52"/>
      <c r="R13" s="237">
        <v>25832</v>
      </c>
      <c r="S13" s="236">
        <v>356</v>
      </c>
      <c r="T13" s="238">
        <v>26188</v>
      </c>
    </row>
    <row r="14" spans="1:20">
      <c r="A14" s="50">
        <v>90001</v>
      </c>
      <c r="B14" s="51" t="s">
        <v>731</v>
      </c>
      <c r="C14" s="239">
        <v>8.61E-4</v>
      </c>
      <c r="D14" s="239">
        <v>8.6030000000000004E-4</v>
      </c>
      <c r="E14" s="52">
        <v>2042586</v>
      </c>
      <c r="F14" s="52"/>
      <c r="G14" s="237">
        <v>315123</v>
      </c>
      <c r="H14" s="225">
        <v>280386</v>
      </c>
      <c r="I14" s="237">
        <v>542024</v>
      </c>
      <c r="J14" s="236">
        <v>7657</v>
      </c>
      <c r="K14" s="93">
        <f t="shared" si="0"/>
        <v>1145190</v>
      </c>
      <c r="L14" s="52"/>
      <c r="M14" s="237">
        <v>10574</v>
      </c>
      <c r="N14" s="237">
        <v>0</v>
      </c>
      <c r="O14" s="236">
        <v>10725</v>
      </c>
      <c r="P14" s="93">
        <f t="shared" si="1"/>
        <v>21299</v>
      </c>
      <c r="Q14" s="52"/>
      <c r="R14" s="237">
        <v>567376</v>
      </c>
      <c r="S14" s="236">
        <v>1195</v>
      </c>
      <c r="T14" s="238">
        <v>568571</v>
      </c>
    </row>
    <row r="15" spans="1:20">
      <c r="A15" s="50">
        <v>90002</v>
      </c>
      <c r="B15" s="51" t="s">
        <v>732</v>
      </c>
      <c r="C15" s="239">
        <v>9.5000000000000005E-6</v>
      </c>
      <c r="D15" s="239">
        <v>1.06E-5</v>
      </c>
      <c r="E15" s="52">
        <v>22537</v>
      </c>
      <c r="F15" s="52"/>
      <c r="G15" s="237">
        <v>3477</v>
      </c>
      <c r="H15" s="225">
        <v>3094</v>
      </c>
      <c r="I15" s="237">
        <v>5981</v>
      </c>
      <c r="J15" s="236">
        <v>1636</v>
      </c>
      <c r="K15" s="93">
        <f t="shared" si="0"/>
        <v>14188</v>
      </c>
      <c r="L15" s="52"/>
      <c r="M15" s="237">
        <v>117</v>
      </c>
      <c r="N15" s="237">
        <v>0</v>
      </c>
      <c r="O15" s="236">
        <v>0</v>
      </c>
      <c r="P15" s="93">
        <f t="shared" si="1"/>
        <v>117</v>
      </c>
      <c r="Q15" s="52"/>
      <c r="R15" s="237">
        <v>6260</v>
      </c>
      <c r="S15" s="236">
        <v>737</v>
      </c>
      <c r="T15" s="238">
        <v>6997</v>
      </c>
    </row>
    <row r="16" spans="1:20">
      <c r="A16" s="50">
        <v>90011</v>
      </c>
      <c r="B16" s="51" t="s">
        <v>2135</v>
      </c>
      <c r="C16" s="239">
        <v>1.916E-4</v>
      </c>
      <c r="D16" s="239">
        <v>1.974E-4</v>
      </c>
      <c r="E16" s="52">
        <v>454541</v>
      </c>
      <c r="F16" s="52"/>
      <c r="G16" s="237">
        <v>70125</v>
      </c>
      <c r="H16" s="225">
        <v>62395</v>
      </c>
      <c r="I16" s="237">
        <v>120618</v>
      </c>
      <c r="J16" s="236">
        <v>0</v>
      </c>
      <c r="K16" s="93">
        <f t="shared" si="0"/>
        <v>253138</v>
      </c>
      <c r="L16" s="52"/>
      <c r="M16" s="237">
        <v>2353</v>
      </c>
      <c r="N16" s="237">
        <v>0</v>
      </c>
      <c r="O16" s="236">
        <v>27708</v>
      </c>
      <c r="P16" s="93">
        <f t="shared" si="1"/>
        <v>30061</v>
      </c>
      <c r="Q16" s="52"/>
      <c r="R16" s="237">
        <v>126259</v>
      </c>
      <c r="S16" s="236">
        <v>-9526</v>
      </c>
      <c r="T16" s="238">
        <v>116733</v>
      </c>
    </row>
    <row r="17" spans="1:20">
      <c r="A17" s="50">
        <v>90092</v>
      </c>
      <c r="B17" s="51" t="s">
        <v>734</v>
      </c>
      <c r="C17" s="239">
        <v>3.547E-4</v>
      </c>
      <c r="D17" s="239">
        <v>3.5349999999999997E-4</v>
      </c>
      <c r="E17" s="52">
        <v>841470</v>
      </c>
      <c r="F17" s="52"/>
      <c r="G17" s="237">
        <v>129819</v>
      </c>
      <c r="H17" s="225">
        <v>115509</v>
      </c>
      <c r="I17" s="237">
        <v>223294</v>
      </c>
      <c r="J17" s="236">
        <v>14687</v>
      </c>
      <c r="K17" s="93">
        <f t="shared" si="0"/>
        <v>483309</v>
      </c>
      <c r="L17" s="52"/>
      <c r="M17" s="237">
        <v>4356</v>
      </c>
      <c r="N17" s="237">
        <v>0</v>
      </c>
      <c r="O17" s="236">
        <v>40510</v>
      </c>
      <c r="P17" s="93">
        <f t="shared" si="1"/>
        <v>44866</v>
      </c>
      <c r="Q17" s="52"/>
      <c r="R17" s="237">
        <v>233738</v>
      </c>
      <c r="S17" s="236">
        <v>-38987</v>
      </c>
      <c r="T17" s="238">
        <v>194751</v>
      </c>
    </row>
    <row r="18" spans="1:20">
      <c r="A18" s="50">
        <v>90096</v>
      </c>
      <c r="B18" s="51" t="s">
        <v>735</v>
      </c>
      <c r="C18" s="239">
        <v>9.1730000000000002E-4</v>
      </c>
      <c r="D18" s="239">
        <v>9.7559999999999997E-4</v>
      </c>
      <c r="E18" s="52">
        <v>2176149</v>
      </c>
      <c r="F18" s="52"/>
      <c r="G18" s="237">
        <v>335728</v>
      </c>
      <c r="H18" s="225">
        <v>298720</v>
      </c>
      <c r="I18" s="237">
        <v>577466</v>
      </c>
      <c r="J18" s="236">
        <v>43181</v>
      </c>
      <c r="K18" s="93">
        <f t="shared" si="0"/>
        <v>1255095</v>
      </c>
      <c r="L18" s="52"/>
      <c r="M18" s="237">
        <v>11265</v>
      </c>
      <c r="N18" s="237">
        <v>0</v>
      </c>
      <c r="O18" s="236">
        <v>175620</v>
      </c>
      <c r="P18" s="93">
        <f t="shared" si="1"/>
        <v>186885</v>
      </c>
      <c r="Q18" s="52"/>
      <c r="R18" s="237">
        <v>604476</v>
      </c>
      <c r="S18" s="236">
        <v>-19105</v>
      </c>
      <c r="T18" s="238">
        <v>585371</v>
      </c>
    </row>
    <row r="19" spans="1:20">
      <c r="A19" s="50">
        <v>90098</v>
      </c>
      <c r="B19" s="51" t="s">
        <v>736</v>
      </c>
      <c r="C19" s="239">
        <v>3.1510000000000002E-4</v>
      </c>
      <c r="D19" s="239">
        <v>2.9599999999999998E-4</v>
      </c>
      <c r="E19" s="52">
        <v>747525</v>
      </c>
      <c r="F19" s="52"/>
      <c r="G19" s="237">
        <v>115325</v>
      </c>
      <c r="H19" s="225">
        <v>102613</v>
      </c>
      <c r="I19" s="237">
        <v>198364</v>
      </c>
      <c r="J19" s="236">
        <v>19294</v>
      </c>
      <c r="K19" s="93">
        <f t="shared" si="0"/>
        <v>435596</v>
      </c>
      <c r="L19" s="52"/>
      <c r="M19" s="237">
        <v>3870</v>
      </c>
      <c r="N19" s="237">
        <v>0</v>
      </c>
      <c r="O19" s="236">
        <v>58299</v>
      </c>
      <c r="P19" s="93">
        <f t="shared" si="1"/>
        <v>62169</v>
      </c>
      <c r="Q19" s="52"/>
      <c r="R19" s="237">
        <v>207642</v>
      </c>
      <c r="S19" s="236">
        <v>-47420</v>
      </c>
      <c r="T19" s="238">
        <v>160222</v>
      </c>
    </row>
    <row r="20" spans="1:20">
      <c r="A20" s="50">
        <v>90099</v>
      </c>
      <c r="B20" s="51" t="s">
        <v>737</v>
      </c>
      <c r="C20" s="239">
        <v>6.8800000000000003E-4</v>
      </c>
      <c r="D20" s="239">
        <v>6.6330000000000002E-4</v>
      </c>
      <c r="E20" s="52">
        <v>1632171</v>
      </c>
      <c r="F20" s="52"/>
      <c r="G20" s="237">
        <v>251805</v>
      </c>
      <c r="H20" s="225">
        <v>224048</v>
      </c>
      <c r="I20" s="237">
        <v>433115</v>
      </c>
      <c r="J20" s="236">
        <v>65504</v>
      </c>
      <c r="K20" s="93">
        <f t="shared" si="0"/>
        <v>974472</v>
      </c>
      <c r="L20" s="52"/>
      <c r="M20" s="237">
        <v>8449</v>
      </c>
      <c r="N20" s="237">
        <v>0</v>
      </c>
      <c r="O20" s="236">
        <v>31571</v>
      </c>
      <c r="P20" s="93">
        <f t="shared" si="1"/>
        <v>40020</v>
      </c>
      <c r="Q20" s="52"/>
      <c r="R20" s="237">
        <v>453373</v>
      </c>
      <c r="S20" s="236">
        <v>6742</v>
      </c>
      <c r="T20" s="238">
        <v>460115</v>
      </c>
    </row>
    <row r="21" spans="1:20">
      <c r="A21" s="50">
        <v>90101</v>
      </c>
      <c r="B21" s="51" t="s">
        <v>738</v>
      </c>
      <c r="C21" s="239">
        <v>6.4729000000000002E-3</v>
      </c>
      <c r="D21" s="239">
        <v>6.6312000000000003E-3</v>
      </c>
      <c r="E21" s="52">
        <v>15355933</v>
      </c>
      <c r="F21" s="52"/>
      <c r="G21" s="237">
        <v>2369056</v>
      </c>
      <c r="H21" s="225">
        <v>2107912</v>
      </c>
      <c r="I21" s="237">
        <v>4074872</v>
      </c>
      <c r="J21" s="236">
        <v>152067</v>
      </c>
      <c r="K21" s="93">
        <f t="shared" si="0"/>
        <v>8703907</v>
      </c>
      <c r="L21" s="52"/>
      <c r="M21" s="237">
        <v>79494</v>
      </c>
      <c r="N21" s="237">
        <v>0</v>
      </c>
      <c r="O21" s="236">
        <v>140729</v>
      </c>
      <c r="P21" s="93">
        <f t="shared" si="1"/>
        <v>220223</v>
      </c>
      <c r="Q21" s="52"/>
      <c r="R21" s="237">
        <v>4265466</v>
      </c>
      <c r="S21" s="236">
        <v>32971</v>
      </c>
      <c r="T21" s="238">
        <v>4298437</v>
      </c>
    </row>
    <row r="22" spans="1:20">
      <c r="A22" s="50">
        <v>90111</v>
      </c>
      <c r="B22" s="51" t="s">
        <v>739</v>
      </c>
      <c r="C22" s="239">
        <v>5.0667999999999998E-3</v>
      </c>
      <c r="D22" s="239">
        <v>4.9740000000000001E-3</v>
      </c>
      <c r="E22" s="52">
        <v>12020182</v>
      </c>
      <c r="F22" s="52"/>
      <c r="G22" s="237">
        <v>1854429</v>
      </c>
      <c r="H22" s="225">
        <v>1650013</v>
      </c>
      <c r="I22" s="237">
        <v>3189692</v>
      </c>
      <c r="J22" s="236">
        <v>18312</v>
      </c>
      <c r="K22" s="93">
        <f t="shared" si="0"/>
        <v>6712446</v>
      </c>
      <c r="L22" s="52"/>
      <c r="M22" s="237">
        <v>62225</v>
      </c>
      <c r="N22" s="237">
        <v>0</v>
      </c>
      <c r="O22" s="236">
        <v>49468</v>
      </c>
      <c r="P22" s="93">
        <f t="shared" si="1"/>
        <v>111693</v>
      </c>
      <c r="Q22" s="52"/>
      <c r="R22" s="237">
        <v>3338884</v>
      </c>
      <c r="S22" s="236">
        <v>-51615</v>
      </c>
      <c r="T22" s="238">
        <v>3287269</v>
      </c>
    </row>
    <row r="23" spans="1:20">
      <c r="A23" s="50">
        <v>90114</v>
      </c>
      <c r="B23" s="51" t="s">
        <v>740</v>
      </c>
      <c r="C23" s="239">
        <v>1.0735E-3</v>
      </c>
      <c r="D23" s="239">
        <v>1.0919E-3</v>
      </c>
      <c r="E23" s="52">
        <v>2546709</v>
      </c>
      <c r="F23" s="52"/>
      <c r="G23" s="237">
        <v>392897</v>
      </c>
      <c r="H23" s="225">
        <v>349588</v>
      </c>
      <c r="I23" s="237">
        <v>675798</v>
      </c>
      <c r="J23" s="236">
        <v>1231689</v>
      </c>
      <c r="K23" s="93">
        <f t="shared" si="0"/>
        <v>2649972</v>
      </c>
      <c r="L23" s="52"/>
      <c r="M23" s="237">
        <v>13184</v>
      </c>
      <c r="N23" s="237">
        <v>0</v>
      </c>
      <c r="O23" s="236">
        <v>0</v>
      </c>
      <c r="P23" s="93">
        <f t="shared" si="1"/>
        <v>13184</v>
      </c>
      <c r="Q23" s="52"/>
      <c r="R23" s="237">
        <v>707408</v>
      </c>
      <c r="S23" s="236">
        <v>502556</v>
      </c>
      <c r="T23" s="238">
        <v>1209964</v>
      </c>
    </row>
    <row r="24" spans="1:20">
      <c r="A24" s="50">
        <v>90117</v>
      </c>
      <c r="B24" s="51" t="s">
        <v>741</v>
      </c>
      <c r="C24" s="239">
        <v>1.36E-4</v>
      </c>
      <c r="D24" s="239">
        <v>1.407E-4</v>
      </c>
      <c r="E24" s="52">
        <v>322639</v>
      </c>
      <c r="F24" s="52"/>
      <c r="G24" s="237">
        <v>49775</v>
      </c>
      <c r="H24" s="225">
        <v>44288</v>
      </c>
      <c r="I24" s="237">
        <v>85616</v>
      </c>
      <c r="J24" s="236">
        <v>40224</v>
      </c>
      <c r="K24" s="93">
        <f t="shared" si="0"/>
        <v>219903</v>
      </c>
      <c r="L24" s="52"/>
      <c r="M24" s="237">
        <v>1670</v>
      </c>
      <c r="N24" s="237">
        <v>0</v>
      </c>
      <c r="O24" s="236">
        <v>0</v>
      </c>
      <c r="P24" s="93">
        <f t="shared" si="1"/>
        <v>1670</v>
      </c>
      <c r="Q24" s="52"/>
      <c r="R24" s="237">
        <v>89620</v>
      </c>
      <c r="S24" s="236">
        <v>21821</v>
      </c>
      <c r="T24" s="238">
        <v>111441</v>
      </c>
    </row>
    <row r="25" spans="1:20">
      <c r="A25" s="50">
        <v>90121</v>
      </c>
      <c r="B25" s="51" t="s">
        <v>742</v>
      </c>
      <c r="C25" s="239">
        <v>1.0601E-3</v>
      </c>
      <c r="D25" s="239">
        <v>1.0991E-3</v>
      </c>
      <c r="E25" s="52">
        <v>2514920</v>
      </c>
      <c r="F25" s="52"/>
      <c r="G25" s="237">
        <v>387992</v>
      </c>
      <c r="H25" s="225">
        <v>345223</v>
      </c>
      <c r="I25" s="237">
        <v>667363</v>
      </c>
      <c r="J25" s="236">
        <v>0</v>
      </c>
      <c r="K25" s="93">
        <f t="shared" si="0"/>
        <v>1400578</v>
      </c>
      <c r="L25" s="52"/>
      <c r="M25" s="237">
        <v>13019</v>
      </c>
      <c r="N25" s="237">
        <v>0</v>
      </c>
      <c r="O25" s="236">
        <v>126217</v>
      </c>
      <c r="P25" s="93">
        <f t="shared" si="1"/>
        <v>139236</v>
      </c>
      <c r="Q25" s="52"/>
      <c r="R25" s="237">
        <v>698577</v>
      </c>
      <c r="S25" s="236">
        <v>-43331</v>
      </c>
      <c r="T25" s="238">
        <v>655246</v>
      </c>
    </row>
    <row r="26" spans="1:20">
      <c r="A26" s="50">
        <v>90131</v>
      </c>
      <c r="B26" s="51" t="s">
        <v>2136</v>
      </c>
      <c r="C26" s="239">
        <v>4.7830000000000003E-4</v>
      </c>
      <c r="D26" s="239">
        <v>4.7639999999999998E-4</v>
      </c>
      <c r="E26" s="52">
        <v>1134691</v>
      </c>
      <c r="F26" s="52"/>
      <c r="G26" s="237">
        <v>175056</v>
      </c>
      <c r="H26" s="225">
        <v>155759</v>
      </c>
      <c r="I26" s="237">
        <v>301103</v>
      </c>
      <c r="J26" s="236">
        <v>0</v>
      </c>
      <c r="K26" s="93">
        <f t="shared" si="0"/>
        <v>631918</v>
      </c>
      <c r="L26" s="52"/>
      <c r="M26" s="237">
        <v>5874</v>
      </c>
      <c r="N26" s="237">
        <v>0</v>
      </c>
      <c r="O26" s="236">
        <v>36391</v>
      </c>
      <c r="P26" s="93">
        <f t="shared" si="1"/>
        <v>42265</v>
      </c>
      <c r="Q26" s="52"/>
      <c r="R26" s="237">
        <v>315187</v>
      </c>
      <c r="S26" s="236">
        <v>-18431</v>
      </c>
      <c r="T26" s="238">
        <v>296756</v>
      </c>
    </row>
    <row r="27" spans="1:20">
      <c r="A27" s="50">
        <v>90141</v>
      </c>
      <c r="B27" s="51" t="s">
        <v>2137</v>
      </c>
      <c r="C27" s="239">
        <v>1.4770000000000001E-4</v>
      </c>
      <c r="D27" s="239">
        <v>1.4779999999999999E-4</v>
      </c>
      <c r="E27" s="52">
        <v>350395</v>
      </c>
      <c r="F27" s="52"/>
      <c r="G27" s="237">
        <v>54058</v>
      </c>
      <c r="H27" s="225">
        <v>48099</v>
      </c>
      <c r="I27" s="237">
        <v>92981</v>
      </c>
      <c r="J27" s="236">
        <v>5965</v>
      </c>
      <c r="K27" s="93">
        <f t="shared" si="0"/>
        <v>201103</v>
      </c>
      <c r="L27" s="52"/>
      <c r="M27" s="237">
        <v>1814</v>
      </c>
      <c r="N27" s="237">
        <v>0</v>
      </c>
      <c r="O27" s="236">
        <v>9422</v>
      </c>
      <c r="P27" s="93">
        <f t="shared" si="1"/>
        <v>11236</v>
      </c>
      <c r="Q27" s="52"/>
      <c r="R27" s="237">
        <v>97330</v>
      </c>
      <c r="S27" s="236">
        <v>-1562</v>
      </c>
      <c r="T27" s="238">
        <v>95768</v>
      </c>
    </row>
    <row r="28" spans="1:20">
      <c r="A28" s="50">
        <v>90151</v>
      </c>
      <c r="B28" s="51" t="s">
        <v>2484</v>
      </c>
      <c r="C28" s="239">
        <v>9.7000000000000003E-6</v>
      </c>
      <c r="D28" s="239">
        <v>9.9000000000000001E-6</v>
      </c>
      <c r="E28" s="52">
        <v>23012</v>
      </c>
      <c r="F28" s="52"/>
      <c r="G28" s="237">
        <v>3550</v>
      </c>
      <c r="H28" s="225">
        <v>3159</v>
      </c>
      <c r="I28" s="237">
        <v>6106</v>
      </c>
      <c r="J28" s="236">
        <v>0</v>
      </c>
      <c r="K28" s="93">
        <f t="shared" si="0"/>
        <v>12815</v>
      </c>
      <c r="L28" s="52"/>
      <c r="M28" s="237">
        <v>119</v>
      </c>
      <c r="N28" s="237">
        <v>0</v>
      </c>
      <c r="O28" s="236">
        <v>2941</v>
      </c>
      <c r="P28" s="93">
        <f t="shared" si="1"/>
        <v>3060</v>
      </c>
      <c r="Q28" s="52"/>
      <c r="R28" s="237">
        <v>6392</v>
      </c>
      <c r="S28" s="236">
        <v>-1416</v>
      </c>
      <c r="T28" s="238">
        <v>4976</v>
      </c>
    </row>
    <row r="29" spans="1:20">
      <c r="A29" s="50">
        <v>90161</v>
      </c>
      <c r="B29" s="51" t="s">
        <v>2138</v>
      </c>
      <c r="C29" s="239">
        <v>4.3999999999999999E-5</v>
      </c>
      <c r="D29" s="239">
        <v>3.4199999999999998E-5</v>
      </c>
      <c r="E29" s="52">
        <v>104383</v>
      </c>
      <c r="F29" s="52"/>
      <c r="G29" s="237">
        <v>16104</v>
      </c>
      <c r="H29" s="225">
        <v>14329</v>
      </c>
      <c r="I29" s="237">
        <v>27699</v>
      </c>
      <c r="J29" s="236">
        <v>4975</v>
      </c>
      <c r="K29" s="93">
        <f t="shared" si="0"/>
        <v>63107</v>
      </c>
      <c r="L29" s="52"/>
      <c r="M29" s="237">
        <v>540</v>
      </c>
      <c r="N29" s="237">
        <v>0</v>
      </c>
      <c r="O29" s="236">
        <v>347</v>
      </c>
      <c r="P29" s="93">
        <f t="shared" si="1"/>
        <v>887</v>
      </c>
      <c r="Q29" s="52"/>
      <c r="R29" s="237">
        <v>28995</v>
      </c>
      <c r="S29" s="236">
        <v>2254</v>
      </c>
      <c r="T29" s="238">
        <v>31249</v>
      </c>
    </row>
    <row r="30" spans="1:20">
      <c r="A30" s="50">
        <v>90201</v>
      </c>
      <c r="B30" s="51" t="s">
        <v>747</v>
      </c>
      <c r="C30" s="239">
        <v>1.1705999999999999E-3</v>
      </c>
      <c r="D30" s="239">
        <v>1.2126999999999999E-3</v>
      </c>
      <c r="E30" s="52">
        <v>2777064</v>
      </c>
      <c r="F30" s="52"/>
      <c r="G30" s="237">
        <v>428435</v>
      </c>
      <c r="H30" s="225">
        <v>381209</v>
      </c>
      <c r="I30" s="237">
        <v>736925</v>
      </c>
      <c r="J30" s="236">
        <v>2854</v>
      </c>
      <c r="K30" s="93">
        <f t="shared" si="0"/>
        <v>1549423</v>
      </c>
      <c r="L30" s="52"/>
      <c r="M30" s="237">
        <v>14376</v>
      </c>
      <c r="N30" s="237">
        <v>0</v>
      </c>
      <c r="O30" s="236">
        <v>52999</v>
      </c>
      <c r="P30" s="93">
        <f t="shared" si="1"/>
        <v>67375</v>
      </c>
      <c r="Q30" s="52"/>
      <c r="R30" s="237">
        <v>771394</v>
      </c>
      <c r="S30" s="236">
        <v>18200</v>
      </c>
      <c r="T30" s="238">
        <v>789594</v>
      </c>
    </row>
    <row r="31" spans="1:20">
      <c r="A31" s="50">
        <v>90203</v>
      </c>
      <c r="B31" s="51" t="s">
        <v>748</v>
      </c>
      <c r="C31" s="239">
        <v>1.9909999999999999E-4</v>
      </c>
      <c r="D31" s="239">
        <v>1.994E-4</v>
      </c>
      <c r="E31" s="52">
        <v>472333</v>
      </c>
      <c r="F31" s="52"/>
      <c r="G31" s="237">
        <v>72870</v>
      </c>
      <c r="H31" s="225">
        <v>64837</v>
      </c>
      <c r="I31" s="237">
        <v>125339</v>
      </c>
      <c r="J31" s="236">
        <v>4091</v>
      </c>
      <c r="K31" s="93">
        <f t="shared" si="0"/>
        <v>267137</v>
      </c>
      <c r="L31" s="52"/>
      <c r="M31" s="237">
        <v>2445</v>
      </c>
      <c r="N31" s="237">
        <v>0</v>
      </c>
      <c r="O31" s="236">
        <v>29936</v>
      </c>
      <c r="P31" s="93">
        <f t="shared" si="1"/>
        <v>32381</v>
      </c>
      <c r="Q31" s="52"/>
      <c r="R31" s="237">
        <v>131202</v>
      </c>
      <c r="S31" s="236">
        <v>-17176</v>
      </c>
      <c r="T31" s="238">
        <v>114026</v>
      </c>
    </row>
    <row r="32" spans="1:20">
      <c r="A32" s="50">
        <v>90205</v>
      </c>
      <c r="B32" s="51" t="s">
        <v>749</v>
      </c>
      <c r="C32" s="239">
        <v>3.2499999999999997E-5</v>
      </c>
      <c r="D32" s="239">
        <v>3.0000000000000001E-5</v>
      </c>
      <c r="E32" s="52">
        <v>77101</v>
      </c>
      <c r="F32" s="52"/>
      <c r="G32" s="237">
        <v>11895</v>
      </c>
      <c r="H32" s="225">
        <v>10583</v>
      </c>
      <c r="I32" s="237">
        <v>20460</v>
      </c>
      <c r="J32" s="236">
        <v>2535</v>
      </c>
      <c r="K32" s="93">
        <f t="shared" si="0"/>
        <v>45473</v>
      </c>
      <c r="L32" s="52"/>
      <c r="M32" s="237">
        <v>399</v>
      </c>
      <c r="N32" s="237">
        <v>0</v>
      </c>
      <c r="O32" s="236">
        <v>1911</v>
      </c>
      <c r="P32" s="93">
        <f t="shared" si="1"/>
        <v>2310</v>
      </c>
      <c r="Q32" s="52"/>
      <c r="R32" s="237">
        <v>21417</v>
      </c>
      <c r="S32" s="236">
        <v>484</v>
      </c>
      <c r="T32" s="238">
        <v>21901</v>
      </c>
    </row>
    <row r="33" spans="1:20">
      <c r="A33" s="50">
        <v>90206</v>
      </c>
      <c r="B33" s="51" t="s">
        <v>750</v>
      </c>
      <c r="C33" s="239">
        <v>4.1950000000000001E-4</v>
      </c>
      <c r="D33" s="239">
        <v>4.2069999999999998E-4</v>
      </c>
      <c r="E33" s="52">
        <v>995197</v>
      </c>
      <c r="F33" s="52"/>
      <c r="G33" s="237">
        <v>153535</v>
      </c>
      <c r="H33" s="225">
        <v>136611</v>
      </c>
      <c r="I33" s="237">
        <v>264087</v>
      </c>
      <c r="J33" s="236">
        <v>0</v>
      </c>
      <c r="K33" s="93">
        <f t="shared" si="0"/>
        <v>554233</v>
      </c>
      <c r="L33" s="52"/>
      <c r="M33" s="237">
        <v>5152</v>
      </c>
      <c r="N33" s="237">
        <v>0</v>
      </c>
      <c r="O33" s="236">
        <v>23372</v>
      </c>
      <c r="P33" s="93">
        <f t="shared" si="1"/>
        <v>28524</v>
      </c>
      <c r="Q33" s="52"/>
      <c r="R33" s="237">
        <v>276439</v>
      </c>
      <c r="S33" s="236">
        <v>-212</v>
      </c>
      <c r="T33" s="238">
        <v>276227</v>
      </c>
    </row>
    <row r="34" spans="1:20">
      <c r="A34" s="50">
        <v>90211</v>
      </c>
      <c r="B34" s="51" t="s">
        <v>2139</v>
      </c>
      <c r="C34" s="239">
        <v>1.5330000000000001E-4</v>
      </c>
      <c r="D34" s="239">
        <v>1.4799999999999999E-4</v>
      </c>
      <c r="E34" s="52">
        <v>363680</v>
      </c>
      <c r="F34" s="52"/>
      <c r="G34" s="237">
        <v>56107</v>
      </c>
      <c r="H34" s="225">
        <v>49922</v>
      </c>
      <c r="I34" s="237">
        <v>96507</v>
      </c>
      <c r="J34" s="236">
        <v>7134</v>
      </c>
      <c r="K34" s="93">
        <f t="shared" si="0"/>
        <v>209670</v>
      </c>
      <c r="L34" s="52"/>
      <c r="M34" s="237">
        <v>1883</v>
      </c>
      <c r="N34" s="237">
        <v>0</v>
      </c>
      <c r="O34" s="236">
        <v>9218</v>
      </c>
      <c r="P34" s="93">
        <f t="shared" si="1"/>
        <v>11101</v>
      </c>
      <c r="Q34" s="52"/>
      <c r="R34" s="237">
        <v>101021</v>
      </c>
      <c r="S34" s="236">
        <v>-4342</v>
      </c>
      <c r="T34" s="238">
        <v>96679</v>
      </c>
    </row>
    <row r="35" spans="1:20">
      <c r="A35" s="50">
        <v>90301</v>
      </c>
      <c r="B35" s="51" t="s">
        <v>752</v>
      </c>
      <c r="C35" s="239">
        <v>7.0640000000000004E-4</v>
      </c>
      <c r="D35" s="239">
        <v>6.7040000000000003E-4</v>
      </c>
      <c r="E35" s="52">
        <v>1675822</v>
      </c>
      <c r="F35" s="52"/>
      <c r="G35" s="237">
        <v>258540</v>
      </c>
      <c r="H35" s="225">
        <v>230041</v>
      </c>
      <c r="I35" s="237">
        <v>444699</v>
      </c>
      <c r="J35" s="236">
        <v>1945</v>
      </c>
      <c r="K35" s="93">
        <f t="shared" si="0"/>
        <v>935225</v>
      </c>
      <c r="L35" s="52"/>
      <c r="M35" s="237">
        <v>8675</v>
      </c>
      <c r="N35" s="237">
        <v>0</v>
      </c>
      <c r="O35" s="236">
        <v>11529</v>
      </c>
      <c r="P35" s="93">
        <f t="shared" si="1"/>
        <v>20204</v>
      </c>
      <c r="Q35" s="52"/>
      <c r="R35" s="237">
        <v>465499</v>
      </c>
      <c r="S35" s="236">
        <v>-7033</v>
      </c>
      <c r="T35" s="238">
        <v>458466</v>
      </c>
    </row>
    <row r="36" spans="1:20">
      <c r="A36" s="50">
        <v>90305</v>
      </c>
      <c r="B36" s="51" t="s">
        <v>753</v>
      </c>
      <c r="C36" s="239">
        <v>1.4909999999999999E-4</v>
      </c>
      <c r="D36" s="239">
        <v>1.617E-4</v>
      </c>
      <c r="E36" s="52">
        <v>353716</v>
      </c>
      <c r="F36" s="52"/>
      <c r="G36" s="237">
        <v>54570</v>
      </c>
      <c r="H36" s="225">
        <v>48554</v>
      </c>
      <c r="I36" s="237">
        <v>93863</v>
      </c>
      <c r="J36" s="236">
        <v>12323</v>
      </c>
      <c r="K36" s="93">
        <f t="shared" si="0"/>
        <v>209310</v>
      </c>
      <c r="L36" s="52"/>
      <c r="M36" s="237">
        <v>1831</v>
      </c>
      <c r="N36" s="237">
        <v>0</v>
      </c>
      <c r="O36" s="236">
        <v>0</v>
      </c>
      <c r="P36" s="93">
        <f t="shared" si="1"/>
        <v>1831</v>
      </c>
      <c r="Q36" s="52"/>
      <c r="R36" s="237">
        <v>98253</v>
      </c>
      <c r="S36" s="236">
        <v>10409</v>
      </c>
      <c r="T36" s="238">
        <v>108662</v>
      </c>
    </row>
    <row r="37" spans="1:20">
      <c r="A37" s="50">
        <v>90307</v>
      </c>
      <c r="B37" s="51" t="s">
        <v>2140</v>
      </c>
      <c r="C37" s="239">
        <v>6.6000000000000003E-6</v>
      </c>
      <c r="D37" s="239">
        <v>7.7999999999999999E-6</v>
      </c>
      <c r="E37" s="52">
        <v>15657</v>
      </c>
      <c r="F37" s="52"/>
      <c r="G37" s="237">
        <v>2416</v>
      </c>
      <c r="H37" s="225">
        <v>2149</v>
      </c>
      <c r="I37" s="237">
        <v>4155</v>
      </c>
      <c r="J37" s="236">
        <v>447</v>
      </c>
      <c r="K37" s="93">
        <f t="shared" si="0"/>
        <v>9167</v>
      </c>
      <c r="L37" s="52"/>
      <c r="M37" s="237">
        <v>81</v>
      </c>
      <c r="N37" s="237">
        <v>0</v>
      </c>
      <c r="O37" s="236">
        <v>32</v>
      </c>
      <c r="P37" s="93">
        <f t="shared" si="1"/>
        <v>113</v>
      </c>
      <c r="Q37" s="52"/>
      <c r="R37" s="237">
        <v>4349</v>
      </c>
      <c r="S37" s="236">
        <v>151</v>
      </c>
      <c r="T37" s="238">
        <v>4500</v>
      </c>
    </row>
    <row r="38" spans="1:20">
      <c r="A38" s="50">
        <v>90401</v>
      </c>
      <c r="B38" s="51" t="s">
        <v>755</v>
      </c>
      <c r="C38" s="239">
        <v>1.2583E-3</v>
      </c>
      <c r="D38" s="239">
        <v>1.3270999999999999E-3</v>
      </c>
      <c r="E38" s="52">
        <v>2985118</v>
      </c>
      <c r="F38" s="52"/>
      <c r="G38" s="237">
        <v>460533</v>
      </c>
      <c r="H38" s="225">
        <v>409768</v>
      </c>
      <c r="I38" s="237">
        <v>792135</v>
      </c>
      <c r="J38" s="236">
        <v>17301</v>
      </c>
      <c r="K38" s="93">
        <f t="shared" si="0"/>
        <v>1679737</v>
      </c>
      <c r="L38" s="52"/>
      <c r="M38" s="237">
        <v>15453</v>
      </c>
      <c r="N38" s="237">
        <v>0</v>
      </c>
      <c r="O38" s="236">
        <v>18146</v>
      </c>
      <c r="P38" s="93">
        <f t="shared" si="1"/>
        <v>33599</v>
      </c>
      <c r="Q38" s="52"/>
      <c r="R38" s="237">
        <v>829186</v>
      </c>
      <c r="S38" s="236">
        <v>21476</v>
      </c>
      <c r="T38" s="238">
        <v>850662</v>
      </c>
    </row>
    <row r="39" spans="1:20">
      <c r="A39" s="50">
        <v>90411</v>
      </c>
      <c r="B39" s="51" t="s">
        <v>2141</v>
      </c>
      <c r="C39" s="239">
        <v>3.5110000000000002E-4</v>
      </c>
      <c r="D39" s="239">
        <v>3.5100000000000002E-4</v>
      </c>
      <c r="E39" s="52">
        <v>832929</v>
      </c>
      <c r="F39" s="52"/>
      <c r="G39" s="237">
        <v>128501</v>
      </c>
      <c r="H39" s="225">
        <v>114336</v>
      </c>
      <c r="I39" s="237">
        <v>221027</v>
      </c>
      <c r="J39" s="236">
        <v>0</v>
      </c>
      <c r="K39" s="93">
        <f t="shared" si="0"/>
        <v>463864</v>
      </c>
      <c r="L39" s="52"/>
      <c r="M39" s="237">
        <v>4312</v>
      </c>
      <c r="N39" s="237">
        <v>0</v>
      </c>
      <c r="O39" s="236">
        <v>35756</v>
      </c>
      <c r="P39" s="93">
        <f t="shared" si="1"/>
        <v>40068</v>
      </c>
      <c r="Q39" s="52"/>
      <c r="R39" s="237">
        <v>231365</v>
      </c>
      <c r="S39" s="236">
        <v>-18400</v>
      </c>
      <c r="T39" s="238">
        <v>212965</v>
      </c>
    </row>
    <row r="40" spans="1:20">
      <c r="A40" s="50">
        <v>90413</v>
      </c>
      <c r="B40" s="51" t="s">
        <v>757</v>
      </c>
      <c r="C40" s="239">
        <v>3.4700000000000003E-5</v>
      </c>
      <c r="D40" s="239">
        <v>3.4600000000000001E-5</v>
      </c>
      <c r="E40" s="52">
        <v>82320</v>
      </c>
      <c r="F40" s="52"/>
      <c r="G40" s="237">
        <v>12700</v>
      </c>
      <c r="H40" s="225">
        <v>11300</v>
      </c>
      <c r="I40" s="237">
        <v>21845</v>
      </c>
      <c r="J40" s="236">
        <v>4037</v>
      </c>
      <c r="K40" s="93">
        <f t="shared" si="0"/>
        <v>49882</v>
      </c>
      <c r="L40" s="52"/>
      <c r="M40" s="237">
        <v>426</v>
      </c>
      <c r="N40" s="237">
        <v>0</v>
      </c>
      <c r="O40" s="236">
        <v>687</v>
      </c>
      <c r="P40" s="93">
        <f t="shared" si="1"/>
        <v>1113</v>
      </c>
      <c r="Q40" s="52"/>
      <c r="R40" s="237">
        <v>22866</v>
      </c>
      <c r="S40" s="236">
        <v>3839</v>
      </c>
      <c r="T40" s="238">
        <v>26705</v>
      </c>
    </row>
    <row r="41" spans="1:20">
      <c r="A41" s="50">
        <v>90417</v>
      </c>
      <c r="B41" s="51" t="s">
        <v>758</v>
      </c>
      <c r="C41" s="239">
        <v>1.19E-5</v>
      </c>
      <c r="D41" s="239">
        <v>1.17E-5</v>
      </c>
      <c r="E41" s="52">
        <v>28231</v>
      </c>
      <c r="F41" s="52"/>
      <c r="G41" s="237">
        <v>4355</v>
      </c>
      <c r="H41" s="225">
        <v>3875</v>
      </c>
      <c r="I41" s="237">
        <v>7491</v>
      </c>
      <c r="J41" s="236">
        <v>4872</v>
      </c>
      <c r="K41" s="93">
        <f t="shared" si="0"/>
        <v>20593</v>
      </c>
      <c r="L41" s="52"/>
      <c r="M41" s="237">
        <v>146</v>
      </c>
      <c r="N41" s="237">
        <v>0</v>
      </c>
      <c r="O41" s="236">
        <v>0</v>
      </c>
      <c r="P41" s="93">
        <f t="shared" si="1"/>
        <v>146</v>
      </c>
      <c r="Q41" s="52"/>
      <c r="R41" s="237">
        <v>7842</v>
      </c>
      <c r="S41" s="236">
        <v>1871</v>
      </c>
      <c r="T41" s="238">
        <v>9713</v>
      </c>
    </row>
    <row r="42" spans="1:20">
      <c r="A42" s="50">
        <v>90421</v>
      </c>
      <c r="B42" s="51" t="s">
        <v>2142</v>
      </c>
      <c r="C42" s="239">
        <v>2.09E-5</v>
      </c>
      <c r="D42" s="239">
        <v>2.19E-5</v>
      </c>
      <c r="E42" s="52">
        <v>49582</v>
      </c>
      <c r="F42" s="52"/>
      <c r="G42" s="237">
        <v>7649</v>
      </c>
      <c r="H42" s="225">
        <v>6806</v>
      </c>
      <c r="I42" s="237">
        <v>13157</v>
      </c>
      <c r="J42" s="236">
        <v>0</v>
      </c>
      <c r="K42" s="93">
        <f t="shared" si="0"/>
        <v>27612</v>
      </c>
      <c r="L42" s="52"/>
      <c r="M42" s="237">
        <v>257</v>
      </c>
      <c r="N42" s="237">
        <v>0</v>
      </c>
      <c r="O42" s="236">
        <v>4614</v>
      </c>
      <c r="P42" s="93">
        <f t="shared" si="1"/>
        <v>4871</v>
      </c>
      <c r="Q42" s="52"/>
      <c r="R42" s="237">
        <v>13773</v>
      </c>
      <c r="S42" s="236">
        <v>-2235</v>
      </c>
      <c r="T42" s="238">
        <v>11538</v>
      </c>
    </row>
    <row r="43" spans="1:20">
      <c r="A43" s="50">
        <v>90431</v>
      </c>
      <c r="B43" s="51" t="s">
        <v>2143</v>
      </c>
      <c r="C43" s="239">
        <v>4.5099999999999998E-5</v>
      </c>
      <c r="D43" s="239">
        <v>4.8300000000000002E-5</v>
      </c>
      <c r="E43" s="52">
        <v>106993</v>
      </c>
      <c r="F43" s="52"/>
      <c r="G43" s="237">
        <v>16506</v>
      </c>
      <c r="H43" s="225">
        <v>14687</v>
      </c>
      <c r="I43" s="237">
        <v>28392</v>
      </c>
      <c r="J43" s="236">
        <v>4577</v>
      </c>
      <c r="K43" s="93">
        <f t="shared" si="0"/>
        <v>64162</v>
      </c>
      <c r="L43" s="52"/>
      <c r="M43" s="237">
        <v>554</v>
      </c>
      <c r="N43" s="237">
        <v>0</v>
      </c>
      <c r="O43" s="236">
        <v>2267</v>
      </c>
      <c r="P43" s="93">
        <f t="shared" si="1"/>
        <v>2821</v>
      </c>
      <c r="Q43" s="52"/>
      <c r="R43" s="237">
        <v>29720</v>
      </c>
      <c r="S43" s="236">
        <v>3281</v>
      </c>
      <c r="T43" s="238">
        <v>33001</v>
      </c>
    </row>
    <row r="44" spans="1:20">
      <c r="A44" s="50">
        <v>90441</v>
      </c>
      <c r="B44" s="51" t="s">
        <v>2144</v>
      </c>
      <c r="C44" s="239">
        <v>7.5000000000000002E-6</v>
      </c>
      <c r="D44" s="239">
        <v>8.3999999999999992E-6</v>
      </c>
      <c r="E44" s="52">
        <v>17793</v>
      </c>
      <c r="F44" s="52" t="s">
        <v>1929</v>
      </c>
      <c r="G44" s="237">
        <v>2745</v>
      </c>
      <c r="H44" s="225">
        <v>2443</v>
      </c>
      <c r="I44" s="237">
        <v>4721</v>
      </c>
      <c r="J44" s="236">
        <v>827</v>
      </c>
      <c r="K44" s="93">
        <f t="shared" si="0"/>
        <v>10736</v>
      </c>
      <c r="L44" s="52"/>
      <c r="M44" s="237">
        <v>92</v>
      </c>
      <c r="N44" s="237">
        <v>0</v>
      </c>
      <c r="O44" s="236">
        <v>58</v>
      </c>
      <c r="P44" s="93">
        <f t="shared" si="1"/>
        <v>150</v>
      </c>
      <c r="Q44" s="52"/>
      <c r="R44" s="237">
        <v>4942</v>
      </c>
      <c r="S44" s="236">
        <v>771</v>
      </c>
      <c r="T44" s="238">
        <v>5713</v>
      </c>
    </row>
    <row r="45" spans="1:20">
      <c r="A45" s="50">
        <v>90451</v>
      </c>
      <c r="B45" s="51" t="s">
        <v>2145</v>
      </c>
      <c r="C45" s="239">
        <v>2.05E-5</v>
      </c>
      <c r="D45" s="239">
        <v>1.6699999999999999E-5</v>
      </c>
      <c r="E45" s="52">
        <v>48633</v>
      </c>
      <c r="F45" s="52" t="s">
        <v>1929</v>
      </c>
      <c r="G45" s="237">
        <v>7503</v>
      </c>
      <c r="H45" s="225">
        <v>6676</v>
      </c>
      <c r="I45" s="237">
        <v>12905</v>
      </c>
      <c r="J45" s="236">
        <v>3881</v>
      </c>
      <c r="K45" s="93">
        <f t="shared" si="0"/>
        <v>30965</v>
      </c>
      <c r="L45" s="52"/>
      <c r="M45" s="237">
        <v>252</v>
      </c>
      <c r="N45" s="237">
        <v>0</v>
      </c>
      <c r="O45" s="236">
        <v>623</v>
      </c>
      <c r="P45" s="93">
        <f t="shared" si="1"/>
        <v>875</v>
      </c>
      <c r="Q45" s="52"/>
      <c r="R45" s="237">
        <v>13509</v>
      </c>
      <c r="S45" s="236">
        <v>1281</v>
      </c>
      <c r="T45" s="238">
        <v>14790</v>
      </c>
    </row>
    <row r="46" spans="1:20">
      <c r="A46" s="50">
        <v>90461</v>
      </c>
      <c r="B46" s="51" t="s">
        <v>2146</v>
      </c>
      <c r="C46" s="239">
        <v>5.5999999999999997E-6</v>
      </c>
      <c r="D46" s="239">
        <v>7.4000000000000003E-6</v>
      </c>
      <c r="E46" s="52">
        <v>13285</v>
      </c>
      <c r="F46" s="52" t="s">
        <v>1929</v>
      </c>
      <c r="G46" s="237">
        <v>2050</v>
      </c>
      <c r="H46" s="225">
        <v>1823</v>
      </c>
      <c r="I46" s="237">
        <v>3525</v>
      </c>
      <c r="J46" s="236">
        <v>1470</v>
      </c>
      <c r="K46" s="93">
        <f t="shared" si="0"/>
        <v>8868</v>
      </c>
      <c r="L46" s="52"/>
      <c r="M46" s="237">
        <v>69</v>
      </c>
      <c r="N46" s="237">
        <v>0</v>
      </c>
      <c r="O46" s="236">
        <v>4983</v>
      </c>
      <c r="P46" s="93">
        <f t="shared" si="1"/>
        <v>5052</v>
      </c>
      <c r="Q46" s="52"/>
      <c r="R46" s="237">
        <v>3690</v>
      </c>
      <c r="S46" s="236">
        <v>-968</v>
      </c>
      <c r="T46" s="238">
        <v>2722</v>
      </c>
    </row>
    <row r="47" spans="1:20">
      <c r="A47" s="50">
        <v>90501</v>
      </c>
      <c r="B47" s="51" t="s">
        <v>764</v>
      </c>
      <c r="C47" s="239">
        <v>1.3675E-3</v>
      </c>
      <c r="D47" s="239">
        <v>1.4176E-3</v>
      </c>
      <c r="E47" s="52">
        <v>3244178</v>
      </c>
      <c r="F47" s="52" t="s">
        <v>1929</v>
      </c>
      <c r="G47" s="237">
        <v>500500</v>
      </c>
      <c r="H47" s="225">
        <v>445329</v>
      </c>
      <c r="I47" s="237">
        <v>860880</v>
      </c>
      <c r="J47" s="236">
        <v>26910</v>
      </c>
      <c r="K47" s="93">
        <f t="shared" si="0"/>
        <v>1833619</v>
      </c>
      <c r="L47" s="52"/>
      <c r="M47" s="237">
        <v>16794</v>
      </c>
      <c r="N47" s="237">
        <v>0</v>
      </c>
      <c r="O47" s="236">
        <v>5948</v>
      </c>
      <c r="P47" s="93">
        <f t="shared" si="1"/>
        <v>22742</v>
      </c>
      <c r="Q47" s="52"/>
      <c r="R47" s="237">
        <v>901146</v>
      </c>
      <c r="S47" s="236">
        <v>25526</v>
      </c>
      <c r="T47" s="238">
        <v>926672</v>
      </c>
    </row>
    <row r="48" spans="1:20">
      <c r="A48" s="50">
        <v>90507</v>
      </c>
      <c r="B48" s="51" t="s">
        <v>34</v>
      </c>
      <c r="C48" s="239">
        <v>6.3999999999999997E-6</v>
      </c>
      <c r="D48" s="239">
        <v>6.6000000000000003E-6</v>
      </c>
      <c r="E48" s="52">
        <v>15183</v>
      </c>
      <c r="F48" s="52" t="s">
        <v>1929</v>
      </c>
      <c r="G48" s="237">
        <v>2342</v>
      </c>
      <c r="H48" s="225">
        <v>2084</v>
      </c>
      <c r="I48" s="237">
        <v>4029</v>
      </c>
      <c r="J48" s="236">
        <v>13580</v>
      </c>
      <c r="K48" s="93">
        <f t="shared" si="0"/>
        <v>22035</v>
      </c>
      <c r="L48" s="52"/>
      <c r="M48" s="237">
        <v>79</v>
      </c>
      <c r="N48" s="237">
        <v>0</v>
      </c>
      <c r="O48" s="236">
        <v>0</v>
      </c>
      <c r="P48" s="93">
        <f t="shared" si="1"/>
        <v>79</v>
      </c>
      <c r="Q48" s="52"/>
      <c r="R48" s="237">
        <v>4217</v>
      </c>
      <c r="S48" s="236">
        <v>5652</v>
      </c>
      <c r="T48" s="238">
        <v>9869</v>
      </c>
    </row>
    <row r="49" spans="1:20">
      <c r="A49" s="50">
        <v>90511</v>
      </c>
      <c r="B49" s="51" t="s">
        <v>2147</v>
      </c>
      <c r="C49" s="239">
        <v>8.25E-5</v>
      </c>
      <c r="D49" s="239">
        <v>8.7000000000000001E-5</v>
      </c>
      <c r="E49" s="52">
        <v>195718</v>
      </c>
      <c r="F49" s="52" t="s">
        <v>1929</v>
      </c>
      <c r="G49" s="237">
        <v>30195</v>
      </c>
      <c r="H49" s="225">
        <v>26866</v>
      </c>
      <c r="I49" s="237">
        <v>51936</v>
      </c>
      <c r="J49" s="236">
        <v>16195</v>
      </c>
      <c r="K49" s="93">
        <f t="shared" si="0"/>
        <v>125192</v>
      </c>
      <c r="L49" s="52"/>
      <c r="M49" s="237">
        <v>1013</v>
      </c>
      <c r="N49" s="237">
        <v>0</v>
      </c>
      <c r="O49" s="236">
        <v>0</v>
      </c>
      <c r="P49" s="93">
        <f t="shared" si="1"/>
        <v>1013</v>
      </c>
      <c r="Q49" s="52"/>
      <c r="R49" s="237">
        <v>54365</v>
      </c>
      <c r="S49" s="236">
        <v>8520</v>
      </c>
      <c r="T49" s="238">
        <v>62885</v>
      </c>
    </row>
    <row r="50" spans="1:20">
      <c r="A50" s="50">
        <v>90521</v>
      </c>
      <c r="B50" s="51" t="s">
        <v>2148</v>
      </c>
      <c r="C50" s="239">
        <v>1.281E-4</v>
      </c>
      <c r="D50" s="239">
        <v>1.3880000000000001E-4</v>
      </c>
      <c r="E50" s="52">
        <v>303897</v>
      </c>
      <c r="F50" s="52" t="s">
        <v>1929</v>
      </c>
      <c r="G50" s="237">
        <v>46884</v>
      </c>
      <c r="H50" s="225">
        <v>41717</v>
      </c>
      <c r="I50" s="237">
        <v>80643</v>
      </c>
      <c r="J50" s="236">
        <v>0</v>
      </c>
      <c r="K50" s="93">
        <f t="shared" si="0"/>
        <v>169244</v>
      </c>
      <c r="L50" s="52"/>
      <c r="M50" s="237">
        <v>1573</v>
      </c>
      <c r="N50" s="237">
        <v>0</v>
      </c>
      <c r="O50" s="236">
        <v>24197</v>
      </c>
      <c r="P50" s="93">
        <f t="shared" si="1"/>
        <v>25770</v>
      </c>
      <c r="Q50" s="52"/>
      <c r="R50" s="237">
        <v>84414</v>
      </c>
      <c r="S50" s="236">
        <v>-10337</v>
      </c>
      <c r="T50" s="238">
        <v>74077</v>
      </c>
    </row>
    <row r="51" spans="1:20">
      <c r="A51" s="50">
        <v>90601</v>
      </c>
      <c r="B51" s="51" t="s">
        <v>767</v>
      </c>
      <c r="C51" s="239">
        <v>1.1383999999999999E-3</v>
      </c>
      <c r="D51" s="239">
        <v>1.1888000000000001E-3</v>
      </c>
      <c r="E51" s="52">
        <v>2700674</v>
      </c>
      <c r="F51" s="52" t="s">
        <v>1929</v>
      </c>
      <c r="G51" s="237">
        <v>416650</v>
      </c>
      <c r="H51" s="225">
        <v>370722</v>
      </c>
      <c r="I51" s="237">
        <v>716655</v>
      </c>
      <c r="J51" s="236">
        <v>5621</v>
      </c>
      <c r="K51" s="93">
        <f t="shared" si="0"/>
        <v>1509648</v>
      </c>
      <c r="L51" s="52"/>
      <c r="M51" s="237">
        <v>13981</v>
      </c>
      <c r="N51" s="237">
        <v>0</v>
      </c>
      <c r="O51" s="236">
        <v>38880</v>
      </c>
      <c r="P51" s="93">
        <f t="shared" si="1"/>
        <v>52861</v>
      </c>
      <c r="Q51" s="52"/>
      <c r="R51" s="237">
        <v>750175</v>
      </c>
      <c r="S51" s="236">
        <v>1751</v>
      </c>
      <c r="T51" s="238">
        <v>751926</v>
      </c>
    </row>
    <row r="52" spans="1:20">
      <c r="A52" s="50">
        <v>90602</v>
      </c>
      <c r="B52" s="51" t="s">
        <v>259</v>
      </c>
      <c r="C52" s="239">
        <v>6.3100000000000002E-5</v>
      </c>
      <c r="D52" s="239">
        <v>6.3899999999999995E-5</v>
      </c>
      <c r="E52" s="52">
        <v>149695</v>
      </c>
      <c r="F52" s="52" t="s">
        <v>1929</v>
      </c>
      <c r="G52" s="237">
        <v>23094</v>
      </c>
      <c r="H52" s="225">
        <v>20549</v>
      </c>
      <c r="I52" s="237">
        <v>39723</v>
      </c>
      <c r="J52" s="236">
        <v>34569</v>
      </c>
      <c r="K52" s="93">
        <f t="shared" si="0"/>
        <v>117935</v>
      </c>
      <c r="L52" s="52"/>
      <c r="M52" s="237">
        <v>775</v>
      </c>
      <c r="N52" s="237">
        <v>0</v>
      </c>
      <c r="O52" s="236">
        <v>0</v>
      </c>
      <c r="P52" s="93">
        <f t="shared" si="1"/>
        <v>775</v>
      </c>
      <c r="Q52" s="52"/>
      <c r="R52" s="237">
        <v>41581</v>
      </c>
      <c r="S52" s="236">
        <v>16640</v>
      </c>
      <c r="T52" s="238">
        <v>58221</v>
      </c>
    </row>
    <row r="53" spans="1:20">
      <c r="A53" s="50">
        <v>90605</v>
      </c>
      <c r="B53" s="51" t="s">
        <v>768</v>
      </c>
      <c r="C53" s="239">
        <v>3.9199999999999997E-5</v>
      </c>
      <c r="D53" s="239">
        <v>4.1999999999999998E-5</v>
      </c>
      <c r="E53" s="52">
        <v>92996</v>
      </c>
      <c r="F53" s="52" t="s">
        <v>1929</v>
      </c>
      <c r="G53" s="237">
        <v>14347</v>
      </c>
      <c r="H53" s="225">
        <v>12765</v>
      </c>
      <c r="I53" s="237">
        <v>24677</v>
      </c>
      <c r="J53" s="236">
        <v>14565</v>
      </c>
      <c r="K53" s="93">
        <f t="shared" si="0"/>
        <v>66354</v>
      </c>
      <c r="L53" s="52"/>
      <c r="M53" s="237">
        <v>481</v>
      </c>
      <c r="N53" s="237">
        <v>0</v>
      </c>
      <c r="O53" s="236">
        <v>0</v>
      </c>
      <c r="P53" s="93">
        <f t="shared" si="1"/>
        <v>481</v>
      </c>
      <c r="Q53" s="52"/>
      <c r="R53" s="237">
        <v>25832</v>
      </c>
      <c r="S53" s="236">
        <v>6805</v>
      </c>
      <c r="T53" s="238">
        <v>32637</v>
      </c>
    </row>
    <row r="54" spans="1:20">
      <c r="A54" s="50">
        <v>90611</v>
      </c>
      <c r="B54" s="51" t="s">
        <v>2149</v>
      </c>
      <c r="C54" s="239">
        <v>1.4009999999999999E-4</v>
      </c>
      <c r="D54" s="239">
        <v>1.4880000000000001E-4</v>
      </c>
      <c r="E54" s="52">
        <v>332365</v>
      </c>
      <c r="F54" s="52" t="s">
        <v>1929</v>
      </c>
      <c r="G54" s="237">
        <v>51276</v>
      </c>
      <c r="H54" s="225">
        <v>45624</v>
      </c>
      <c r="I54" s="237">
        <v>88197</v>
      </c>
      <c r="J54" s="236">
        <v>0</v>
      </c>
      <c r="K54" s="93">
        <f t="shared" si="0"/>
        <v>185097</v>
      </c>
      <c r="L54" s="52"/>
      <c r="M54" s="237">
        <v>1721</v>
      </c>
      <c r="N54" s="237">
        <v>0</v>
      </c>
      <c r="O54" s="236">
        <v>20888</v>
      </c>
      <c r="P54" s="93">
        <f t="shared" si="1"/>
        <v>22609</v>
      </c>
      <c r="Q54" s="52"/>
      <c r="R54" s="237">
        <v>92322</v>
      </c>
      <c r="S54" s="236">
        <v>-5234</v>
      </c>
      <c r="T54" s="238">
        <v>87088</v>
      </c>
    </row>
    <row r="55" spans="1:20">
      <c r="A55" s="50">
        <v>90617</v>
      </c>
      <c r="B55" s="51" t="s">
        <v>770</v>
      </c>
      <c r="C55" s="239">
        <v>2.72E-5</v>
      </c>
      <c r="D55" s="239">
        <v>2.5999999999999998E-5</v>
      </c>
      <c r="E55" s="52">
        <v>64528</v>
      </c>
      <c r="F55" s="52" t="s">
        <v>1929</v>
      </c>
      <c r="G55" s="237">
        <v>9955</v>
      </c>
      <c r="H55" s="225">
        <v>8857</v>
      </c>
      <c r="I55" s="237">
        <v>17123</v>
      </c>
      <c r="J55" s="236">
        <v>5515</v>
      </c>
      <c r="K55" s="93">
        <f t="shared" si="0"/>
        <v>41450</v>
      </c>
      <c r="L55" s="52"/>
      <c r="M55" s="237">
        <v>334</v>
      </c>
      <c r="N55" s="237">
        <v>0</v>
      </c>
      <c r="O55" s="236">
        <v>0</v>
      </c>
      <c r="P55" s="93">
        <f t="shared" si="1"/>
        <v>334</v>
      </c>
      <c r="Q55" s="52"/>
      <c r="R55" s="237">
        <v>17924</v>
      </c>
      <c r="S55" s="236">
        <v>4552</v>
      </c>
      <c r="T55" s="238">
        <v>22476</v>
      </c>
    </row>
    <row r="56" spans="1:20">
      <c r="A56" s="50">
        <v>90621</v>
      </c>
      <c r="B56" s="51" t="s">
        <v>2150</v>
      </c>
      <c r="C56" s="239">
        <v>6.5699999999999998E-5</v>
      </c>
      <c r="D56" s="239">
        <v>6.3999999999999997E-5</v>
      </c>
      <c r="E56" s="52">
        <v>155863</v>
      </c>
      <c r="F56" s="52" t="s">
        <v>1929</v>
      </c>
      <c r="G56" s="237">
        <v>24046</v>
      </c>
      <c r="H56" s="225">
        <v>21396</v>
      </c>
      <c r="I56" s="237">
        <v>41360</v>
      </c>
      <c r="J56" s="236">
        <v>0</v>
      </c>
      <c r="K56" s="93">
        <f t="shared" si="0"/>
        <v>86802</v>
      </c>
      <c r="L56" s="52"/>
      <c r="M56" s="237">
        <v>807</v>
      </c>
      <c r="N56" s="237">
        <v>0</v>
      </c>
      <c r="O56" s="236">
        <v>15822</v>
      </c>
      <c r="P56" s="93">
        <f t="shared" si="1"/>
        <v>16629</v>
      </c>
      <c r="Q56" s="52"/>
      <c r="R56" s="237">
        <v>43295</v>
      </c>
      <c r="S56" s="236">
        <v>-6033</v>
      </c>
      <c r="T56" s="238">
        <v>37262</v>
      </c>
    </row>
    <row r="57" spans="1:20">
      <c r="A57" s="50">
        <v>90631</v>
      </c>
      <c r="B57" s="51" t="s">
        <v>2151</v>
      </c>
      <c r="C57" s="239">
        <v>3.7120000000000002E-4</v>
      </c>
      <c r="D57" s="239">
        <v>3.9560000000000002E-4</v>
      </c>
      <c r="E57" s="52">
        <v>880613</v>
      </c>
      <c r="F57" s="52" t="s">
        <v>1929</v>
      </c>
      <c r="G57" s="237">
        <v>135858</v>
      </c>
      <c r="H57" s="225">
        <v>120882</v>
      </c>
      <c r="I57" s="237">
        <v>233681</v>
      </c>
      <c r="J57" s="236">
        <v>12101</v>
      </c>
      <c r="K57" s="93">
        <f t="shared" si="0"/>
        <v>502522</v>
      </c>
      <c r="L57" s="52"/>
      <c r="M57" s="237">
        <v>4559</v>
      </c>
      <c r="N57" s="237">
        <v>0</v>
      </c>
      <c r="O57" s="236">
        <v>18351</v>
      </c>
      <c r="P57" s="93">
        <f t="shared" si="1"/>
        <v>22910</v>
      </c>
      <c r="Q57" s="52"/>
      <c r="R57" s="237">
        <v>244611</v>
      </c>
      <c r="S57" s="236">
        <v>-4506</v>
      </c>
      <c r="T57" s="238">
        <v>240105</v>
      </c>
    </row>
    <row r="58" spans="1:20">
      <c r="A58" s="50">
        <v>90641</v>
      </c>
      <c r="B58" s="51" t="s">
        <v>2152</v>
      </c>
      <c r="C58" s="239">
        <v>1.2999999999999999E-5</v>
      </c>
      <c r="D58" s="239">
        <v>1.38E-5</v>
      </c>
      <c r="E58" s="52">
        <v>30840</v>
      </c>
      <c r="F58" s="52" t="s">
        <v>1929</v>
      </c>
      <c r="G58" s="237">
        <v>4758</v>
      </c>
      <c r="H58" s="225">
        <v>4233</v>
      </c>
      <c r="I58" s="237">
        <v>8184</v>
      </c>
      <c r="J58" s="236">
        <v>250</v>
      </c>
      <c r="K58" s="93">
        <f t="shared" si="0"/>
        <v>17425</v>
      </c>
      <c r="L58" s="52"/>
      <c r="M58" s="237">
        <v>160</v>
      </c>
      <c r="N58" s="237">
        <v>0</v>
      </c>
      <c r="O58" s="236">
        <v>254</v>
      </c>
      <c r="P58" s="93">
        <f t="shared" si="1"/>
        <v>414</v>
      </c>
      <c r="Q58" s="52"/>
      <c r="R58" s="237">
        <v>8567</v>
      </c>
      <c r="S58" s="236">
        <v>-102</v>
      </c>
      <c r="T58" s="238">
        <v>8465</v>
      </c>
    </row>
    <row r="59" spans="1:20">
      <c r="A59" s="50">
        <v>90651</v>
      </c>
      <c r="B59" s="51" t="s">
        <v>2153</v>
      </c>
      <c r="C59" s="239">
        <v>1.064E-4</v>
      </c>
      <c r="D59" s="239">
        <v>1E-4</v>
      </c>
      <c r="E59" s="52">
        <v>252417</v>
      </c>
      <c r="F59" s="52" t="s">
        <v>1929</v>
      </c>
      <c r="G59" s="237">
        <v>38942</v>
      </c>
      <c r="H59" s="225">
        <v>34650</v>
      </c>
      <c r="I59" s="237">
        <v>66982</v>
      </c>
      <c r="J59" s="236">
        <v>100554</v>
      </c>
      <c r="K59" s="93">
        <f t="shared" si="0"/>
        <v>241128</v>
      </c>
      <c r="L59" s="52"/>
      <c r="M59" s="237">
        <v>1307</v>
      </c>
      <c r="N59" s="237">
        <v>0</v>
      </c>
      <c r="O59" s="236">
        <v>0</v>
      </c>
      <c r="P59" s="93">
        <f t="shared" si="1"/>
        <v>1307</v>
      </c>
      <c r="Q59" s="52"/>
      <c r="R59" s="237">
        <v>70115</v>
      </c>
      <c r="S59" s="236">
        <v>36979</v>
      </c>
      <c r="T59" s="238">
        <v>107094</v>
      </c>
    </row>
    <row r="60" spans="1:20">
      <c r="A60" s="50">
        <v>90701</v>
      </c>
      <c r="B60" s="51" t="s">
        <v>775</v>
      </c>
      <c r="C60" s="239">
        <v>2.6327999999999998E-3</v>
      </c>
      <c r="D60" s="239">
        <v>2.6581E-3</v>
      </c>
      <c r="E60" s="52">
        <v>6245902</v>
      </c>
      <c r="F60" s="52" t="s">
        <v>1929</v>
      </c>
      <c r="G60" s="237">
        <v>963594</v>
      </c>
      <c r="H60" s="225">
        <v>857376</v>
      </c>
      <c r="I60" s="237">
        <v>1657421</v>
      </c>
      <c r="J60" s="236">
        <v>84751</v>
      </c>
      <c r="K60" s="93">
        <f t="shared" si="0"/>
        <v>3563142</v>
      </c>
      <c r="L60" s="52"/>
      <c r="M60" s="237">
        <v>32333</v>
      </c>
      <c r="N60" s="237">
        <v>0</v>
      </c>
      <c r="O60" s="236">
        <v>109908</v>
      </c>
      <c r="P60" s="93">
        <f t="shared" si="1"/>
        <v>142241</v>
      </c>
      <c r="Q60" s="52"/>
      <c r="R60" s="237">
        <v>1734944</v>
      </c>
      <c r="S60" s="236">
        <v>11083</v>
      </c>
      <c r="T60" s="238">
        <v>1746027</v>
      </c>
    </row>
    <row r="61" spans="1:20">
      <c r="A61" s="50">
        <v>90704</v>
      </c>
      <c r="B61" s="51" t="s">
        <v>776</v>
      </c>
      <c r="C61" s="239">
        <v>3.4100000000000002E-5</v>
      </c>
      <c r="D61" s="239">
        <v>3.3300000000000003E-5</v>
      </c>
      <c r="E61" s="52">
        <v>80897</v>
      </c>
      <c r="F61" s="52" t="s">
        <v>1929</v>
      </c>
      <c r="G61" s="237">
        <v>12480</v>
      </c>
      <c r="H61" s="225">
        <v>11105</v>
      </c>
      <c r="I61" s="237">
        <v>21467</v>
      </c>
      <c r="J61" s="236">
        <v>17851</v>
      </c>
      <c r="K61" s="93">
        <f t="shared" si="0"/>
        <v>62903</v>
      </c>
      <c r="L61" s="52"/>
      <c r="M61" s="237">
        <v>419</v>
      </c>
      <c r="N61" s="237">
        <v>0</v>
      </c>
      <c r="O61" s="236">
        <v>0</v>
      </c>
      <c r="P61" s="93">
        <f t="shared" si="1"/>
        <v>419</v>
      </c>
      <c r="Q61" s="52"/>
      <c r="R61" s="237">
        <v>22471</v>
      </c>
      <c r="S61" s="236">
        <v>7847</v>
      </c>
      <c r="T61" s="238">
        <v>30318</v>
      </c>
    </row>
    <row r="62" spans="1:20">
      <c r="A62" s="50">
        <v>90705</v>
      </c>
      <c r="B62" s="51" t="s">
        <v>777</v>
      </c>
      <c r="C62" s="239">
        <v>3.6000000000000001E-5</v>
      </c>
      <c r="D62" s="239">
        <v>5.3000000000000001E-5</v>
      </c>
      <c r="E62" s="52">
        <v>85404</v>
      </c>
      <c r="F62" s="52" t="s">
        <v>1929</v>
      </c>
      <c r="G62" s="237">
        <v>13176</v>
      </c>
      <c r="H62" s="225">
        <v>11723</v>
      </c>
      <c r="I62" s="237">
        <v>22663</v>
      </c>
      <c r="J62" s="236">
        <v>12180</v>
      </c>
      <c r="K62" s="93">
        <f t="shared" si="0"/>
        <v>59742</v>
      </c>
      <c r="L62" s="52"/>
      <c r="M62" s="237">
        <v>442</v>
      </c>
      <c r="N62" s="237">
        <v>0</v>
      </c>
      <c r="O62" s="236">
        <v>7440</v>
      </c>
      <c r="P62" s="93">
        <f t="shared" si="1"/>
        <v>7882</v>
      </c>
      <c r="Q62" s="52"/>
      <c r="R62" s="237">
        <v>23723</v>
      </c>
      <c r="S62" s="236">
        <v>4327</v>
      </c>
      <c r="T62" s="238">
        <v>28050</v>
      </c>
    </row>
    <row r="63" spans="1:20">
      <c r="A63" s="50">
        <v>90709</v>
      </c>
      <c r="B63" s="51" t="s">
        <v>778</v>
      </c>
      <c r="C63" s="239">
        <v>1.683E-4</v>
      </c>
      <c r="D63" s="239">
        <v>1.2650000000000001E-4</v>
      </c>
      <c r="E63" s="52">
        <v>399265</v>
      </c>
      <c r="F63" s="52" t="s">
        <v>1929</v>
      </c>
      <c r="G63" s="237">
        <v>61597</v>
      </c>
      <c r="H63" s="225">
        <v>54807</v>
      </c>
      <c r="I63" s="237">
        <v>105950</v>
      </c>
      <c r="J63" s="236">
        <v>39082</v>
      </c>
      <c r="K63" s="93">
        <f t="shared" si="0"/>
        <v>261436</v>
      </c>
      <c r="L63" s="52"/>
      <c r="M63" s="237">
        <v>2067</v>
      </c>
      <c r="N63" s="237">
        <v>0</v>
      </c>
      <c r="O63" s="236">
        <v>28001</v>
      </c>
      <c r="P63" s="93">
        <f t="shared" si="1"/>
        <v>30068</v>
      </c>
      <c r="Q63" s="52"/>
      <c r="R63" s="237">
        <v>110905</v>
      </c>
      <c r="S63" s="236">
        <v>346</v>
      </c>
      <c r="T63" s="238">
        <v>111251</v>
      </c>
    </row>
    <row r="64" spans="1:20">
      <c r="A64" s="50">
        <v>90711</v>
      </c>
      <c r="B64" s="51" t="s">
        <v>779</v>
      </c>
      <c r="C64" s="239">
        <v>1.6165000000000001E-3</v>
      </c>
      <c r="D64" s="239">
        <v>1.6877000000000001E-3</v>
      </c>
      <c r="E64" s="52">
        <v>3834891</v>
      </c>
      <c r="F64" s="52" t="s">
        <v>1929</v>
      </c>
      <c r="G64" s="237">
        <v>591633</v>
      </c>
      <c r="H64" s="225">
        <v>526416</v>
      </c>
      <c r="I64" s="237">
        <v>1017632</v>
      </c>
      <c r="J64" s="236">
        <v>0</v>
      </c>
      <c r="K64" s="93">
        <f t="shared" si="0"/>
        <v>2135681</v>
      </c>
      <c r="L64" s="52"/>
      <c r="M64" s="237">
        <v>19852</v>
      </c>
      <c r="N64" s="237">
        <v>0</v>
      </c>
      <c r="O64" s="236">
        <v>152515</v>
      </c>
      <c r="P64" s="93">
        <f t="shared" si="1"/>
        <v>172367</v>
      </c>
      <c r="Q64" s="52"/>
      <c r="R64" s="237">
        <v>1065230</v>
      </c>
      <c r="S64" s="236">
        <v>-83743</v>
      </c>
      <c r="T64" s="238">
        <v>981487</v>
      </c>
    </row>
    <row r="65" spans="1:20">
      <c r="A65" s="50">
        <v>90721</v>
      </c>
      <c r="B65" s="51" t="s">
        <v>2154</v>
      </c>
      <c r="C65" s="239">
        <v>2.8200000000000001E-5</v>
      </c>
      <c r="D65" s="239">
        <v>2.8600000000000001E-5</v>
      </c>
      <c r="E65" s="52">
        <v>66900</v>
      </c>
      <c r="F65" s="52" t="s">
        <v>1929</v>
      </c>
      <c r="G65" s="237">
        <v>10321</v>
      </c>
      <c r="H65" s="225">
        <v>9183</v>
      </c>
      <c r="I65" s="237">
        <v>17753</v>
      </c>
      <c r="J65" s="236">
        <v>792</v>
      </c>
      <c r="K65" s="93">
        <f t="shared" si="0"/>
        <v>38049</v>
      </c>
      <c r="L65" s="52"/>
      <c r="M65" s="237">
        <v>346</v>
      </c>
      <c r="N65" s="237">
        <v>0</v>
      </c>
      <c r="O65" s="236">
        <v>3624</v>
      </c>
      <c r="P65" s="93">
        <f t="shared" si="1"/>
        <v>3970</v>
      </c>
      <c r="Q65" s="52"/>
      <c r="R65" s="237">
        <v>18583</v>
      </c>
      <c r="S65" s="236">
        <v>1108</v>
      </c>
      <c r="T65" s="238">
        <v>19691</v>
      </c>
    </row>
    <row r="66" spans="1:20">
      <c r="A66" s="50">
        <v>90731</v>
      </c>
      <c r="B66" s="51" t="s">
        <v>2155</v>
      </c>
      <c r="C66" s="239">
        <v>1.4919999999999999E-4</v>
      </c>
      <c r="D66" s="239">
        <v>1.741E-4</v>
      </c>
      <c r="E66" s="52">
        <v>353953</v>
      </c>
      <c r="F66" s="52" t="s">
        <v>1929</v>
      </c>
      <c r="G66" s="237">
        <v>54607</v>
      </c>
      <c r="H66" s="225">
        <v>48587</v>
      </c>
      <c r="I66" s="237">
        <v>93926</v>
      </c>
      <c r="J66" s="236">
        <v>0</v>
      </c>
      <c r="K66" s="93">
        <f t="shared" si="0"/>
        <v>197120</v>
      </c>
      <c r="L66" s="52"/>
      <c r="M66" s="237">
        <v>1832</v>
      </c>
      <c r="N66" s="237">
        <v>0</v>
      </c>
      <c r="O66" s="236">
        <v>24103</v>
      </c>
      <c r="P66" s="93">
        <f t="shared" si="1"/>
        <v>25935</v>
      </c>
      <c r="Q66" s="52"/>
      <c r="R66" s="237">
        <v>98319</v>
      </c>
      <c r="S66" s="236">
        <v>-10239</v>
      </c>
      <c r="T66" s="238">
        <v>88080</v>
      </c>
    </row>
    <row r="67" spans="1:20">
      <c r="A67" s="50">
        <v>90741</v>
      </c>
      <c r="B67" s="51" t="s">
        <v>2156</v>
      </c>
      <c r="C67" s="239">
        <v>1.52E-5</v>
      </c>
      <c r="D67" s="239">
        <v>9.0999999999999993E-6</v>
      </c>
      <c r="E67" s="52">
        <v>36060</v>
      </c>
      <c r="F67" s="52" t="s">
        <v>1929</v>
      </c>
      <c r="G67" s="237">
        <v>5563</v>
      </c>
      <c r="H67" s="225">
        <v>4950</v>
      </c>
      <c r="I67" s="237">
        <v>9569</v>
      </c>
      <c r="J67" s="236">
        <v>5141</v>
      </c>
      <c r="K67" s="93">
        <f t="shared" si="0"/>
        <v>25223</v>
      </c>
      <c r="L67" s="52"/>
      <c r="M67" s="237">
        <v>187</v>
      </c>
      <c r="N67" s="237">
        <v>0</v>
      </c>
      <c r="O67" s="236">
        <v>155</v>
      </c>
      <c r="P67" s="93">
        <f t="shared" si="1"/>
        <v>342</v>
      </c>
      <c r="Q67" s="52"/>
      <c r="R67" s="237">
        <v>10016</v>
      </c>
      <c r="S67" s="236">
        <v>1246</v>
      </c>
      <c r="T67" s="238">
        <v>11262</v>
      </c>
    </row>
    <row r="68" spans="1:20">
      <c r="A68" s="50">
        <v>90751</v>
      </c>
      <c r="B68" s="51" t="s">
        <v>2157</v>
      </c>
      <c r="C68" s="239">
        <v>7.9499999999999994E-5</v>
      </c>
      <c r="D68" s="239">
        <v>6.8700000000000003E-5</v>
      </c>
      <c r="E68" s="52">
        <v>188601</v>
      </c>
      <c r="F68" s="52" t="s">
        <v>1929</v>
      </c>
      <c r="G68" s="237">
        <v>29097</v>
      </c>
      <c r="H68" s="225">
        <v>25890</v>
      </c>
      <c r="I68" s="237">
        <v>50047</v>
      </c>
      <c r="J68" s="236">
        <v>3763</v>
      </c>
      <c r="K68" s="93">
        <f t="shared" si="0"/>
        <v>108797</v>
      </c>
      <c r="L68" s="52"/>
      <c r="M68" s="237">
        <v>976</v>
      </c>
      <c r="N68" s="237">
        <v>0</v>
      </c>
      <c r="O68" s="236">
        <v>810</v>
      </c>
      <c r="P68" s="93">
        <f t="shared" si="1"/>
        <v>1786</v>
      </c>
      <c r="Q68" s="52"/>
      <c r="R68" s="237">
        <v>52388</v>
      </c>
      <c r="S68" s="236">
        <v>3994</v>
      </c>
      <c r="T68" s="238">
        <v>56382</v>
      </c>
    </row>
    <row r="69" spans="1:20">
      <c r="A69" s="50">
        <v>90801</v>
      </c>
      <c r="B69" s="51" t="s">
        <v>784</v>
      </c>
      <c r="C69" s="239">
        <v>1.338E-3</v>
      </c>
      <c r="D69" s="239">
        <v>1.3064000000000001E-3</v>
      </c>
      <c r="E69" s="52">
        <v>3174194</v>
      </c>
      <c r="F69" s="52" t="s">
        <v>1929</v>
      </c>
      <c r="G69" s="237">
        <v>489703</v>
      </c>
      <c r="H69" s="225">
        <v>435722</v>
      </c>
      <c r="I69" s="237">
        <v>842308</v>
      </c>
      <c r="J69" s="236">
        <v>86295</v>
      </c>
      <c r="K69" s="93">
        <f t="shared" si="0"/>
        <v>1854028</v>
      </c>
      <c r="L69" s="52"/>
      <c r="M69" s="237">
        <v>16432</v>
      </c>
      <c r="N69" s="237">
        <v>0</v>
      </c>
      <c r="O69" s="236">
        <v>50464</v>
      </c>
      <c r="P69" s="93">
        <f t="shared" si="1"/>
        <v>66896</v>
      </c>
      <c r="Q69" s="52"/>
      <c r="R69" s="237">
        <v>881706</v>
      </c>
      <c r="S69" s="236">
        <v>52732</v>
      </c>
      <c r="T69" s="238">
        <v>934438</v>
      </c>
    </row>
    <row r="70" spans="1:20">
      <c r="A70" s="50">
        <v>90804</v>
      </c>
      <c r="B70" s="51" t="s">
        <v>785</v>
      </c>
      <c r="C70" s="239">
        <v>6.0000000000000002E-6</v>
      </c>
      <c r="D70" s="239">
        <v>6.1999999999999999E-6</v>
      </c>
      <c r="E70" s="52">
        <v>14234</v>
      </c>
      <c r="F70" s="52" t="s">
        <v>1929</v>
      </c>
      <c r="G70" s="237">
        <v>2196</v>
      </c>
      <c r="H70" s="225">
        <v>1954</v>
      </c>
      <c r="I70" s="237">
        <v>3777</v>
      </c>
      <c r="J70" s="236">
        <v>574</v>
      </c>
      <c r="K70" s="93">
        <f t="shared" si="0"/>
        <v>8501</v>
      </c>
      <c r="L70" s="52"/>
      <c r="M70" s="237">
        <v>74</v>
      </c>
      <c r="N70" s="237">
        <v>0</v>
      </c>
      <c r="O70" s="236">
        <v>215</v>
      </c>
      <c r="P70" s="93">
        <f t="shared" si="1"/>
        <v>289</v>
      </c>
      <c r="Q70" s="52"/>
      <c r="R70" s="237">
        <v>3954</v>
      </c>
      <c r="S70" s="236">
        <v>834</v>
      </c>
      <c r="T70" s="238">
        <v>4788</v>
      </c>
    </row>
    <row r="71" spans="1:20">
      <c r="A71" s="50">
        <v>90805</v>
      </c>
      <c r="B71" s="51" t="s">
        <v>786</v>
      </c>
      <c r="C71" s="239">
        <v>6.6600000000000006E-5</v>
      </c>
      <c r="D71" s="239">
        <v>5.1900000000000001E-5</v>
      </c>
      <c r="E71" s="52">
        <v>157998</v>
      </c>
      <c r="F71" s="52" t="s">
        <v>1929</v>
      </c>
      <c r="G71" s="237">
        <v>24375</v>
      </c>
      <c r="H71" s="225">
        <v>21688</v>
      </c>
      <c r="I71" s="237">
        <v>41927</v>
      </c>
      <c r="J71" s="236">
        <v>29750</v>
      </c>
      <c r="K71" s="93">
        <f t="shared" si="0"/>
        <v>117740</v>
      </c>
      <c r="L71" s="52"/>
      <c r="M71" s="237">
        <v>818</v>
      </c>
      <c r="N71" s="237">
        <v>0</v>
      </c>
      <c r="O71" s="236">
        <v>0</v>
      </c>
      <c r="P71" s="93">
        <f t="shared" si="1"/>
        <v>818</v>
      </c>
      <c r="Q71" s="52"/>
      <c r="R71" s="237">
        <v>43888</v>
      </c>
      <c r="S71" s="236">
        <v>13705</v>
      </c>
      <c r="T71" s="238">
        <v>57593</v>
      </c>
    </row>
    <row r="72" spans="1:20">
      <c r="A72" s="50">
        <v>90808</v>
      </c>
      <c r="B72" s="51" t="s">
        <v>787</v>
      </c>
      <c r="C72" s="239">
        <v>1.0119999999999999E-4</v>
      </c>
      <c r="D72" s="239">
        <v>1.131E-4</v>
      </c>
      <c r="E72" s="52">
        <v>240081</v>
      </c>
      <c r="F72" s="52" t="s">
        <v>1929</v>
      </c>
      <c r="G72" s="237">
        <v>37039</v>
      </c>
      <c r="H72" s="225">
        <v>32956</v>
      </c>
      <c r="I72" s="237">
        <v>63708</v>
      </c>
      <c r="J72" s="236">
        <v>3985</v>
      </c>
      <c r="K72" s="93">
        <f t="shared" si="0"/>
        <v>137688</v>
      </c>
      <c r="L72" s="52"/>
      <c r="M72" s="237">
        <v>1243</v>
      </c>
      <c r="N72" s="237">
        <v>0</v>
      </c>
      <c r="O72" s="236">
        <v>1338</v>
      </c>
      <c r="P72" s="93">
        <f t="shared" si="1"/>
        <v>2581</v>
      </c>
      <c r="Q72" s="52"/>
      <c r="R72" s="237">
        <v>66688</v>
      </c>
      <c r="S72" s="236">
        <v>662</v>
      </c>
      <c r="T72" s="238">
        <v>67350</v>
      </c>
    </row>
    <row r="73" spans="1:20">
      <c r="A73" s="50">
        <v>90811</v>
      </c>
      <c r="B73" s="51" t="s">
        <v>2158</v>
      </c>
      <c r="C73" s="239">
        <v>3.6199999999999999E-5</v>
      </c>
      <c r="D73" s="239">
        <v>3.3599999999999997E-5</v>
      </c>
      <c r="E73" s="52">
        <v>85879</v>
      </c>
      <c r="F73" s="52" t="s">
        <v>1929</v>
      </c>
      <c r="G73" s="237">
        <v>13249</v>
      </c>
      <c r="H73" s="225">
        <v>11789</v>
      </c>
      <c r="I73" s="237">
        <v>22789</v>
      </c>
      <c r="J73" s="236">
        <v>0</v>
      </c>
      <c r="K73" s="93">
        <f t="shared" si="0"/>
        <v>47827</v>
      </c>
      <c r="L73" s="52"/>
      <c r="M73" s="237">
        <v>445</v>
      </c>
      <c r="N73" s="237">
        <v>0</v>
      </c>
      <c r="O73" s="236">
        <v>9224</v>
      </c>
      <c r="P73" s="93">
        <f t="shared" si="1"/>
        <v>9669</v>
      </c>
      <c r="Q73" s="52"/>
      <c r="R73" s="237">
        <v>23855</v>
      </c>
      <c r="S73" s="236">
        <v>-2702</v>
      </c>
      <c r="T73" s="238">
        <v>21153</v>
      </c>
    </row>
    <row r="74" spans="1:20">
      <c r="A74" s="50">
        <v>90812</v>
      </c>
      <c r="B74" s="51" t="s">
        <v>2159</v>
      </c>
      <c r="C74" s="239">
        <v>2.2489999999999999E-4</v>
      </c>
      <c r="D74" s="239">
        <v>2.2900000000000001E-4</v>
      </c>
      <c r="E74" s="52">
        <v>533540</v>
      </c>
      <c r="F74" s="52" t="s">
        <v>1929</v>
      </c>
      <c r="G74" s="237">
        <v>82313</v>
      </c>
      <c r="H74" s="225">
        <v>73239</v>
      </c>
      <c r="I74" s="237">
        <v>141581</v>
      </c>
      <c r="J74" s="236">
        <v>8319</v>
      </c>
      <c r="K74" s="93">
        <f t="shared" ref="K74:K138" si="2">G74+H74+I74+J74</f>
        <v>305452</v>
      </c>
      <c r="L74" s="52"/>
      <c r="M74" s="237">
        <v>2762</v>
      </c>
      <c r="N74" s="237">
        <v>0</v>
      </c>
      <c r="O74" s="236">
        <v>11401</v>
      </c>
      <c r="P74" s="93">
        <f t="shared" ref="P74:P138" si="3">M74+N74+O74</f>
        <v>14163</v>
      </c>
      <c r="Q74" s="52"/>
      <c r="R74" s="237">
        <v>148203</v>
      </c>
      <c r="S74" s="236">
        <v>1945</v>
      </c>
      <c r="T74" s="238">
        <v>150148</v>
      </c>
    </row>
    <row r="75" spans="1:20">
      <c r="A75" s="50">
        <v>90813</v>
      </c>
      <c r="B75" s="51" t="s">
        <v>2160</v>
      </c>
      <c r="C75" s="239">
        <v>5.0000000000000004E-6</v>
      </c>
      <c r="D75" s="239">
        <v>5.3000000000000001E-6</v>
      </c>
      <c r="E75" s="52">
        <v>11862</v>
      </c>
      <c r="F75" s="52" t="s">
        <v>1929</v>
      </c>
      <c r="G75" s="237">
        <v>1830</v>
      </c>
      <c r="H75" s="225">
        <v>1628</v>
      </c>
      <c r="I75" s="237">
        <v>3148</v>
      </c>
      <c r="J75" s="236">
        <v>0</v>
      </c>
      <c r="K75" s="93">
        <f t="shared" si="2"/>
        <v>6606</v>
      </c>
      <c r="L75" s="52"/>
      <c r="M75" s="237">
        <v>61</v>
      </c>
      <c r="N75" s="237">
        <v>0</v>
      </c>
      <c r="O75" s="236">
        <v>1028</v>
      </c>
      <c r="P75" s="93">
        <f t="shared" si="3"/>
        <v>1089</v>
      </c>
      <c r="Q75" s="52"/>
      <c r="R75" s="237">
        <v>3295</v>
      </c>
      <c r="S75" s="236">
        <v>-607</v>
      </c>
      <c r="T75" s="238">
        <v>2688</v>
      </c>
    </row>
    <row r="76" spans="1:20">
      <c r="A76" s="50">
        <v>90861</v>
      </c>
      <c r="B76" s="51" t="s">
        <v>2161</v>
      </c>
      <c r="C76" s="239">
        <v>7.7999999999999999E-6</v>
      </c>
      <c r="D76" s="239">
        <v>4.1999999999999996E-6</v>
      </c>
      <c r="E76" s="52">
        <v>18504</v>
      </c>
      <c r="F76" s="52" t="s">
        <v>1929</v>
      </c>
      <c r="G76" s="237">
        <v>2855</v>
      </c>
      <c r="H76" s="225">
        <v>2540</v>
      </c>
      <c r="I76" s="237">
        <v>4910</v>
      </c>
      <c r="J76" s="236">
        <v>6531</v>
      </c>
      <c r="K76" s="93">
        <f t="shared" si="2"/>
        <v>16836</v>
      </c>
      <c r="L76" s="52"/>
      <c r="M76" s="237">
        <v>96</v>
      </c>
      <c r="N76" s="237">
        <v>0</v>
      </c>
      <c r="O76" s="236">
        <v>0</v>
      </c>
      <c r="P76" s="93">
        <f t="shared" si="3"/>
        <v>96</v>
      </c>
      <c r="Q76" s="52"/>
      <c r="R76" s="237">
        <v>5140</v>
      </c>
      <c r="S76" s="236">
        <v>1362</v>
      </c>
      <c r="T76" s="238">
        <v>6502</v>
      </c>
    </row>
    <row r="77" spans="1:20">
      <c r="A77" s="50">
        <v>90901</v>
      </c>
      <c r="B77" s="51" t="s">
        <v>792</v>
      </c>
      <c r="C77" s="239">
        <v>2.1440000000000001E-3</v>
      </c>
      <c r="D77" s="239">
        <v>2.1814999999999998E-3</v>
      </c>
      <c r="E77" s="52">
        <v>5086301</v>
      </c>
      <c r="F77" s="52" t="s">
        <v>1929</v>
      </c>
      <c r="G77" s="237">
        <v>784695</v>
      </c>
      <c r="H77" s="225">
        <v>698198</v>
      </c>
      <c r="I77" s="237">
        <v>1349708</v>
      </c>
      <c r="J77" s="236">
        <v>13390</v>
      </c>
      <c r="K77" s="93">
        <f t="shared" si="2"/>
        <v>2845991</v>
      </c>
      <c r="L77" s="52"/>
      <c r="M77" s="237">
        <v>26330</v>
      </c>
      <c r="N77" s="237">
        <v>0</v>
      </c>
      <c r="O77" s="236">
        <v>28266</v>
      </c>
      <c r="P77" s="93">
        <f t="shared" si="3"/>
        <v>54596</v>
      </c>
      <c r="Q77" s="52"/>
      <c r="R77" s="237">
        <v>1412838</v>
      </c>
      <c r="S77" s="236">
        <v>-7333</v>
      </c>
      <c r="T77" s="238">
        <v>1405505</v>
      </c>
    </row>
    <row r="78" spans="1:20">
      <c r="A78" s="50">
        <v>90911</v>
      </c>
      <c r="B78" s="51" t="s">
        <v>2162</v>
      </c>
      <c r="C78" s="239">
        <v>4.037E-4</v>
      </c>
      <c r="D78" s="239">
        <v>3.9780000000000002E-4</v>
      </c>
      <c r="E78" s="52">
        <v>957714</v>
      </c>
      <c r="F78" s="52" t="s">
        <v>1929</v>
      </c>
      <c r="G78" s="237">
        <v>147753</v>
      </c>
      <c r="H78" s="225">
        <v>131466</v>
      </c>
      <c r="I78" s="237">
        <v>254140</v>
      </c>
      <c r="J78" s="236">
        <v>5104</v>
      </c>
      <c r="K78" s="93">
        <f t="shared" si="2"/>
        <v>538463</v>
      </c>
      <c r="L78" s="52"/>
      <c r="M78" s="237">
        <v>4958</v>
      </c>
      <c r="N78" s="237">
        <v>0</v>
      </c>
      <c r="O78" s="236">
        <v>27769</v>
      </c>
      <c r="P78" s="93">
        <f t="shared" si="3"/>
        <v>32727</v>
      </c>
      <c r="Q78" s="52"/>
      <c r="R78" s="237">
        <v>266027</v>
      </c>
      <c r="S78" s="236">
        <v>-22253</v>
      </c>
      <c r="T78" s="238">
        <v>243774</v>
      </c>
    </row>
    <row r="79" spans="1:20">
      <c r="A79" s="50">
        <v>90917</v>
      </c>
      <c r="B79" s="51" t="s">
        <v>794</v>
      </c>
      <c r="C79" s="239">
        <v>1.1800000000000001E-5</v>
      </c>
      <c r="D79" s="239">
        <v>1.4399999999999999E-5</v>
      </c>
      <c r="E79" s="190">
        <v>27994</v>
      </c>
      <c r="F79" s="190" t="s">
        <v>1930</v>
      </c>
      <c r="G79" s="237">
        <v>4319</v>
      </c>
      <c r="H79" s="225">
        <v>3843</v>
      </c>
      <c r="I79" s="237">
        <v>7428</v>
      </c>
      <c r="J79" s="236">
        <v>910</v>
      </c>
      <c r="K79" s="93">
        <f t="shared" si="2"/>
        <v>16500</v>
      </c>
      <c r="L79" s="52"/>
      <c r="M79" s="237">
        <v>145</v>
      </c>
      <c r="N79" s="237">
        <v>0</v>
      </c>
      <c r="O79" s="236">
        <v>1772</v>
      </c>
      <c r="P79" s="93">
        <f t="shared" si="3"/>
        <v>1917</v>
      </c>
      <c r="Q79" s="52"/>
      <c r="R79" s="237">
        <v>7776</v>
      </c>
      <c r="S79" s="236">
        <v>-363</v>
      </c>
      <c r="T79" s="238">
        <v>7413</v>
      </c>
    </row>
    <row r="80" spans="1:20">
      <c r="A80" s="50">
        <v>90918</v>
      </c>
      <c r="B80" s="51" t="s">
        <v>795</v>
      </c>
      <c r="C80" s="239">
        <v>1.13E-5</v>
      </c>
      <c r="D80" s="239">
        <v>1.19E-5</v>
      </c>
      <c r="E80" s="190">
        <v>26807</v>
      </c>
      <c r="F80" s="190" t="s">
        <v>1930</v>
      </c>
      <c r="G80" s="237">
        <v>4136</v>
      </c>
      <c r="H80" s="225">
        <v>3680</v>
      </c>
      <c r="I80" s="237">
        <v>7114</v>
      </c>
      <c r="J80" s="236">
        <v>0</v>
      </c>
      <c r="K80" s="93">
        <f t="shared" si="2"/>
        <v>14930</v>
      </c>
      <c r="L80" s="52"/>
      <c r="M80" s="237">
        <v>139</v>
      </c>
      <c r="N80" s="237">
        <v>0</v>
      </c>
      <c r="O80" s="236">
        <v>2292</v>
      </c>
      <c r="P80" s="93">
        <f t="shared" si="3"/>
        <v>2431</v>
      </c>
      <c r="Q80" s="52"/>
      <c r="R80" s="237">
        <v>7446</v>
      </c>
      <c r="S80" s="236">
        <v>-1290</v>
      </c>
      <c r="T80" s="238">
        <v>6156</v>
      </c>
    </row>
    <row r="81" spans="1:20">
      <c r="A81" s="50">
        <v>90921</v>
      </c>
      <c r="B81" s="51" t="s">
        <v>2163</v>
      </c>
      <c r="C81" s="239">
        <v>1.2789999999999999E-4</v>
      </c>
      <c r="D81" s="239">
        <v>1.2970000000000001E-4</v>
      </c>
      <c r="E81" s="190">
        <v>303423</v>
      </c>
      <c r="F81" s="190" t="s">
        <v>1930</v>
      </c>
      <c r="G81" s="237">
        <v>46811</v>
      </c>
      <c r="H81" s="225">
        <v>41651</v>
      </c>
      <c r="I81" s="237">
        <v>80517</v>
      </c>
      <c r="J81" s="236">
        <v>22540</v>
      </c>
      <c r="K81" s="93">
        <f t="shared" si="2"/>
        <v>191519</v>
      </c>
      <c r="L81" s="52"/>
      <c r="M81" s="237">
        <v>1571</v>
      </c>
      <c r="N81" s="237">
        <v>0</v>
      </c>
      <c r="O81" s="236">
        <v>4483</v>
      </c>
      <c r="P81" s="93">
        <f t="shared" si="3"/>
        <v>6054</v>
      </c>
      <c r="Q81" s="52"/>
      <c r="R81" s="237">
        <v>84283</v>
      </c>
      <c r="S81" s="236">
        <v>4862</v>
      </c>
      <c r="T81" s="238">
        <v>89145</v>
      </c>
    </row>
    <row r="82" spans="1:20">
      <c r="A82" s="50">
        <v>90931</v>
      </c>
      <c r="B82" s="51" t="s">
        <v>2164</v>
      </c>
      <c r="C82" s="239">
        <v>3.8099999999999998E-5</v>
      </c>
      <c r="D82" s="239">
        <v>4.07E-5</v>
      </c>
      <c r="E82" s="190">
        <v>90386</v>
      </c>
      <c r="F82" s="190" t="s">
        <v>1930</v>
      </c>
      <c r="G82" s="237">
        <v>13944</v>
      </c>
      <c r="H82" s="225">
        <v>12407</v>
      </c>
      <c r="I82" s="237">
        <v>23985</v>
      </c>
      <c r="J82" s="236">
        <v>1061</v>
      </c>
      <c r="K82" s="93">
        <f t="shared" si="2"/>
        <v>51397</v>
      </c>
      <c r="L82" s="52"/>
      <c r="M82" s="237">
        <v>468</v>
      </c>
      <c r="N82" s="237">
        <v>0</v>
      </c>
      <c r="O82" s="236">
        <v>13836</v>
      </c>
      <c r="P82" s="93">
        <f t="shared" si="3"/>
        <v>14304</v>
      </c>
      <c r="Q82" s="52"/>
      <c r="R82" s="237">
        <v>25107</v>
      </c>
      <c r="S82" s="236">
        <v>-2235</v>
      </c>
      <c r="T82" s="238">
        <v>22872</v>
      </c>
    </row>
    <row r="83" spans="1:20">
      <c r="A83" s="50">
        <v>90941</v>
      </c>
      <c r="B83" s="51" t="s">
        <v>2165</v>
      </c>
      <c r="C83" s="239">
        <v>8.2000000000000001E-5</v>
      </c>
      <c r="D83" s="239">
        <v>7.0300000000000001E-5</v>
      </c>
      <c r="E83" s="190">
        <v>194532</v>
      </c>
      <c r="F83" s="190" t="s">
        <v>1930</v>
      </c>
      <c r="G83" s="237">
        <v>30012</v>
      </c>
      <c r="H83" s="225">
        <v>26704</v>
      </c>
      <c r="I83" s="237">
        <v>51621</v>
      </c>
      <c r="J83" s="236">
        <v>8606</v>
      </c>
      <c r="K83" s="93">
        <f t="shared" si="2"/>
        <v>116943</v>
      </c>
      <c r="L83" s="52"/>
      <c r="M83" s="237">
        <v>1007</v>
      </c>
      <c r="N83" s="237">
        <v>0</v>
      </c>
      <c r="O83" s="236">
        <v>10455</v>
      </c>
      <c r="P83" s="93">
        <f t="shared" si="3"/>
        <v>11462</v>
      </c>
      <c r="Q83" s="52"/>
      <c r="R83" s="237">
        <v>54036</v>
      </c>
      <c r="S83" s="236">
        <v>-3109</v>
      </c>
      <c r="T83" s="238">
        <v>50927</v>
      </c>
    </row>
    <row r="84" spans="1:20">
      <c r="A84" s="50">
        <v>91001</v>
      </c>
      <c r="B84" s="51" t="s">
        <v>799</v>
      </c>
      <c r="C84" s="239">
        <v>6.6366999999999997E-3</v>
      </c>
      <c r="D84" s="239">
        <v>6.6703999999999999E-3</v>
      </c>
      <c r="E84" s="190">
        <v>15744522</v>
      </c>
      <c r="F84" s="190" t="s">
        <v>1930</v>
      </c>
      <c r="G84" s="237">
        <v>2429006</v>
      </c>
      <c r="H84" s="225">
        <v>2161254</v>
      </c>
      <c r="I84" s="237">
        <v>4177988</v>
      </c>
      <c r="J84" s="236">
        <v>0</v>
      </c>
      <c r="K84" s="93">
        <f t="shared" si="2"/>
        <v>8768248</v>
      </c>
      <c r="L84" s="52"/>
      <c r="M84" s="237">
        <v>81505</v>
      </c>
      <c r="N84" s="237">
        <v>0</v>
      </c>
      <c r="O84" s="236">
        <v>332799</v>
      </c>
      <c r="P84" s="93">
        <f t="shared" si="3"/>
        <v>414304</v>
      </c>
      <c r="Q84" s="52"/>
      <c r="R84" s="237">
        <v>4373406</v>
      </c>
      <c r="S84" s="236">
        <v>-87933</v>
      </c>
      <c r="T84" s="238">
        <v>4285473</v>
      </c>
    </row>
    <row r="85" spans="1:20">
      <c r="A85" s="50">
        <v>91002</v>
      </c>
      <c r="B85" s="51" t="s">
        <v>2166</v>
      </c>
      <c r="C85" s="239">
        <v>9.4410000000000002E-4</v>
      </c>
      <c r="D85" s="239">
        <v>6.8860000000000004E-4</v>
      </c>
      <c r="E85" s="190">
        <v>2239728</v>
      </c>
      <c r="F85" s="190" t="s">
        <v>1930</v>
      </c>
      <c r="G85" s="237">
        <v>345537</v>
      </c>
      <c r="H85" s="225">
        <v>307448</v>
      </c>
      <c r="I85" s="237">
        <v>594337</v>
      </c>
      <c r="J85" s="236">
        <v>166396</v>
      </c>
      <c r="K85" s="93">
        <f t="shared" si="2"/>
        <v>1413718</v>
      </c>
      <c r="L85" s="52"/>
      <c r="M85" s="237">
        <v>11594</v>
      </c>
      <c r="N85" s="237">
        <v>0</v>
      </c>
      <c r="O85" s="236">
        <v>27902</v>
      </c>
      <c r="P85" s="93">
        <f t="shared" si="3"/>
        <v>39496</v>
      </c>
      <c r="Q85" s="52"/>
      <c r="R85" s="237">
        <v>622136</v>
      </c>
      <c r="S85" s="236">
        <v>25830</v>
      </c>
      <c r="T85" s="238">
        <v>647966</v>
      </c>
    </row>
    <row r="86" spans="1:20">
      <c r="A86" s="50">
        <v>91003</v>
      </c>
      <c r="B86" s="51" t="s">
        <v>801</v>
      </c>
      <c r="C86" s="239">
        <v>5.354E-4</v>
      </c>
      <c r="D86" s="239">
        <v>5.7260000000000004E-4</v>
      </c>
      <c r="E86" s="190">
        <v>1270152</v>
      </c>
      <c r="F86" s="190" t="s">
        <v>1930</v>
      </c>
      <c r="G86" s="237">
        <v>195954</v>
      </c>
      <c r="H86" s="225">
        <v>174354</v>
      </c>
      <c r="I86" s="237">
        <v>337049</v>
      </c>
      <c r="J86" s="236">
        <v>10600</v>
      </c>
      <c r="K86" s="93">
        <f t="shared" si="2"/>
        <v>717957</v>
      </c>
      <c r="L86" s="52"/>
      <c r="M86" s="237">
        <v>6575</v>
      </c>
      <c r="N86" s="237">
        <v>0</v>
      </c>
      <c r="O86" s="236">
        <v>38265</v>
      </c>
      <c r="P86" s="93">
        <f t="shared" si="3"/>
        <v>44840</v>
      </c>
      <c r="Q86" s="52"/>
      <c r="R86" s="237">
        <v>352814</v>
      </c>
      <c r="S86" s="236">
        <v>2232</v>
      </c>
      <c r="T86" s="238">
        <v>355046</v>
      </c>
    </row>
    <row r="87" spans="1:20">
      <c r="A87" s="50">
        <v>91004</v>
      </c>
      <c r="B87" s="51" t="s">
        <v>802</v>
      </c>
      <c r="C87" s="239">
        <v>3.6600000000000002E-5</v>
      </c>
      <c r="D87" s="239">
        <v>2.58E-5</v>
      </c>
      <c r="E87" s="190">
        <v>86828</v>
      </c>
      <c r="F87" s="190" t="s">
        <v>1930</v>
      </c>
      <c r="G87" s="237">
        <v>13395</v>
      </c>
      <c r="H87" s="225">
        <v>11919</v>
      </c>
      <c r="I87" s="237">
        <v>23041</v>
      </c>
      <c r="J87" s="236">
        <v>15071</v>
      </c>
      <c r="K87" s="93">
        <f t="shared" si="2"/>
        <v>63426</v>
      </c>
      <c r="L87" s="52"/>
      <c r="M87" s="237">
        <v>449</v>
      </c>
      <c r="N87" s="237">
        <v>0</v>
      </c>
      <c r="O87" s="236">
        <v>0</v>
      </c>
      <c r="P87" s="93">
        <f t="shared" si="3"/>
        <v>449</v>
      </c>
      <c r="Q87" s="52"/>
      <c r="R87" s="237">
        <v>24118</v>
      </c>
      <c r="S87" s="236">
        <v>6104</v>
      </c>
      <c r="T87" s="238">
        <v>30222</v>
      </c>
    </row>
    <row r="88" spans="1:20">
      <c r="A88" s="50">
        <v>91006</v>
      </c>
      <c r="B88" s="51" t="s">
        <v>803</v>
      </c>
      <c r="C88" s="239">
        <v>1.0660999999999999E-3</v>
      </c>
      <c r="D88" s="239">
        <v>1.0317E-3</v>
      </c>
      <c r="E88" s="190">
        <v>2529154</v>
      </c>
      <c r="F88" s="190" t="s">
        <v>1930</v>
      </c>
      <c r="G88" s="237">
        <v>390188</v>
      </c>
      <c r="H88" s="225">
        <v>347177</v>
      </c>
      <c r="I88" s="237">
        <v>671140</v>
      </c>
      <c r="J88" s="236">
        <v>7631</v>
      </c>
      <c r="K88" s="93">
        <f t="shared" si="2"/>
        <v>1416136</v>
      </c>
      <c r="L88" s="52"/>
      <c r="M88" s="237">
        <v>13093</v>
      </c>
      <c r="N88" s="237">
        <v>0</v>
      </c>
      <c r="O88" s="236">
        <v>29301</v>
      </c>
      <c r="P88" s="93">
        <f t="shared" si="3"/>
        <v>42394</v>
      </c>
      <c r="Q88" s="52"/>
      <c r="R88" s="237">
        <v>702531</v>
      </c>
      <c r="S88" s="236">
        <v>-205</v>
      </c>
      <c r="T88" s="238">
        <v>702326</v>
      </c>
    </row>
    <row r="89" spans="1:20">
      <c r="A89" s="50">
        <v>91007</v>
      </c>
      <c r="B89" s="51" t="s">
        <v>804</v>
      </c>
      <c r="C89" s="239">
        <v>8.4999999999999999E-6</v>
      </c>
      <c r="D89" s="239">
        <v>9.5000000000000005E-6</v>
      </c>
      <c r="E89" s="190">
        <v>20165</v>
      </c>
      <c r="F89" s="190" t="s">
        <v>1930</v>
      </c>
      <c r="G89" s="237">
        <v>3111</v>
      </c>
      <c r="H89" s="225">
        <v>2768</v>
      </c>
      <c r="I89" s="237">
        <v>5351</v>
      </c>
      <c r="J89" s="236">
        <v>4888</v>
      </c>
      <c r="K89" s="93">
        <f t="shared" si="2"/>
        <v>16118</v>
      </c>
      <c r="L89" s="52"/>
      <c r="M89" s="237">
        <v>104</v>
      </c>
      <c r="N89" s="237">
        <v>0</v>
      </c>
      <c r="O89" s="236">
        <v>0</v>
      </c>
      <c r="P89" s="93">
        <f t="shared" si="3"/>
        <v>104</v>
      </c>
      <c r="Q89" s="52"/>
      <c r="R89" s="237">
        <v>5601</v>
      </c>
      <c r="S89" s="236">
        <v>2173</v>
      </c>
      <c r="T89" s="238">
        <v>7774</v>
      </c>
    </row>
    <row r="90" spans="1:20">
      <c r="A90" s="50">
        <v>91008</v>
      </c>
      <c r="B90" s="51" t="s">
        <v>805</v>
      </c>
      <c r="C90" s="239">
        <v>1.3909999999999999E-4</v>
      </c>
      <c r="D90" s="239">
        <v>1.236E-4</v>
      </c>
      <c r="E90" s="190">
        <v>329993</v>
      </c>
      <c r="F90" s="190" t="s">
        <v>1930</v>
      </c>
      <c r="G90" s="237">
        <v>50910</v>
      </c>
      <c r="H90" s="225">
        <v>45298</v>
      </c>
      <c r="I90" s="237">
        <v>87567</v>
      </c>
      <c r="J90" s="236">
        <v>36233</v>
      </c>
      <c r="K90" s="93">
        <f t="shared" si="2"/>
        <v>220008</v>
      </c>
      <c r="L90" s="52"/>
      <c r="M90" s="237">
        <v>1708</v>
      </c>
      <c r="N90" s="237">
        <v>0</v>
      </c>
      <c r="O90" s="236">
        <v>0</v>
      </c>
      <c r="P90" s="93">
        <f t="shared" si="3"/>
        <v>1708</v>
      </c>
      <c r="Q90" s="52"/>
      <c r="R90" s="237">
        <v>91663</v>
      </c>
      <c r="S90" s="236">
        <v>21688</v>
      </c>
      <c r="T90" s="238">
        <v>113351</v>
      </c>
    </row>
    <row r="91" spans="1:20">
      <c r="A91" s="50">
        <v>91009</v>
      </c>
      <c r="B91" s="51" t="s">
        <v>806</v>
      </c>
      <c r="C91" s="239">
        <v>1.59E-5</v>
      </c>
      <c r="D91" s="239">
        <v>1.7499999999999998E-5</v>
      </c>
      <c r="E91" s="190">
        <v>37720</v>
      </c>
      <c r="F91" s="190" t="s">
        <v>1930</v>
      </c>
      <c r="G91" s="237">
        <v>5819</v>
      </c>
      <c r="H91" s="225">
        <v>5178</v>
      </c>
      <c r="I91" s="237">
        <v>10009</v>
      </c>
      <c r="J91" s="236">
        <v>5304</v>
      </c>
      <c r="K91" s="93">
        <f t="shared" si="2"/>
        <v>26310</v>
      </c>
      <c r="L91" s="52"/>
      <c r="M91" s="237">
        <v>195</v>
      </c>
      <c r="N91" s="237">
        <v>0</v>
      </c>
      <c r="O91" s="236">
        <v>1101</v>
      </c>
      <c r="P91" s="93">
        <f t="shared" si="3"/>
        <v>1296</v>
      </c>
      <c r="Q91" s="52"/>
      <c r="R91" s="237">
        <v>10478</v>
      </c>
      <c r="S91" s="236">
        <v>660</v>
      </c>
      <c r="T91" s="238">
        <v>11138</v>
      </c>
    </row>
    <row r="92" spans="1:20">
      <c r="A92" s="50">
        <v>91010</v>
      </c>
      <c r="B92" s="51" t="s">
        <v>2167</v>
      </c>
      <c r="C92" s="239">
        <v>5.8699999999999997E-5</v>
      </c>
      <c r="D92" s="239">
        <v>7.0099999999999996E-5</v>
      </c>
      <c r="E92" s="190">
        <v>139256</v>
      </c>
      <c r="F92" s="190" t="s">
        <v>1930</v>
      </c>
      <c r="G92" s="237">
        <v>21484</v>
      </c>
      <c r="H92" s="225">
        <v>19115</v>
      </c>
      <c r="I92" s="237">
        <v>36953</v>
      </c>
      <c r="J92" s="236">
        <v>2787</v>
      </c>
      <c r="K92" s="93">
        <f t="shared" si="2"/>
        <v>80339</v>
      </c>
      <c r="L92" s="52"/>
      <c r="M92" s="237">
        <v>721</v>
      </c>
      <c r="N92" s="237">
        <v>0</v>
      </c>
      <c r="O92" s="236">
        <v>6905</v>
      </c>
      <c r="P92" s="93">
        <f t="shared" si="3"/>
        <v>7626</v>
      </c>
      <c r="Q92" s="52"/>
      <c r="R92" s="237">
        <v>38682</v>
      </c>
      <c r="S92" s="236">
        <v>3034</v>
      </c>
      <c r="T92" s="238">
        <v>41716</v>
      </c>
    </row>
    <row r="93" spans="1:20">
      <c r="A93" s="50">
        <v>91011</v>
      </c>
      <c r="B93" s="51" t="s">
        <v>808</v>
      </c>
      <c r="C93" s="239">
        <v>3.6509999999999998E-4</v>
      </c>
      <c r="D93" s="239">
        <v>3.5760000000000002E-4</v>
      </c>
      <c r="E93" s="190">
        <v>866142</v>
      </c>
      <c r="F93" s="190" t="s">
        <v>1930</v>
      </c>
      <c r="G93" s="237">
        <v>133625</v>
      </c>
      <c r="H93" s="225">
        <v>118896</v>
      </c>
      <c r="I93" s="237">
        <v>229841</v>
      </c>
      <c r="J93" s="236">
        <v>27536</v>
      </c>
      <c r="K93" s="93">
        <f t="shared" si="2"/>
        <v>509898</v>
      </c>
      <c r="L93" s="52"/>
      <c r="M93" s="237">
        <v>4484</v>
      </c>
      <c r="N93" s="237">
        <v>0</v>
      </c>
      <c r="O93" s="236">
        <v>1497</v>
      </c>
      <c r="P93" s="93">
        <f t="shared" si="3"/>
        <v>5981</v>
      </c>
      <c r="Q93" s="52"/>
      <c r="R93" s="237">
        <v>240591</v>
      </c>
      <c r="S93" s="236">
        <v>15734</v>
      </c>
      <c r="T93" s="238">
        <v>256325</v>
      </c>
    </row>
    <row r="94" spans="1:20">
      <c r="A94" s="50">
        <v>91012</v>
      </c>
      <c r="B94" s="51" t="s">
        <v>809</v>
      </c>
      <c r="C94" s="239">
        <v>1.42E-5</v>
      </c>
      <c r="D94" s="239">
        <v>1.9300000000000002E-5</v>
      </c>
      <c r="E94" s="190">
        <v>33687</v>
      </c>
      <c r="F94" s="190" t="s">
        <v>1930</v>
      </c>
      <c r="G94" s="237">
        <v>5197</v>
      </c>
      <c r="H94" s="225">
        <v>4624</v>
      </c>
      <c r="I94" s="237">
        <v>8939</v>
      </c>
      <c r="J94" s="236">
        <v>3786</v>
      </c>
      <c r="K94" s="93">
        <f t="shared" si="2"/>
        <v>22546</v>
      </c>
      <c r="L94" s="52"/>
      <c r="M94" s="237">
        <v>174</v>
      </c>
      <c r="N94" s="237">
        <v>0</v>
      </c>
      <c r="O94" s="236">
        <v>3306</v>
      </c>
      <c r="P94" s="93">
        <f t="shared" si="3"/>
        <v>3480</v>
      </c>
      <c r="Q94" s="52"/>
      <c r="R94" s="237">
        <v>9357</v>
      </c>
      <c r="S94" s="236">
        <v>-1418</v>
      </c>
      <c r="T94" s="238">
        <v>7939</v>
      </c>
    </row>
    <row r="95" spans="1:20">
      <c r="A95" s="50">
        <v>91013</v>
      </c>
      <c r="B95" s="51" t="s">
        <v>810</v>
      </c>
      <c r="C95" s="239">
        <v>1.9899999999999999E-5</v>
      </c>
      <c r="D95" s="239">
        <v>2.34E-5</v>
      </c>
      <c r="E95" s="190">
        <v>47210</v>
      </c>
      <c r="F95" s="190" t="s">
        <v>1930</v>
      </c>
      <c r="G95" s="237">
        <v>7283</v>
      </c>
      <c r="H95" s="225">
        <v>6481</v>
      </c>
      <c r="I95" s="237">
        <v>12528</v>
      </c>
      <c r="J95" s="236">
        <v>39132</v>
      </c>
      <c r="K95" s="93">
        <f t="shared" si="2"/>
        <v>65424</v>
      </c>
      <c r="L95" s="52"/>
      <c r="M95" s="237">
        <v>244</v>
      </c>
      <c r="N95" s="237">
        <v>0</v>
      </c>
      <c r="O95" s="236">
        <v>0</v>
      </c>
      <c r="P95" s="93">
        <f t="shared" si="3"/>
        <v>244</v>
      </c>
      <c r="Q95" s="52"/>
      <c r="R95" s="237">
        <v>13114</v>
      </c>
      <c r="S95" s="236">
        <v>13739</v>
      </c>
      <c r="T95" s="238">
        <v>26853</v>
      </c>
    </row>
    <row r="96" spans="1:20">
      <c r="A96" s="50">
        <v>91014</v>
      </c>
      <c r="B96" s="51" t="s">
        <v>2168</v>
      </c>
      <c r="C96" s="239">
        <v>2.02E-4</v>
      </c>
      <c r="D96" s="239">
        <v>2.22E-4</v>
      </c>
      <c r="E96" s="190">
        <v>479213</v>
      </c>
      <c r="F96" s="190" t="s">
        <v>1930</v>
      </c>
      <c r="G96" s="237">
        <v>73931</v>
      </c>
      <c r="H96" s="225">
        <v>65782</v>
      </c>
      <c r="I96" s="237">
        <v>127165</v>
      </c>
      <c r="J96" s="236">
        <v>986</v>
      </c>
      <c r="K96" s="93">
        <f t="shared" si="2"/>
        <v>267864</v>
      </c>
      <c r="L96" s="52"/>
      <c r="M96" s="237">
        <v>2481</v>
      </c>
      <c r="N96" s="237">
        <v>0</v>
      </c>
      <c r="O96" s="236">
        <v>19420</v>
      </c>
      <c r="P96" s="93">
        <f t="shared" si="3"/>
        <v>21901</v>
      </c>
      <c r="Q96" s="52"/>
      <c r="R96" s="237">
        <v>133113</v>
      </c>
      <c r="S96" s="236">
        <v>-9738</v>
      </c>
      <c r="T96" s="238">
        <v>123375</v>
      </c>
    </row>
    <row r="97" spans="1:20" s="189" customFormat="1">
      <c r="A97" s="187">
        <v>91015</v>
      </c>
      <c r="B97" s="188" t="s">
        <v>1640</v>
      </c>
      <c r="C97" s="239">
        <v>1.9400000000000001E-5</v>
      </c>
      <c r="D97" s="239">
        <v>0</v>
      </c>
      <c r="E97" s="190">
        <v>46023</v>
      </c>
      <c r="F97" s="190" t="s">
        <v>1930</v>
      </c>
      <c r="G97" s="237">
        <v>7100</v>
      </c>
      <c r="H97" s="225">
        <v>6317</v>
      </c>
      <c r="I97" s="237">
        <v>12213</v>
      </c>
      <c r="J97" s="236">
        <v>20258</v>
      </c>
      <c r="K97" s="93">
        <f t="shared" si="2"/>
        <v>45888</v>
      </c>
      <c r="L97" s="186"/>
      <c r="M97" s="237">
        <v>238</v>
      </c>
      <c r="N97" s="237">
        <v>0</v>
      </c>
      <c r="O97" s="236">
        <v>0</v>
      </c>
      <c r="P97" s="93">
        <f t="shared" si="3"/>
        <v>238</v>
      </c>
      <c r="Q97" s="186"/>
      <c r="R97" s="237">
        <v>12784</v>
      </c>
      <c r="S97" s="236">
        <v>5064</v>
      </c>
      <c r="T97" s="238">
        <v>17848</v>
      </c>
    </row>
    <row r="98" spans="1:20">
      <c r="A98" s="50">
        <v>91017</v>
      </c>
      <c r="B98" s="51" t="s">
        <v>812</v>
      </c>
      <c r="C98" s="239">
        <v>2.3499999999999999E-5</v>
      </c>
      <c r="D98" s="239">
        <v>2.4300000000000001E-5</v>
      </c>
      <c r="E98" s="190">
        <v>55750</v>
      </c>
      <c r="F98" s="190" t="s">
        <v>1930</v>
      </c>
      <c r="G98" s="237">
        <v>8601</v>
      </c>
      <c r="H98" s="225">
        <v>7653</v>
      </c>
      <c r="I98" s="237">
        <v>14794</v>
      </c>
      <c r="J98" s="236">
        <v>6947</v>
      </c>
      <c r="K98" s="93">
        <f t="shared" si="2"/>
        <v>37995</v>
      </c>
      <c r="L98" s="52"/>
      <c r="M98" s="237">
        <v>289</v>
      </c>
      <c r="N98" s="237">
        <v>0</v>
      </c>
      <c r="O98" s="236">
        <v>0</v>
      </c>
      <c r="P98" s="93">
        <f t="shared" si="3"/>
        <v>289</v>
      </c>
      <c r="Q98" s="52"/>
      <c r="R98" s="237">
        <v>15486</v>
      </c>
      <c r="S98" s="236">
        <v>4203</v>
      </c>
      <c r="T98" s="238">
        <v>19689</v>
      </c>
    </row>
    <row r="99" spans="1:20">
      <c r="A99" s="50">
        <v>91020</v>
      </c>
      <c r="B99" s="51" t="s">
        <v>2169</v>
      </c>
      <c r="C99" s="239">
        <v>2.9200000000000002E-5</v>
      </c>
      <c r="D99" s="239">
        <v>2.27E-5</v>
      </c>
      <c r="E99" s="190">
        <v>69272</v>
      </c>
      <c r="F99" s="190" t="s">
        <v>1930</v>
      </c>
      <c r="G99" s="237">
        <v>10687</v>
      </c>
      <c r="H99" s="225">
        <v>9509</v>
      </c>
      <c r="I99" s="237">
        <v>18382</v>
      </c>
      <c r="J99" s="236">
        <v>6791</v>
      </c>
      <c r="K99" s="93">
        <f t="shared" si="2"/>
        <v>45369</v>
      </c>
      <c r="L99" s="52"/>
      <c r="M99" s="237">
        <v>359</v>
      </c>
      <c r="N99" s="237">
        <v>0</v>
      </c>
      <c r="O99" s="236">
        <v>170</v>
      </c>
      <c r="P99" s="93">
        <f t="shared" si="3"/>
        <v>529</v>
      </c>
      <c r="Q99" s="52"/>
      <c r="R99" s="237">
        <v>19242</v>
      </c>
      <c r="S99" s="236">
        <v>2303</v>
      </c>
      <c r="T99" s="238">
        <v>21545</v>
      </c>
    </row>
    <row r="100" spans="1:20">
      <c r="A100" s="50">
        <v>91021</v>
      </c>
      <c r="B100" s="51" t="s">
        <v>2170</v>
      </c>
      <c r="C100" s="239">
        <v>8.8009999999999998E-4</v>
      </c>
      <c r="D100" s="239">
        <v>8.6450000000000003E-4</v>
      </c>
      <c r="E100" s="190">
        <v>2087898</v>
      </c>
      <c r="F100" s="190" t="s">
        <v>1930</v>
      </c>
      <c r="G100" s="237">
        <v>322113</v>
      </c>
      <c r="H100" s="225">
        <v>286606</v>
      </c>
      <c r="I100" s="237">
        <v>554048</v>
      </c>
      <c r="J100" s="236">
        <v>16435</v>
      </c>
      <c r="K100" s="93">
        <f t="shared" si="2"/>
        <v>1179202</v>
      </c>
      <c r="L100" s="52"/>
      <c r="M100" s="237">
        <v>10809</v>
      </c>
      <c r="N100" s="237">
        <v>0</v>
      </c>
      <c r="O100" s="236">
        <v>34261</v>
      </c>
      <c r="P100" s="93">
        <f t="shared" si="3"/>
        <v>45070</v>
      </c>
      <c r="Q100" s="52"/>
      <c r="R100" s="237">
        <v>579962</v>
      </c>
      <c r="S100" s="236">
        <v>-44308</v>
      </c>
      <c r="T100" s="238">
        <v>535654</v>
      </c>
    </row>
    <row r="101" spans="1:20">
      <c r="A101" s="50">
        <v>91024</v>
      </c>
      <c r="B101" s="51" t="s">
        <v>2171</v>
      </c>
      <c r="C101" s="239">
        <v>9.3800000000000003E-5</v>
      </c>
      <c r="D101" s="239">
        <v>7.2999999999999999E-5</v>
      </c>
      <c r="E101" s="190">
        <v>222526</v>
      </c>
      <c r="F101" s="190" t="s">
        <v>1930</v>
      </c>
      <c r="G101" s="237">
        <v>34330</v>
      </c>
      <c r="H101" s="225">
        <v>30546</v>
      </c>
      <c r="I101" s="237">
        <v>59050</v>
      </c>
      <c r="J101" s="236">
        <v>29168</v>
      </c>
      <c r="K101" s="93">
        <f t="shared" si="2"/>
        <v>153094</v>
      </c>
      <c r="L101" s="52"/>
      <c r="M101" s="237">
        <v>1152</v>
      </c>
      <c r="N101" s="237">
        <v>0</v>
      </c>
      <c r="O101" s="236">
        <v>0</v>
      </c>
      <c r="P101" s="93">
        <f t="shared" si="3"/>
        <v>1152</v>
      </c>
      <c r="Q101" s="52"/>
      <c r="R101" s="237">
        <v>61812</v>
      </c>
      <c r="S101" s="236">
        <v>14801</v>
      </c>
      <c r="T101" s="238">
        <v>76613</v>
      </c>
    </row>
    <row r="102" spans="1:20">
      <c r="A102" s="50">
        <v>91026</v>
      </c>
      <c r="B102" s="51" t="s">
        <v>2172</v>
      </c>
      <c r="C102" s="239">
        <v>4.5599999999999997E-5</v>
      </c>
      <c r="D102" s="239">
        <v>4.18E-5</v>
      </c>
      <c r="E102" s="190">
        <v>108179</v>
      </c>
      <c r="F102" s="190" t="s">
        <v>1930</v>
      </c>
      <c r="G102" s="237">
        <v>16689</v>
      </c>
      <c r="H102" s="225">
        <v>14849</v>
      </c>
      <c r="I102" s="237">
        <v>28706</v>
      </c>
      <c r="J102" s="236">
        <v>42442</v>
      </c>
      <c r="K102" s="93">
        <f t="shared" si="2"/>
        <v>102686</v>
      </c>
      <c r="L102" s="52"/>
      <c r="M102" s="237">
        <v>560</v>
      </c>
      <c r="N102" s="237">
        <v>0</v>
      </c>
      <c r="O102" s="236">
        <v>0</v>
      </c>
      <c r="P102" s="93">
        <f t="shared" si="3"/>
        <v>560</v>
      </c>
      <c r="Q102" s="52"/>
      <c r="R102" s="237">
        <v>30049</v>
      </c>
      <c r="S102" s="236">
        <v>17241</v>
      </c>
      <c r="T102" s="238">
        <v>47290</v>
      </c>
    </row>
    <row r="103" spans="1:20">
      <c r="A103" s="50">
        <v>91027</v>
      </c>
      <c r="B103" s="51" t="s">
        <v>816</v>
      </c>
      <c r="C103" s="239">
        <v>1.6699999999999999E-5</v>
      </c>
      <c r="D103" s="239">
        <v>1.4E-5</v>
      </c>
      <c r="E103" s="190">
        <v>39618</v>
      </c>
      <c r="F103" s="190" t="s">
        <v>1930</v>
      </c>
      <c r="G103" s="237">
        <v>6112</v>
      </c>
      <c r="H103" s="225">
        <v>5439</v>
      </c>
      <c r="I103" s="237">
        <v>10513</v>
      </c>
      <c r="J103" s="236">
        <v>16743</v>
      </c>
      <c r="K103" s="93">
        <f t="shared" si="2"/>
        <v>38807</v>
      </c>
      <c r="L103" s="52"/>
      <c r="M103" s="237">
        <v>205</v>
      </c>
      <c r="N103" s="237">
        <v>0</v>
      </c>
      <c r="O103" s="236">
        <v>0</v>
      </c>
      <c r="P103" s="93">
        <f t="shared" si="3"/>
        <v>205</v>
      </c>
      <c r="Q103" s="52"/>
      <c r="R103" s="237">
        <v>11005</v>
      </c>
      <c r="S103" s="236">
        <v>8336</v>
      </c>
      <c r="T103" s="238">
        <v>19341</v>
      </c>
    </row>
    <row r="104" spans="1:20">
      <c r="A104" s="50">
        <v>91032</v>
      </c>
      <c r="B104" s="51" t="s">
        <v>2173</v>
      </c>
      <c r="C104" s="239">
        <v>1.6399999999999999E-5</v>
      </c>
      <c r="D104" s="239">
        <v>1.8E-5</v>
      </c>
      <c r="E104" s="190">
        <v>38906</v>
      </c>
      <c r="F104" s="190" t="s">
        <v>1930</v>
      </c>
      <c r="G104" s="237">
        <v>6002</v>
      </c>
      <c r="H104" s="225">
        <v>5341</v>
      </c>
      <c r="I104" s="237">
        <v>10324</v>
      </c>
      <c r="J104" s="236">
        <v>16497</v>
      </c>
      <c r="K104" s="93">
        <f t="shared" si="2"/>
        <v>38164</v>
      </c>
      <c r="L104" s="52"/>
      <c r="M104" s="237">
        <v>201</v>
      </c>
      <c r="N104" s="237">
        <v>0</v>
      </c>
      <c r="O104" s="236">
        <v>0</v>
      </c>
      <c r="P104" s="93">
        <f t="shared" si="3"/>
        <v>201</v>
      </c>
      <c r="Q104" s="52"/>
      <c r="R104" s="237">
        <v>10807</v>
      </c>
      <c r="S104" s="236">
        <v>8433</v>
      </c>
      <c r="T104" s="238">
        <v>19240</v>
      </c>
    </row>
    <row r="105" spans="1:20">
      <c r="A105" s="50">
        <v>91041</v>
      </c>
      <c r="B105" s="51" t="s">
        <v>2174</v>
      </c>
      <c r="C105" s="239">
        <v>4.373E-4</v>
      </c>
      <c r="D105" s="239">
        <v>4.0400000000000001E-4</v>
      </c>
      <c r="E105" s="190">
        <v>1037425</v>
      </c>
      <c r="F105" s="190" t="s">
        <v>1930</v>
      </c>
      <c r="G105" s="237">
        <v>160050</v>
      </c>
      <c r="H105" s="225">
        <v>142408</v>
      </c>
      <c r="I105" s="237">
        <v>275293</v>
      </c>
      <c r="J105" s="236">
        <v>0</v>
      </c>
      <c r="K105" s="93">
        <f t="shared" si="2"/>
        <v>577751</v>
      </c>
      <c r="L105" s="52"/>
      <c r="M105" s="237">
        <v>5370</v>
      </c>
      <c r="N105" s="237">
        <v>0</v>
      </c>
      <c r="O105" s="236">
        <v>74844</v>
      </c>
      <c r="P105" s="93">
        <f t="shared" si="3"/>
        <v>80214</v>
      </c>
      <c r="Q105" s="52"/>
      <c r="R105" s="237">
        <v>288169</v>
      </c>
      <c r="S105" s="236">
        <v>-40195</v>
      </c>
      <c r="T105" s="238">
        <v>247974</v>
      </c>
    </row>
    <row r="106" spans="1:20">
      <c r="A106" s="50">
        <v>91042</v>
      </c>
      <c r="B106" s="51" t="s">
        <v>819</v>
      </c>
      <c r="C106" s="239">
        <v>2.6630000000000002E-4</v>
      </c>
      <c r="D106" s="239">
        <v>2.3360000000000001E-4</v>
      </c>
      <c r="E106" s="190">
        <v>631755</v>
      </c>
      <c r="F106" s="190" t="s">
        <v>1930</v>
      </c>
      <c r="G106" s="237">
        <v>97465</v>
      </c>
      <c r="H106" s="225">
        <v>86722</v>
      </c>
      <c r="I106" s="237">
        <v>167643</v>
      </c>
      <c r="J106" s="236">
        <v>20600</v>
      </c>
      <c r="K106" s="93">
        <f t="shared" si="2"/>
        <v>372430</v>
      </c>
      <c r="L106" s="52"/>
      <c r="M106" s="237">
        <v>3270</v>
      </c>
      <c r="N106" s="237">
        <v>0</v>
      </c>
      <c r="O106" s="236">
        <v>4544</v>
      </c>
      <c r="P106" s="93">
        <f t="shared" si="3"/>
        <v>7814</v>
      </c>
      <c r="Q106" s="52"/>
      <c r="R106" s="237">
        <v>175485</v>
      </c>
      <c r="S106" s="236">
        <v>3567</v>
      </c>
      <c r="T106" s="238">
        <v>179052</v>
      </c>
    </row>
    <row r="107" spans="1:20">
      <c r="A107" s="50">
        <v>91047</v>
      </c>
      <c r="B107" s="51" t="s">
        <v>2175</v>
      </c>
      <c r="C107" s="239">
        <v>1.24E-5</v>
      </c>
      <c r="D107" s="239">
        <v>1.31E-5</v>
      </c>
      <c r="E107" s="190">
        <v>29417</v>
      </c>
      <c r="F107" s="190" t="s">
        <v>1930</v>
      </c>
      <c r="G107" s="237">
        <v>4538</v>
      </c>
      <c r="H107" s="225">
        <v>4038</v>
      </c>
      <c r="I107" s="237">
        <v>7806</v>
      </c>
      <c r="J107" s="236">
        <v>22020</v>
      </c>
      <c r="K107" s="93">
        <f t="shared" si="2"/>
        <v>38402</v>
      </c>
      <c r="L107" s="52"/>
      <c r="M107" s="237">
        <v>152</v>
      </c>
      <c r="N107" s="237">
        <v>0</v>
      </c>
      <c r="O107" s="236">
        <v>0</v>
      </c>
      <c r="P107" s="93">
        <f t="shared" si="3"/>
        <v>152</v>
      </c>
      <c r="Q107" s="52"/>
      <c r="R107" s="237">
        <v>8171</v>
      </c>
      <c r="S107" s="236">
        <v>9821</v>
      </c>
      <c r="T107" s="238">
        <v>17992</v>
      </c>
    </row>
    <row r="108" spans="1:20">
      <c r="A108" s="50">
        <v>91051</v>
      </c>
      <c r="B108" s="51" t="s">
        <v>2176</v>
      </c>
      <c r="C108" s="239">
        <v>6.7999999999999999E-5</v>
      </c>
      <c r="D108" s="239">
        <v>6.6400000000000001E-5</v>
      </c>
      <c r="E108" s="190">
        <v>161319</v>
      </c>
      <c r="F108" s="190" t="s">
        <v>1930</v>
      </c>
      <c r="G108" s="237">
        <v>24888</v>
      </c>
      <c r="H108" s="225">
        <v>22144</v>
      </c>
      <c r="I108" s="237">
        <v>42808</v>
      </c>
      <c r="J108" s="236">
        <v>1891</v>
      </c>
      <c r="K108" s="93">
        <f t="shared" si="2"/>
        <v>91731</v>
      </c>
      <c r="L108" s="52"/>
      <c r="M108" s="237">
        <v>835</v>
      </c>
      <c r="N108" s="237">
        <v>0</v>
      </c>
      <c r="O108" s="236">
        <v>5967</v>
      </c>
      <c r="P108" s="93">
        <f t="shared" si="3"/>
        <v>6802</v>
      </c>
      <c r="Q108" s="52"/>
      <c r="R108" s="237">
        <v>44810</v>
      </c>
      <c r="S108" s="236">
        <v>-1282</v>
      </c>
      <c r="T108" s="238">
        <v>43528</v>
      </c>
    </row>
    <row r="109" spans="1:20">
      <c r="A109" s="50">
        <v>91057</v>
      </c>
      <c r="B109" s="51" t="s">
        <v>822</v>
      </c>
      <c r="C109" s="239">
        <v>1.3699999999999999E-5</v>
      </c>
      <c r="D109" s="239">
        <v>1.4399999999999999E-5</v>
      </c>
      <c r="E109" s="190">
        <v>32501</v>
      </c>
      <c r="F109" s="190" t="s">
        <v>1930</v>
      </c>
      <c r="G109" s="237">
        <v>5014</v>
      </c>
      <c r="H109" s="225">
        <v>4461</v>
      </c>
      <c r="I109" s="237">
        <v>8625</v>
      </c>
      <c r="J109" s="236">
        <v>6313</v>
      </c>
      <c r="K109" s="93">
        <f t="shared" si="2"/>
        <v>24413</v>
      </c>
      <c r="L109" s="52"/>
      <c r="M109" s="237">
        <v>168</v>
      </c>
      <c r="N109" s="237">
        <v>0</v>
      </c>
      <c r="O109" s="236">
        <v>0</v>
      </c>
      <c r="P109" s="93">
        <f t="shared" si="3"/>
        <v>168</v>
      </c>
      <c r="Q109" s="52"/>
      <c r="R109" s="237">
        <v>9028</v>
      </c>
      <c r="S109" s="236">
        <v>2864</v>
      </c>
      <c r="T109" s="238">
        <v>11892</v>
      </c>
    </row>
    <row r="110" spans="1:20">
      <c r="A110" s="50">
        <v>91061</v>
      </c>
      <c r="B110" s="51" t="s">
        <v>2177</v>
      </c>
      <c r="C110" s="239">
        <v>3.657E-4</v>
      </c>
      <c r="D110" s="239">
        <v>4.104E-4</v>
      </c>
      <c r="E110" s="190">
        <v>867565</v>
      </c>
      <c r="F110" s="190" t="s">
        <v>1930</v>
      </c>
      <c r="G110" s="237">
        <v>133845</v>
      </c>
      <c r="H110" s="225">
        <v>119091</v>
      </c>
      <c r="I110" s="237">
        <v>230218</v>
      </c>
      <c r="J110" s="236">
        <v>13475</v>
      </c>
      <c r="K110" s="93">
        <f t="shared" si="2"/>
        <v>496629</v>
      </c>
      <c r="L110" s="52"/>
      <c r="M110" s="237">
        <v>4491</v>
      </c>
      <c r="N110" s="237">
        <v>0</v>
      </c>
      <c r="O110" s="236">
        <v>35188</v>
      </c>
      <c r="P110" s="93">
        <f t="shared" si="3"/>
        <v>39679</v>
      </c>
      <c r="Q110" s="52"/>
      <c r="R110" s="237">
        <v>240986</v>
      </c>
      <c r="S110" s="236">
        <v>-19918</v>
      </c>
      <c r="T110" s="238">
        <v>221068</v>
      </c>
    </row>
    <row r="111" spans="1:20">
      <c r="A111" s="50">
        <v>91067</v>
      </c>
      <c r="B111" s="51" t="s">
        <v>824</v>
      </c>
      <c r="C111" s="239">
        <v>1.6900000000000001E-5</v>
      </c>
      <c r="D111" s="239">
        <v>1.5699999999999999E-5</v>
      </c>
      <c r="E111" s="190">
        <v>40093</v>
      </c>
      <c r="F111" s="190" t="s">
        <v>1930</v>
      </c>
      <c r="G111" s="237">
        <v>6185</v>
      </c>
      <c r="H111" s="225">
        <v>5503</v>
      </c>
      <c r="I111" s="237">
        <v>10639</v>
      </c>
      <c r="J111" s="236">
        <v>2715</v>
      </c>
      <c r="K111" s="93">
        <f t="shared" si="2"/>
        <v>25042</v>
      </c>
      <c r="L111" s="52"/>
      <c r="M111" s="237">
        <v>208</v>
      </c>
      <c r="N111" s="237">
        <v>0</v>
      </c>
      <c r="O111" s="236">
        <v>305</v>
      </c>
      <c r="P111" s="93">
        <f t="shared" si="3"/>
        <v>513</v>
      </c>
      <c r="Q111" s="52"/>
      <c r="R111" s="237">
        <v>11137</v>
      </c>
      <c r="S111" s="236">
        <v>1543</v>
      </c>
      <c r="T111" s="238">
        <v>12680</v>
      </c>
    </row>
    <row r="112" spans="1:20">
      <c r="A112" s="50">
        <v>91071</v>
      </c>
      <c r="B112" s="51" t="s">
        <v>825</v>
      </c>
      <c r="C112" s="239">
        <v>2.354E-4</v>
      </c>
      <c r="D112" s="239">
        <v>2.2770000000000001E-4</v>
      </c>
      <c r="E112" s="190">
        <v>558449</v>
      </c>
      <c r="F112" s="190" t="s">
        <v>1930</v>
      </c>
      <c r="G112" s="237">
        <v>86155</v>
      </c>
      <c r="H112" s="225">
        <v>76659</v>
      </c>
      <c r="I112" s="237">
        <v>148191</v>
      </c>
      <c r="J112" s="236">
        <v>0</v>
      </c>
      <c r="K112" s="93">
        <f t="shared" si="2"/>
        <v>311005</v>
      </c>
      <c r="L112" s="52"/>
      <c r="M112" s="237">
        <v>2891</v>
      </c>
      <c r="N112" s="237">
        <v>0</v>
      </c>
      <c r="O112" s="236">
        <v>17112</v>
      </c>
      <c r="P112" s="93">
        <f t="shared" si="3"/>
        <v>20003</v>
      </c>
      <c r="Q112" s="52"/>
      <c r="R112" s="237">
        <v>155122</v>
      </c>
      <c r="S112" s="236">
        <v>2083</v>
      </c>
      <c r="T112" s="238">
        <v>157205</v>
      </c>
    </row>
    <row r="113" spans="1:20">
      <c r="A113" s="50">
        <v>91077</v>
      </c>
      <c r="B113" s="51" t="s">
        <v>826</v>
      </c>
      <c r="C113" s="239">
        <v>3.1E-6</v>
      </c>
      <c r="D113" s="239">
        <v>3.5999999999999998E-6</v>
      </c>
      <c r="E113" s="190">
        <v>7354</v>
      </c>
      <c r="F113" s="190" t="s">
        <v>1930</v>
      </c>
      <c r="G113" s="237">
        <v>1135</v>
      </c>
      <c r="H113" s="225">
        <v>1009</v>
      </c>
      <c r="I113" s="237">
        <v>1952</v>
      </c>
      <c r="J113" s="236">
        <v>1928</v>
      </c>
      <c r="K113" s="93">
        <f t="shared" si="2"/>
        <v>6024</v>
      </c>
      <c r="L113" s="52"/>
      <c r="M113" s="237">
        <v>38</v>
      </c>
      <c r="N113" s="237">
        <v>0</v>
      </c>
      <c r="O113" s="236">
        <v>0</v>
      </c>
      <c r="P113" s="93">
        <f t="shared" si="3"/>
        <v>38</v>
      </c>
      <c r="Q113" s="52"/>
      <c r="R113" s="237">
        <v>2043</v>
      </c>
      <c r="S113" s="236">
        <v>728</v>
      </c>
      <c r="T113" s="238">
        <v>2771</v>
      </c>
    </row>
    <row r="114" spans="1:20">
      <c r="A114" s="50">
        <v>91081</v>
      </c>
      <c r="B114" s="51" t="s">
        <v>2178</v>
      </c>
      <c r="C114" s="239">
        <v>3.8870000000000002E-4</v>
      </c>
      <c r="D114" s="239">
        <v>3.6240000000000003E-4</v>
      </c>
      <c r="E114" s="191">
        <v>922129</v>
      </c>
      <c r="F114" s="191" t="s">
        <v>1930</v>
      </c>
      <c r="G114" s="237">
        <v>142263</v>
      </c>
      <c r="H114" s="225">
        <v>126581</v>
      </c>
      <c r="I114" s="237">
        <v>244698</v>
      </c>
      <c r="J114" s="236">
        <v>20151</v>
      </c>
      <c r="K114" s="93">
        <f t="shared" si="2"/>
        <v>533693</v>
      </c>
      <c r="L114" s="52"/>
      <c r="M114" s="237">
        <v>4774</v>
      </c>
      <c r="N114" s="237">
        <v>0</v>
      </c>
      <c r="O114" s="236">
        <v>0</v>
      </c>
      <c r="P114" s="93">
        <f t="shared" si="3"/>
        <v>4774</v>
      </c>
      <c r="Q114" s="52"/>
      <c r="R114" s="237">
        <v>256143</v>
      </c>
      <c r="S114" s="236">
        <v>-8184</v>
      </c>
      <c r="T114" s="238">
        <v>247959</v>
      </c>
    </row>
    <row r="115" spans="1:20">
      <c r="A115" s="50">
        <v>91091</v>
      </c>
      <c r="B115" s="51" t="s">
        <v>2485</v>
      </c>
      <c r="C115" s="239">
        <v>5.0319999999999998E-4</v>
      </c>
      <c r="D115" s="239">
        <v>5.3790000000000001E-4</v>
      </c>
      <c r="E115" s="191">
        <v>1193762</v>
      </c>
      <c r="F115" s="191" t="s">
        <v>1930</v>
      </c>
      <c r="G115" s="237">
        <v>184169</v>
      </c>
      <c r="H115" s="225">
        <v>163868</v>
      </c>
      <c r="I115" s="237">
        <v>316778</v>
      </c>
      <c r="J115" s="236">
        <v>0</v>
      </c>
      <c r="K115" s="93">
        <f t="shared" si="2"/>
        <v>664815</v>
      </c>
      <c r="L115" s="52"/>
      <c r="M115" s="237">
        <v>6180</v>
      </c>
      <c r="N115" s="237">
        <v>0</v>
      </c>
      <c r="O115" s="236">
        <v>63597</v>
      </c>
      <c r="P115" s="93">
        <f t="shared" si="3"/>
        <v>69777</v>
      </c>
      <c r="Q115" s="52"/>
      <c r="R115" s="237">
        <v>331595</v>
      </c>
      <c r="S115" s="236">
        <v>-37735</v>
      </c>
      <c r="T115" s="238">
        <v>293860</v>
      </c>
    </row>
    <row r="116" spans="1:20">
      <c r="A116" s="50">
        <v>91101</v>
      </c>
      <c r="B116" s="51" t="s">
        <v>829</v>
      </c>
      <c r="C116" s="239">
        <v>1.3608800000000001E-2</v>
      </c>
      <c r="D116" s="239">
        <v>1.35581E-2</v>
      </c>
      <c r="E116" s="191">
        <v>32284728</v>
      </c>
      <c r="F116" s="191" t="s">
        <v>1930</v>
      </c>
      <c r="G116" s="237">
        <v>4980766</v>
      </c>
      <c r="H116" s="225">
        <v>4431733</v>
      </c>
      <c r="I116" s="237">
        <v>8567121</v>
      </c>
      <c r="J116" s="236">
        <v>153266</v>
      </c>
      <c r="K116" s="93">
        <f t="shared" si="2"/>
        <v>18132886</v>
      </c>
      <c r="L116" s="52"/>
      <c r="M116" s="237">
        <v>167130</v>
      </c>
      <c r="N116" s="237">
        <v>0</v>
      </c>
      <c r="O116" s="236">
        <v>611807</v>
      </c>
      <c r="P116" s="93">
        <f t="shared" si="3"/>
        <v>778937</v>
      </c>
      <c r="Q116" s="52"/>
      <c r="R116" s="237">
        <v>8967832</v>
      </c>
      <c r="S116" s="236">
        <v>97540</v>
      </c>
      <c r="T116" s="238">
        <v>9065372</v>
      </c>
    </row>
    <row r="117" spans="1:20">
      <c r="A117" s="50">
        <v>91102</v>
      </c>
      <c r="B117" s="51" t="s">
        <v>830</v>
      </c>
      <c r="C117" s="239">
        <v>3.2509999999999999E-4</v>
      </c>
      <c r="D117" s="239">
        <v>3.2919999999999998E-4</v>
      </c>
      <c r="E117" s="191">
        <v>771248</v>
      </c>
      <c r="F117" s="191" t="s">
        <v>1930</v>
      </c>
      <c r="G117" s="237">
        <v>118985</v>
      </c>
      <c r="H117" s="225">
        <v>105870</v>
      </c>
      <c r="I117" s="237">
        <v>204660</v>
      </c>
      <c r="J117" s="236">
        <v>24895</v>
      </c>
      <c r="K117" s="93">
        <f t="shared" si="2"/>
        <v>454410</v>
      </c>
      <c r="L117" s="52"/>
      <c r="M117" s="237">
        <v>3993</v>
      </c>
      <c r="N117" s="237">
        <v>0</v>
      </c>
      <c r="O117" s="236">
        <v>16541</v>
      </c>
      <c r="P117" s="93">
        <f t="shared" si="3"/>
        <v>20534</v>
      </c>
      <c r="Q117" s="52"/>
      <c r="R117" s="237">
        <v>214232</v>
      </c>
      <c r="S117" s="236">
        <v>-8634</v>
      </c>
      <c r="T117" s="238">
        <v>205598</v>
      </c>
    </row>
    <row r="118" spans="1:20">
      <c r="A118" s="50">
        <v>91104</v>
      </c>
      <c r="B118" s="51" t="s">
        <v>831</v>
      </c>
      <c r="C118" s="239">
        <v>6.9999999999999999E-6</v>
      </c>
      <c r="D118" s="239">
        <v>7.9000000000000006E-6</v>
      </c>
      <c r="E118" s="191">
        <v>16606</v>
      </c>
      <c r="F118" s="191" t="s">
        <v>1930</v>
      </c>
      <c r="G118" s="237">
        <v>2562</v>
      </c>
      <c r="H118" s="225">
        <v>2279</v>
      </c>
      <c r="I118" s="237">
        <v>4407</v>
      </c>
      <c r="J118" s="236">
        <v>4377</v>
      </c>
      <c r="K118" s="93">
        <f t="shared" si="2"/>
        <v>13625</v>
      </c>
      <c r="L118" s="52"/>
      <c r="M118" s="237">
        <v>86</v>
      </c>
      <c r="N118" s="237">
        <v>0</v>
      </c>
      <c r="O118" s="236">
        <v>0</v>
      </c>
      <c r="P118" s="93">
        <f t="shared" si="3"/>
        <v>86</v>
      </c>
      <c r="Q118" s="52"/>
      <c r="R118" s="237">
        <v>4613</v>
      </c>
      <c r="S118" s="236">
        <v>1311</v>
      </c>
      <c r="T118" s="238">
        <v>5924</v>
      </c>
    </row>
    <row r="119" spans="1:20">
      <c r="A119" s="50">
        <v>91107</v>
      </c>
      <c r="B119" s="51" t="s">
        <v>832</v>
      </c>
      <c r="C119" s="239">
        <v>5.8999999999999998E-5</v>
      </c>
      <c r="D119" s="239">
        <v>7.08E-5</v>
      </c>
      <c r="E119" s="191">
        <v>139968</v>
      </c>
      <c r="F119" s="191" t="s">
        <v>1930</v>
      </c>
      <c r="G119" s="237">
        <v>21594</v>
      </c>
      <c r="H119" s="225">
        <v>19214</v>
      </c>
      <c r="I119" s="237">
        <v>37142</v>
      </c>
      <c r="J119" s="236">
        <v>7995</v>
      </c>
      <c r="K119" s="93">
        <f t="shared" si="2"/>
        <v>85945</v>
      </c>
      <c r="L119" s="52"/>
      <c r="M119" s="237">
        <v>725</v>
      </c>
      <c r="N119" s="237">
        <v>0</v>
      </c>
      <c r="O119" s="236">
        <v>3010</v>
      </c>
      <c r="P119" s="93">
        <f t="shared" si="3"/>
        <v>3735</v>
      </c>
      <c r="Q119" s="52"/>
      <c r="R119" s="237">
        <v>38879</v>
      </c>
      <c r="S119" s="236">
        <v>4395</v>
      </c>
      <c r="T119" s="238">
        <v>43274</v>
      </c>
    </row>
    <row r="120" spans="1:20">
      <c r="A120" s="50">
        <v>91108</v>
      </c>
      <c r="B120" s="51" t="s">
        <v>833</v>
      </c>
      <c r="C120" s="239">
        <v>1.2019000000000001E-3</v>
      </c>
      <c r="D120" s="239">
        <v>1.2413999999999999E-3</v>
      </c>
      <c r="E120" s="191">
        <v>2851318</v>
      </c>
      <c r="F120" s="191" t="s">
        <v>1930</v>
      </c>
      <c r="G120" s="237">
        <v>439891</v>
      </c>
      <c r="H120" s="225">
        <v>391401</v>
      </c>
      <c r="I120" s="237">
        <v>756630</v>
      </c>
      <c r="J120" s="236">
        <v>64196</v>
      </c>
      <c r="K120" s="93">
        <f t="shared" si="2"/>
        <v>1652118</v>
      </c>
      <c r="L120" s="52"/>
      <c r="M120" s="237">
        <v>14761</v>
      </c>
      <c r="N120" s="237">
        <v>0</v>
      </c>
      <c r="O120" s="236">
        <v>0</v>
      </c>
      <c r="P120" s="93">
        <f t="shared" si="3"/>
        <v>14761</v>
      </c>
      <c r="Q120" s="52"/>
      <c r="R120" s="237">
        <v>792020</v>
      </c>
      <c r="S120" s="236">
        <v>40803</v>
      </c>
      <c r="T120" s="238">
        <v>832823</v>
      </c>
    </row>
    <row r="121" spans="1:20">
      <c r="A121" s="50">
        <v>91109</v>
      </c>
      <c r="B121" s="51" t="s">
        <v>834</v>
      </c>
      <c r="C121" s="239">
        <v>1E-4</v>
      </c>
      <c r="D121" s="239">
        <v>9.9599999999999995E-5</v>
      </c>
      <c r="E121" s="191">
        <v>237234</v>
      </c>
      <c r="F121" s="191" t="s">
        <v>1930</v>
      </c>
      <c r="G121" s="237">
        <v>36600</v>
      </c>
      <c r="H121" s="225">
        <v>32565</v>
      </c>
      <c r="I121" s="237">
        <v>62953</v>
      </c>
      <c r="J121" s="236">
        <v>7411</v>
      </c>
      <c r="K121" s="93">
        <f t="shared" si="2"/>
        <v>139529</v>
      </c>
      <c r="L121" s="52"/>
      <c r="M121" s="237">
        <v>1228</v>
      </c>
      <c r="N121" s="237">
        <v>0</v>
      </c>
      <c r="O121" s="236">
        <v>235</v>
      </c>
      <c r="P121" s="93">
        <f t="shared" si="3"/>
        <v>1463</v>
      </c>
      <c r="Q121" s="52"/>
      <c r="R121" s="237">
        <v>65897</v>
      </c>
      <c r="S121" s="236">
        <v>2068</v>
      </c>
      <c r="T121" s="238">
        <v>67965</v>
      </c>
    </row>
    <row r="122" spans="1:20">
      <c r="A122" s="50">
        <v>91111</v>
      </c>
      <c r="B122" s="51" t="s">
        <v>2179</v>
      </c>
      <c r="C122" s="239">
        <v>2.3499999999999999E-4</v>
      </c>
      <c r="D122" s="239">
        <v>2.2719999999999999E-4</v>
      </c>
      <c r="E122" s="191">
        <v>557500</v>
      </c>
      <c r="F122" s="191" t="s">
        <v>1930</v>
      </c>
      <c r="G122" s="237">
        <v>86009</v>
      </c>
      <c r="H122" s="225">
        <v>76528</v>
      </c>
      <c r="I122" s="237">
        <v>147939</v>
      </c>
      <c r="J122" s="236">
        <v>19329</v>
      </c>
      <c r="K122" s="93">
        <f t="shared" si="2"/>
        <v>329805</v>
      </c>
      <c r="L122" s="52"/>
      <c r="M122" s="237">
        <v>2886</v>
      </c>
      <c r="N122" s="237">
        <v>0</v>
      </c>
      <c r="O122" s="236">
        <v>0</v>
      </c>
      <c r="P122" s="93">
        <f t="shared" si="3"/>
        <v>2886</v>
      </c>
      <c r="Q122" s="52"/>
      <c r="R122" s="237">
        <v>154859</v>
      </c>
      <c r="S122" s="236">
        <v>11947</v>
      </c>
      <c r="T122" s="238">
        <v>166806</v>
      </c>
    </row>
    <row r="123" spans="1:20">
      <c r="A123" s="50">
        <v>91119</v>
      </c>
      <c r="B123" s="51" t="s">
        <v>48</v>
      </c>
      <c r="C123" s="239">
        <v>0</v>
      </c>
      <c r="D123" s="239">
        <v>0</v>
      </c>
      <c r="E123" s="191">
        <v>0</v>
      </c>
      <c r="F123" s="191" t="s">
        <v>1930</v>
      </c>
      <c r="G123" s="237">
        <v>0</v>
      </c>
      <c r="H123" s="225">
        <v>0</v>
      </c>
      <c r="I123" s="237">
        <v>0</v>
      </c>
      <c r="J123" s="236">
        <v>0</v>
      </c>
      <c r="K123" s="93">
        <f t="shared" si="2"/>
        <v>0</v>
      </c>
      <c r="L123" s="52"/>
      <c r="M123" s="237">
        <v>0</v>
      </c>
      <c r="N123" s="237">
        <v>0</v>
      </c>
      <c r="O123" s="236">
        <v>0</v>
      </c>
      <c r="P123" s="93">
        <f t="shared" si="3"/>
        <v>0</v>
      </c>
      <c r="Q123" s="52"/>
      <c r="R123" s="237">
        <v>0</v>
      </c>
      <c r="S123" s="236">
        <v>-321091</v>
      </c>
      <c r="T123" s="238">
        <v>-321091</v>
      </c>
    </row>
    <row r="124" spans="1:20">
      <c r="A124" s="50">
        <v>91120</v>
      </c>
      <c r="B124" s="51" t="s">
        <v>836</v>
      </c>
      <c r="C124" s="239">
        <v>1.2679999999999999E-4</v>
      </c>
      <c r="D124" s="239">
        <v>1.3019999999999999E-4</v>
      </c>
      <c r="E124" s="191">
        <v>300813</v>
      </c>
      <c r="F124" s="191" t="s">
        <v>1930</v>
      </c>
      <c r="G124" s="237">
        <v>46408</v>
      </c>
      <c r="H124" s="225">
        <v>41293</v>
      </c>
      <c r="I124" s="237">
        <v>79824</v>
      </c>
      <c r="J124" s="236">
        <v>0</v>
      </c>
      <c r="K124" s="93">
        <f t="shared" si="2"/>
        <v>167525</v>
      </c>
      <c r="L124" s="52"/>
      <c r="M124" s="237">
        <v>1557</v>
      </c>
      <c r="N124" s="237">
        <v>0</v>
      </c>
      <c r="O124" s="236">
        <v>20743</v>
      </c>
      <c r="P124" s="93">
        <f t="shared" si="3"/>
        <v>22300</v>
      </c>
      <c r="Q124" s="52"/>
      <c r="R124" s="237">
        <v>83558</v>
      </c>
      <c r="S124" s="236">
        <v>-14819</v>
      </c>
      <c r="T124" s="238">
        <v>68739</v>
      </c>
    </row>
    <row r="125" spans="1:20">
      <c r="A125" s="50">
        <v>91121</v>
      </c>
      <c r="B125" s="51" t="s">
        <v>837</v>
      </c>
      <c r="C125" s="239">
        <v>1.02925E-2</v>
      </c>
      <c r="D125" s="239">
        <v>9.9927999999999996E-3</v>
      </c>
      <c r="E125" s="191">
        <v>24417330</v>
      </c>
      <c r="F125" s="191" t="s">
        <v>1930</v>
      </c>
      <c r="G125" s="237">
        <v>3767014</v>
      </c>
      <c r="H125" s="225">
        <v>3351774</v>
      </c>
      <c r="I125" s="237">
        <v>6479417</v>
      </c>
      <c r="J125" s="236">
        <v>0</v>
      </c>
      <c r="K125" s="93">
        <f t="shared" si="2"/>
        <v>13598205</v>
      </c>
      <c r="L125" s="52"/>
      <c r="M125" s="237">
        <v>126402</v>
      </c>
      <c r="N125" s="237">
        <v>0</v>
      </c>
      <c r="O125" s="236">
        <v>408831</v>
      </c>
      <c r="P125" s="93">
        <f t="shared" si="3"/>
        <v>535233</v>
      </c>
      <c r="Q125" s="52"/>
      <c r="R125" s="237">
        <v>6782480</v>
      </c>
      <c r="S125" s="236">
        <v>-342903</v>
      </c>
      <c r="T125" s="238">
        <v>6439577</v>
      </c>
    </row>
    <row r="126" spans="1:20">
      <c r="A126" s="50">
        <v>91127</v>
      </c>
      <c r="B126" s="51" t="s">
        <v>838</v>
      </c>
      <c r="C126" s="239">
        <v>2.8370000000000001E-4</v>
      </c>
      <c r="D126" s="239">
        <v>2.6879999999999997E-4</v>
      </c>
      <c r="E126" s="191">
        <v>673033</v>
      </c>
      <c r="F126" s="191" t="s">
        <v>1930</v>
      </c>
      <c r="G126" s="237">
        <v>103833</v>
      </c>
      <c r="H126" s="225">
        <v>92387</v>
      </c>
      <c r="I126" s="237">
        <v>178597</v>
      </c>
      <c r="J126" s="236">
        <v>49510</v>
      </c>
      <c r="K126" s="93">
        <f t="shared" si="2"/>
        <v>424327</v>
      </c>
      <c r="L126" s="52"/>
      <c r="M126" s="237">
        <v>3484</v>
      </c>
      <c r="N126" s="237">
        <v>0</v>
      </c>
      <c r="O126" s="236">
        <v>0</v>
      </c>
      <c r="P126" s="93">
        <f t="shared" si="3"/>
        <v>3484</v>
      </c>
      <c r="Q126" s="52"/>
      <c r="R126" s="237">
        <v>186951</v>
      </c>
      <c r="S126" s="236">
        <v>31849</v>
      </c>
      <c r="T126" s="238">
        <v>218800</v>
      </c>
    </row>
    <row r="127" spans="1:20">
      <c r="A127" s="50">
        <v>91128</v>
      </c>
      <c r="B127" s="51" t="s">
        <v>839</v>
      </c>
      <c r="C127" s="239">
        <v>5.1060000000000005E-4</v>
      </c>
      <c r="D127" s="239">
        <v>5.2380000000000005E-4</v>
      </c>
      <c r="E127" s="191">
        <v>1211318</v>
      </c>
      <c r="F127" s="191" t="s">
        <v>1930</v>
      </c>
      <c r="G127" s="237">
        <v>186878</v>
      </c>
      <c r="H127" s="225">
        <v>166278</v>
      </c>
      <c r="I127" s="237">
        <v>321437</v>
      </c>
      <c r="J127" s="236">
        <v>9519</v>
      </c>
      <c r="K127" s="93">
        <f t="shared" si="2"/>
        <v>684112</v>
      </c>
      <c r="L127" s="52"/>
      <c r="M127" s="237">
        <v>6271</v>
      </c>
      <c r="N127" s="237">
        <v>0</v>
      </c>
      <c r="O127" s="236">
        <v>11235</v>
      </c>
      <c r="P127" s="93">
        <f t="shared" si="3"/>
        <v>17506</v>
      </c>
      <c r="Q127" s="52"/>
      <c r="R127" s="237">
        <v>336472</v>
      </c>
      <c r="S127" s="236">
        <v>-3424</v>
      </c>
      <c r="T127" s="238">
        <v>333048</v>
      </c>
    </row>
    <row r="128" spans="1:20">
      <c r="A128" s="50">
        <v>91138</v>
      </c>
      <c r="B128" s="51" t="s">
        <v>840</v>
      </c>
      <c r="C128" s="239">
        <v>4.8819999999999999E-4</v>
      </c>
      <c r="D128" s="239">
        <v>6.2629999999999999E-4</v>
      </c>
      <c r="E128" s="191">
        <v>1158177</v>
      </c>
      <c r="F128" s="191" t="s">
        <v>1930</v>
      </c>
      <c r="G128" s="237">
        <v>178679</v>
      </c>
      <c r="H128" s="225">
        <v>158983</v>
      </c>
      <c r="I128" s="237">
        <v>307336</v>
      </c>
      <c r="J128" s="236">
        <v>0</v>
      </c>
      <c r="K128" s="93">
        <f t="shared" si="2"/>
        <v>644998</v>
      </c>
      <c r="L128" s="52"/>
      <c r="M128" s="237">
        <v>5996</v>
      </c>
      <c r="N128" s="237">
        <v>0</v>
      </c>
      <c r="O128" s="236">
        <v>212777</v>
      </c>
      <c r="P128" s="93">
        <f t="shared" si="3"/>
        <v>218773</v>
      </c>
      <c r="Q128" s="52"/>
      <c r="R128" s="237">
        <v>321711</v>
      </c>
      <c r="S128" s="236">
        <v>-81735</v>
      </c>
      <c r="T128" s="238">
        <v>239976</v>
      </c>
    </row>
    <row r="129" spans="1:20">
      <c r="A129" s="50">
        <v>91141</v>
      </c>
      <c r="B129" s="51" t="s">
        <v>2180</v>
      </c>
      <c r="C129" s="239">
        <v>5.5960000000000005E-4</v>
      </c>
      <c r="D129" s="239">
        <v>5.7569999999999995E-4</v>
      </c>
      <c r="E129" s="191">
        <v>1327563</v>
      </c>
      <c r="F129" s="191" t="s">
        <v>1930</v>
      </c>
      <c r="G129" s="237">
        <v>204811</v>
      </c>
      <c r="H129" s="225">
        <v>182235</v>
      </c>
      <c r="I129" s="237">
        <v>352284</v>
      </c>
      <c r="J129" s="236">
        <v>0</v>
      </c>
      <c r="K129" s="93">
        <f t="shared" si="2"/>
        <v>739330</v>
      </c>
      <c r="L129" s="52"/>
      <c r="M129" s="237">
        <v>6872</v>
      </c>
      <c r="N129" s="237">
        <v>0</v>
      </c>
      <c r="O129" s="236">
        <v>65730</v>
      </c>
      <c r="P129" s="93">
        <f t="shared" si="3"/>
        <v>72602</v>
      </c>
      <c r="Q129" s="52"/>
      <c r="R129" s="237">
        <v>368761</v>
      </c>
      <c r="S129" s="236">
        <v>-43880</v>
      </c>
      <c r="T129" s="238">
        <v>324881</v>
      </c>
    </row>
    <row r="130" spans="1:20">
      <c r="A130" s="50">
        <v>91147</v>
      </c>
      <c r="B130" s="51" t="s">
        <v>842</v>
      </c>
      <c r="C130" s="239">
        <v>2.87E-5</v>
      </c>
      <c r="D130" s="239">
        <v>2.6699999999999998E-5</v>
      </c>
      <c r="E130" s="191">
        <v>68086</v>
      </c>
      <c r="F130" s="191" t="s">
        <v>1930</v>
      </c>
      <c r="G130" s="237">
        <v>10504</v>
      </c>
      <c r="H130" s="225">
        <v>9346</v>
      </c>
      <c r="I130" s="237">
        <v>18067</v>
      </c>
      <c r="J130" s="236">
        <v>5905</v>
      </c>
      <c r="K130" s="93">
        <f t="shared" si="2"/>
        <v>43822</v>
      </c>
      <c r="L130" s="52"/>
      <c r="M130" s="237">
        <v>352</v>
      </c>
      <c r="N130" s="237">
        <v>0</v>
      </c>
      <c r="O130" s="236">
        <v>0</v>
      </c>
      <c r="P130" s="93">
        <f t="shared" si="3"/>
        <v>352</v>
      </c>
      <c r="Q130" s="52"/>
      <c r="R130" s="237">
        <v>18913</v>
      </c>
      <c r="S130" s="236">
        <v>4757</v>
      </c>
      <c r="T130" s="238">
        <v>23670</v>
      </c>
    </row>
    <row r="131" spans="1:20">
      <c r="A131" s="50">
        <v>91151</v>
      </c>
      <c r="B131" s="51" t="s">
        <v>2181</v>
      </c>
      <c r="C131" s="239">
        <v>6.2589999999999998E-4</v>
      </c>
      <c r="D131" s="239">
        <v>6.3409999999999996E-4</v>
      </c>
      <c r="E131" s="191">
        <v>1484849</v>
      </c>
      <c r="F131" s="191" t="s">
        <v>1930</v>
      </c>
      <c r="G131" s="237">
        <v>229077</v>
      </c>
      <c r="H131" s="225">
        <v>203826</v>
      </c>
      <c r="I131" s="237">
        <v>394022</v>
      </c>
      <c r="J131" s="236">
        <v>3112</v>
      </c>
      <c r="K131" s="93">
        <f t="shared" si="2"/>
        <v>830037</v>
      </c>
      <c r="L131" s="52"/>
      <c r="M131" s="237">
        <v>7687</v>
      </c>
      <c r="N131" s="237">
        <v>0</v>
      </c>
      <c r="O131" s="236">
        <v>68725</v>
      </c>
      <c r="P131" s="93">
        <f t="shared" si="3"/>
        <v>76412</v>
      </c>
      <c r="Q131" s="52"/>
      <c r="R131" s="237">
        <v>412451</v>
      </c>
      <c r="S131" s="236">
        <v>-24854</v>
      </c>
      <c r="T131" s="238">
        <v>387597</v>
      </c>
    </row>
    <row r="132" spans="1:20">
      <c r="A132" s="50">
        <v>91154</v>
      </c>
      <c r="B132" s="51" t="s">
        <v>844</v>
      </c>
      <c r="C132" s="239">
        <v>2.41E-5</v>
      </c>
      <c r="D132" s="239">
        <v>2.6299999999999999E-5</v>
      </c>
      <c r="E132" s="191">
        <v>57173</v>
      </c>
      <c r="F132" s="191" t="s">
        <v>1930</v>
      </c>
      <c r="G132" s="237">
        <v>8821</v>
      </c>
      <c r="H132" s="225">
        <v>7848</v>
      </c>
      <c r="I132" s="237">
        <v>15172</v>
      </c>
      <c r="J132" s="236">
        <v>4369</v>
      </c>
      <c r="K132" s="93">
        <f t="shared" si="2"/>
        <v>36210</v>
      </c>
      <c r="L132" s="52"/>
      <c r="M132" s="237">
        <v>296</v>
      </c>
      <c r="N132" s="237">
        <v>0</v>
      </c>
      <c r="O132" s="236">
        <v>2182</v>
      </c>
      <c r="P132" s="93">
        <f t="shared" si="3"/>
        <v>2478</v>
      </c>
      <c r="Q132" s="52"/>
      <c r="R132" s="237">
        <v>15881</v>
      </c>
      <c r="S132" s="236">
        <v>2411</v>
      </c>
      <c r="T132" s="238">
        <v>18292</v>
      </c>
    </row>
    <row r="133" spans="1:20">
      <c r="A133" s="50">
        <v>91161</v>
      </c>
      <c r="B133" s="51" t="s">
        <v>2182</v>
      </c>
      <c r="C133" s="239">
        <v>7.9699999999999999E-5</v>
      </c>
      <c r="D133" s="239">
        <v>9.2600000000000001E-5</v>
      </c>
      <c r="E133" s="191">
        <v>189076</v>
      </c>
      <c r="F133" s="191" t="s">
        <v>1930</v>
      </c>
      <c r="G133" s="237">
        <v>29170</v>
      </c>
      <c r="H133" s="225">
        <v>25954</v>
      </c>
      <c r="I133" s="237">
        <v>50173</v>
      </c>
      <c r="J133" s="236">
        <v>2466</v>
      </c>
      <c r="K133" s="93">
        <f t="shared" si="2"/>
        <v>107763</v>
      </c>
      <c r="L133" s="52"/>
      <c r="M133" s="237">
        <v>979</v>
      </c>
      <c r="N133" s="237">
        <v>0</v>
      </c>
      <c r="O133" s="236">
        <v>9902</v>
      </c>
      <c r="P133" s="93">
        <f t="shared" si="3"/>
        <v>10881</v>
      </c>
      <c r="Q133" s="52"/>
      <c r="R133" s="237">
        <v>52520</v>
      </c>
      <c r="S133" s="236">
        <v>-1236</v>
      </c>
      <c r="T133" s="238">
        <v>51284</v>
      </c>
    </row>
    <row r="134" spans="1:20">
      <c r="A134" s="50">
        <v>91171</v>
      </c>
      <c r="B134" s="51" t="s">
        <v>2183</v>
      </c>
      <c r="C134" s="239">
        <v>2.3790000000000001E-4</v>
      </c>
      <c r="D134" s="239">
        <v>1.95E-4</v>
      </c>
      <c r="E134" s="191">
        <v>564380</v>
      </c>
      <c r="F134" s="191" t="s">
        <v>1930</v>
      </c>
      <c r="G134" s="237">
        <v>87070</v>
      </c>
      <c r="H134" s="225">
        <v>77473</v>
      </c>
      <c r="I134" s="237">
        <v>149765</v>
      </c>
      <c r="J134" s="236">
        <v>24306</v>
      </c>
      <c r="K134" s="93">
        <f t="shared" si="2"/>
        <v>338614</v>
      </c>
      <c r="L134" s="52"/>
      <c r="M134" s="237">
        <v>2922</v>
      </c>
      <c r="N134" s="237">
        <v>0</v>
      </c>
      <c r="O134" s="236">
        <v>36666</v>
      </c>
      <c r="P134" s="93">
        <f t="shared" si="3"/>
        <v>39588</v>
      </c>
      <c r="Q134" s="52"/>
      <c r="R134" s="237">
        <v>156770</v>
      </c>
      <c r="S134" s="236">
        <v>-15275</v>
      </c>
      <c r="T134" s="238">
        <v>141495</v>
      </c>
    </row>
    <row r="135" spans="1:20">
      <c r="A135" s="50">
        <v>91201</v>
      </c>
      <c r="B135" s="51" t="s">
        <v>847</v>
      </c>
      <c r="C135" s="239">
        <v>2.2587000000000002E-3</v>
      </c>
      <c r="D135" s="239">
        <v>2.2878E-3</v>
      </c>
      <c r="E135" s="191">
        <v>5358409</v>
      </c>
      <c r="F135" s="191" t="s">
        <v>1930</v>
      </c>
      <c r="G135" s="237">
        <v>826675</v>
      </c>
      <c r="H135" s="225">
        <v>735550</v>
      </c>
      <c r="I135" s="237">
        <v>1421915</v>
      </c>
      <c r="J135" s="236">
        <v>15312</v>
      </c>
      <c r="K135" s="93">
        <f t="shared" si="2"/>
        <v>2999452</v>
      </c>
      <c r="L135" s="52"/>
      <c r="M135" s="237">
        <v>27739</v>
      </c>
      <c r="N135" s="237">
        <v>0</v>
      </c>
      <c r="O135" s="236">
        <v>131332</v>
      </c>
      <c r="P135" s="93">
        <f t="shared" si="3"/>
        <v>159071</v>
      </c>
      <c r="Q135" s="52"/>
      <c r="R135" s="237">
        <v>1488422</v>
      </c>
      <c r="S135" s="236">
        <v>-15775</v>
      </c>
      <c r="T135" s="238">
        <v>1472647</v>
      </c>
    </row>
    <row r="136" spans="1:20">
      <c r="A136" s="50">
        <v>91202</v>
      </c>
      <c r="B136" s="51" t="s">
        <v>848</v>
      </c>
      <c r="C136" s="239">
        <v>1.9579999999999999E-4</v>
      </c>
      <c r="D136" s="239">
        <v>1.9330000000000001E-4</v>
      </c>
      <c r="E136" s="191">
        <v>464505</v>
      </c>
      <c r="F136" s="191" t="s">
        <v>1930</v>
      </c>
      <c r="G136" s="237">
        <v>71662</v>
      </c>
      <c r="H136" s="225">
        <v>63762</v>
      </c>
      <c r="I136" s="237">
        <v>123262</v>
      </c>
      <c r="J136" s="236">
        <v>19480</v>
      </c>
      <c r="K136" s="93">
        <f t="shared" si="2"/>
        <v>278166</v>
      </c>
      <c r="L136" s="52"/>
      <c r="M136" s="237">
        <v>2405</v>
      </c>
      <c r="N136" s="237">
        <v>0</v>
      </c>
      <c r="O136" s="236">
        <v>0</v>
      </c>
      <c r="P136" s="93">
        <f t="shared" si="3"/>
        <v>2405</v>
      </c>
      <c r="Q136" s="52"/>
      <c r="R136" s="237">
        <v>129027</v>
      </c>
      <c r="S136" s="236">
        <v>13312</v>
      </c>
      <c r="T136" s="238">
        <v>142339</v>
      </c>
    </row>
    <row r="137" spans="1:20">
      <c r="A137" s="50">
        <v>91203</v>
      </c>
      <c r="B137" s="51" t="s">
        <v>849</v>
      </c>
      <c r="C137" s="239">
        <v>2.3000000000000001E-4</v>
      </c>
      <c r="D137" s="239">
        <v>2.1939999999999999E-4</v>
      </c>
      <c r="E137" s="191">
        <v>545639</v>
      </c>
      <c r="F137" s="191" t="s">
        <v>1930</v>
      </c>
      <c r="G137" s="237">
        <v>84179</v>
      </c>
      <c r="H137" s="225">
        <v>74900</v>
      </c>
      <c r="I137" s="237">
        <v>144791</v>
      </c>
      <c r="J137" s="236">
        <v>39994</v>
      </c>
      <c r="K137" s="93">
        <f t="shared" si="2"/>
        <v>343864</v>
      </c>
      <c r="L137" s="52"/>
      <c r="M137" s="237">
        <v>2825</v>
      </c>
      <c r="N137" s="237">
        <v>0</v>
      </c>
      <c r="O137" s="236">
        <v>0</v>
      </c>
      <c r="P137" s="93">
        <f t="shared" si="3"/>
        <v>2825</v>
      </c>
      <c r="Q137" s="52"/>
      <c r="R137" s="237">
        <v>151564</v>
      </c>
      <c r="S137" s="236">
        <v>19261</v>
      </c>
      <c r="T137" s="238">
        <v>170825</v>
      </c>
    </row>
    <row r="138" spans="1:20">
      <c r="A138" s="50">
        <v>91206</v>
      </c>
      <c r="B138" s="51" t="s">
        <v>850</v>
      </c>
      <c r="C138" s="239">
        <v>9.0660000000000003E-4</v>
      </c>
      <c r="D138" s="239">
        <v>8.6450000000000003E-4</v>
      </c>
      <c r="E138" s="191">
        <v>2150765</v>
      </c>
      <c r="F138" s="191" t="s">
        <v>1930</v>
      </c>
      <c r="G138" s="237">
        <v>331812</v>
      </c>
      <c r="H138" s="225">
        <v>295237</v>
      </c>
      <c r="I138" s="237">
        <v>570730</v>
      </c>
      <c r="J138" s="236">
        <v>45439</v>
      </c>
      <c r="K138" s="93">
        <f t="shared" si="2"/>
        <v>1243218</v>
      </c>
      <c r="L138" s="52"/>
      <c r="M138" s="237">
        <v>11134</v>
      </c>
      <c r="N138" s="237">
        <v>0</v>
      </c>
      <c r="O138" s="236">
        <v>736</v>
      </c>
      <c r="P138" s="93">
        <f t="shared" si="3"/>
        <v>11870</v>
      </c>
      <c r="Q138" s="52"/>
      <c r="R138" s="237">
        <v>597425</v>
      </c>
      <c r="S138" s="236">
        <v>22732</v>
      </c>
      <c r="T138" s="238">
        <v>620157</v>
      </c>
    </row>
    <row r="139" spans="1:20">
      <c r="A139" s="50">
        <v>91208</v>
      </c>
      <c r="B139" s="51" t="s">
        <v>851</v>
      </c>
      <c r="C139" s="239">
        <v>1.3200000000000001E-5</v>
      </c>
      <c r="D139" s="239">
        <v>1.42E-5</v>
      </c>
      <c r="E139" s="191">
        <v>31315</v>
      </c>
      <c r="F139" s="191" t="s">
        <v>1930</v>
      </c>
      <c r="G139" s="237">
        <v>4831</v>
      </c>
      <c r="H139" s="225">
        <v>4299</v>
      </c>
      <c r="I139" s="237">
        <v>8310</v>
      </c>
      <c r="J139" s="236">
        <v>529</v>
      </c>
      <c r="K139" s="93">
        <f t="shared" ref="K139:K203" si="4">G139+H139+I139+J139</f>
        <v>17969</v>
      </c>
      <c r="L139" s="52"/>
      <c r="M139" s="237">
        <v>162</v>
      </c>
      <c r="N139" s="237">
        <v>0</v>
      </c>
      <c r="O139" s="236">
        <v>522</v>
      </c>
      <c r="P139" s="93">
        <f t="shared" ref="P139:P203" si="5">M139+N139+O139</f>
        <v>684</v>
      </c>
      <c r="Q139" s="52"/>
      <c r="R139" s="237">
        <v>8698</v>
      </c>
      <c r="S139" s="236">
        <v>3299</v>
      </c>
      <c r="T139" s="238">
        <v>11997</v>
      </c>
    </row>
    <row r="140" spans="1:20">
      <c r="A140" s="50">
        <v>91211</v>
      </c>
      <c r="B140" s="51" t="s">
        <v>2184</v>
      </c>
      <c r="C140" s="239">
        <v>4.526E-4</v>
      </c>
      <c r="D140" s="239">
        <v>4.5530000000000001E-4</v>
      </c>
      <c r="E140" s="191">
        <v>1073722</v>
      </c>
      <c r="F140" s="191" t="s">
        <v>1930</v>
      </c>
      <c r="G140" s="237">
        <v>165650</v>
      </c>
      <c r="H140" s="225">
        <v>147390</v>
      </c>
      <c r="I140" s="237">
        <v>284924</v>
      </c>
      <c r="J140" s="236">
        <v>3586</v>
      </c>
      <c r="K140" s="93">
        <f t="shared" si="4"/>
        <v>601550</v>
      </c>
      <c r="L140" s="52"/>
      <c r="M140" s="237">
        <v>5558</v>
      </c>
      <c r="N140" s="237">
        <v>0</v>
      </c>
      <c r="O140" s="236">
        <v>16402</v>
      </c>
      <c r="P140" s="93">
        <f t="shared" si="5"/>
        <v>21960</v>
      </c>
      <c r="Q140" s="52"/>
      <c r="R140" s="237">
        <v>298251</v>
      </c>
      <c r="S140" s="236">
        <v>-2389</v>
      </c>
      <c r="T140" s="238">
        <v>295862</v>
      </c>
    </row>
    <row r="141" spans="1:20">
      <c r="A141" s="50">
        <v>91213</v>
      </c>
      <c r="B141" s="51" t="s">
        <v>853</v>
      </c>
      <c r="C141" s="239">
        <v>2.4700000000000001E-5</v>
      </c>
      <c r="D141" s="239">
        <v>3.2499999999999997E-5</v>
      </c>
      <c r="E141" s="191">
        <v>58597</v>
      </c>
      <c r="F141" s="191" t="s">
        <v>1930</v>
      </c>
      <c r="G141" s="237">
        <v>9040</v>
      </c>
      <c r="H141" s="225">
        <v>8043</v>
      </c>
      <c r="I141" s="237">
        <v>15549</v>
      </c>
      <c r="J141" s="236">
        <v>0</v>
      </c>
      <c r="K141" s="93">
        <f t="shared" si="4"/>
        <v>32632</v>
      </c>
      <c r="L141" s="52"/>
      <c r="M141" s="237">
        <v>303</v>
      </c>
      <c r="N141" s="237">
        <v>0</v>
      </c>
      <c r="O141" s="236">
        <v>10895</v>
      </c>
      <c r="P141" s="93">
        <f t="shared" si="5"/>
        <v>11198</v>
      </c>
      <c r="Q141" s="52"/>
      <c r="R141" s="237">
        <v>16277</v>
      </c>
      <c r="S141" s="236">
        <v>-4124</v>
      </c>
      <c r="T141" s="238">
        <v>12153</v>
      </c>
    </row>
    <row r="142" spans="1:20">
      <c r="A142" s="50">
        <v>91214</v>
      </c>
      <c r="B142" s="51" t="s">
        <v>2185</v>
      </c>
      <c r="C142" s="239">
        <v>3.0499999999999999E-5</v>
      </c>
      <c r="D142" s="239">
        <v>2.9300000000000001E-5</v>
      </c>
      <c r="E142" s="191">
        <v>72356</v>
      </c>
      <c r="F142" s="191" t="s">
        <v>1930</v>
      </c>
      <c r="G142" s="237">
        <v>11163</v>
      </c>
      <c r="H142" s="225">
        <v>9932</v>
      </c>
      <c r="I142" s="237">
        <v>19201</v>
      </c>
      <c r="J142" s="236">
        <v>530</v>
      </c>
      <c r="K142" s="93">
        <f t="shared" si="4"/>
        <v>40826</v>
      </c>
      <c r="L142" s="52"/>
      <c r="M142" s="237">
        <v>375</v>
      </c>
      <c r="N142" s="237">
        <v>0</v>
      </c>
      <c r="O142" s="236">
        <v>4250</v>
      </c>
      <c r="P142" s="93">
        <f t="shared" si="5"/>
        <v>4625</v>
      </c>
      <c r="Q142" s="52"/>
      <c r="R142" s="237">
        <v>20099</v>
      </c>
      <c r="S142" s="236">
        <v>-694</v>
      </c>
      <c r="T142" s="238">
        <v>19405</v>
      </c>
    </row>
    <row r="143" spans="1:20">
      <c r="A143" s="50">
        <v>91217</v>
      </c>
      <c r="B143" s="51" t="s">
        <v>855</v>
      </c>
      <c r="C143" s="239">
        <v>1.77E-5</v>
      </c>
      <c r="D143" s="239">
        <v>2.8799999999999999E-5</v>
      </c>
      <c r="E143" s="191">
        <v>41990</v>
      </c>
      <c r="F143" s="191" t="s">
        <v>1930</v>
      </c>
      <c r="G143" s="237">
        <v>6478</v>
      </c>
      <c r="H143" s="225">
        <v>5764</v>
      </c>
      <c r="I143" s="237">
        <v>11143</v>
      </c>
      <c r="J143" s="236">
        <v>6480</v>
      </c>
      <c r="K143" s="93">
        <f t="shared" si="4"/>
        <v>29865</v>
      </c>
      <c r="L143" s="52"/>
      <c r="M143" s="237">
        <v>217</v>
      </c>
      <c r="N143" s="237">
        <v>0</v>
      </c>
      <c r="O143" s="236">
        <v>3242</v>
      </c>
      <c r="P143" s="93">
        <f t="shared" si="5"/>
        <v>3459</v>
      </c>
      <c r="Q143" s="52"/>
      <c r="R143" s="237">
        <v>11664</v>
      </c>
      <c r="S143" s="236">
        <v>3494</v>
      </c>
      <c r="T143" s="238">
        <v>15158</v>
      </c>
    </row>
    <row r="144" spans="1:20">
      <c r="A144" s="50">
        <v>91221</v>
      </c>
      <c r="B144" s="51" t="s">
        <v>2186</v>
      </c>
      <c r="C144" s="239">
        <v>1.2329999999999999E-4</v>
      </c>
      <c r="D144" s="239">
        <v>1.3359999999999999E-4</v>
      </c>
      <c r="E144" s="191">
        <v>292510</v>
      </c>
      <c r="F144" s="191" t="s">
        <v>1930</v>
      </c>
      <c r="G144" s="237">
        <v>45127</v>
      </c>
      <c r="H144" s="225">
        <v>40153</v>
      </c>
      <c r="I144" s="237">
        <v>77621</v>
      </c>
      <c r="J144" s="236">
        <v>981</v>
      </c>
      <c r="K144" s="93">
        <f t="shared" si="4"/>
        <v>163882</v>
      </c>
      <c r="L144" s="52"/>
      <c r="M144" s="237">
        <v>1514</v>
      </c>
      <c r="N144" s="237">
        <v>0</v>
      </c>
      <c r="O144" s="236">
        <v>13939</v>
      </c>
      <c r="P144" s="93">
        <f t="shared" si="5"/>
        <v>15453</v>
      </c>
      <c r="Q144" s="52"/>
      <c r="R144" s="237">
        <v>81251</v>
      </c>
      <c r="S144" s="236">
        <v>-1021</v>
      </c>
      <c r="T144" s="238">
        <v>80230</v>
      </c>
    </row>
    <row r="145" spans="1:20">
      <c r="A145" s="50">
        <v>91231</v>
      </c>
      <c r="B145" s="51" t="s">
        <v>857</v>
      </c>
      <c r="C145" s="239">
        <v>1.8527000000000001E-3</v>
      </c>
      <c r="D145" s="239">
        <v>1.8856000000000001E-3</v>
      </c>
      <c r="E145" s="191">
        <v>4395238</v>
      </c>
      <c r="F145" s="191" t="s">
        <v>1930</v>
      </c>
      <c r="G145" s="237">
        <v>678081</v>
      </c>
      <c r="H145" s="225">
        <v>603336</v>
      </c>
      <c r="I145" s="237">
        <v>1166327</v>
      </c>
      <c r="J145" s="236">
        <v>0</v>
      </c>
      <c r="K145" s="93">
        <f t="shared" si="4"/>
        <v>2447744</v>
      </c>
      <c r="L145" s="52"/>
      <c r="M145" s="237">
        <v>22753</v>
      </c>
      <c r="N145" s="237">
        <v>0</v>
      </c>
      <c r="O145" s="236">
        <v>112717</v>
      </c>
      <c r="P145" s="93">
        <f t="shared" si="5"/>
        <v>135470</v>
      </c>
      <c r="Q145" s="52"/>
      <c r="R145" s="237">
        <v>1220879</v>
      </c>
      <c r="S145" s="236">
        <v>-37802</v>
      </c>
      <c r="T145" s="238">
        <v>1183077</v>
      </c>
    </row>
    <row r="146" spans="1:20">
      <c r="A146" s="50">
        <v>91233</v>
      </c>
      <c r="B146" s="51" t="s">
        <v>858</v>
      </c>
      <c r="C146" s="239">
        <v>5.3499999999999999E-5</v>
      </c>
      <c r="D146" s="239">
        <v>5.8100000000000003E-5</v>
      </c>
      <c r="E146" s="191">
        <v>126920</v>
      </c>
      <c r="F146" s="191" t="s">
        <v>1930</v>
      </c>
      <c r="G146" s="237">
        <v>19581</v>
      </c>
      <c r="H146" s="225">
        <v>17422</v>
      </c>
      <c r="I146" s="237">
        <v>33680</v>
      </c>
      <c r="J146" s="236">
        <v>5224</v>
      </c>
      <c r="K146" s="93">
        <f t="shared" si="4"/>
        <v>75907</v>
      </c>
      <c r="L146" s="52"/>
      <c r="M146" s="237">
        <v>657</v>
      </c>
      <c r="N146" s="237">
        <v>0</v>
      </c>
      <c r="O146" s="236">
        <v>6405</v>
      </c>
      <c r="P146" s="93">
        <f t="shared" si="5"/>
        <v>7062</v>
      </c>
      <c r="Q146" s="52"/>
      <c r="R146" s="237">
        <v>35255</v>
      </c>
      <c r="S146" s="236">
        <v>2697</v>
      </c>
      <c r="T146" s="238">
        <v>37952</v>
      </c>
    </row>
    <row r="147" spans="1:20">
      <c r="A147" s="50">
        <v>91241</v>
      </c>
      <c r="B147" s="51" t="s">
        <v>2187</v>
      </c>
      <c r="C147" s="239">
        <v>4.3099999999999997E-5</v>
      </c>
      <c r="D147" s="239">
        <v>3.5500000000000002E-5</v>
      </c>
      <c r="E147" s="191">
        <v>102248</v>
      </c>
      <c r="F147" s="191" t="s">
        <v>1930</v>
      </c>
      <c r="G147" s="237">
        <v>15774</v>
      </c>
      <c r="H147" s="225">
        <v>14035</v>
      </c>
      <c r="I147" s="237">
        <v>27133</v>
      </c>
      <c r="J147" s="236">
        <v>11777</v>
      </c>
      <c r="K147" s="93">
        <f t="shared" si="4"/>
        <v>68719</v>
      </c>
      <c r="L147" s="52"/>
      <c r="M147" s="237">
        <v>529</v>
      </c>
      <c r="N147" s="237">
        <v>0</v>
      </c>
      <c r="O147" s="236">
        <v>1842</v>
      </c>
      <c r="P147" s="93">
        <f t="shared" si="5"/>
        <v>2371</v>
      </c>
      <c r="Q147" s="52"/>
      <c r="R147" s="237">
        <v>28402</v>
      </c>
      <c r="S147" s="236">
        <v>394</v>
      </c>
      <c r="T147" s="238">
        <v>28796</v>
      </c>
    </row>
    <row r="148" spans="1:20">
      <c r="A148" s="50">
        <v>91251</v>
      </c>
      <c r="B148" s="51" t="s">
        <v>2188</v>
      </c>
      <c r="C148" s="239">
        <v>2.9499999999999999E-5</v>
      </c>
      <c r="D148" s="239">
        <v>1.9899999999999999E-5</v>
      </c>
      <c r="E148" s="191">
        <v>69984</v>
      </c>
      <c r="F148" s="191" t="s">
        <v>1930</v>
      </c>
      <c r="G148" s="237">
        <v>10797</v>
      </c>
      <c r="H148" s="225">
        <v>9607</v>
      </c>
      <c r="I148" s="237">
        <v>18571</v>
      </c>
      <c r="J148" s="236">
        <v>9082</v>
      </c>
      <c r="K148" s="93">
        <f t="shared" si="4"/>
        <v>48057</v>
      </c>
      <c r="L148" s="52"/>
      <c r="M148" s="237">
        <v>362</v>
      </c>
      <c r="N148" s="237">
        <v>0</v>
      </c>
      <c r="O148" s="236">
        <v>2515</v>
      </c>
      <c r="P148" s="93">
        <f t="shared" si="5"/>
        <v>2877</v>
      </c>
      <c r="Q148" s="52"/>
      <c r="R148" s="237">
        <v>19440</v>
      </c>
      <c r="S148" s="236">
        <v>3588</v>
      </c>
      <c r="T148" s="238">
        <v>23028</v>
      </c>
    </row>
    <row r="149" spans="1:20">
      <c r="A149" s="50">
        <v>91261</v>
      </c>
      <c r="B149" s="51" t="s">
        <v>2189</v>
      </c>
      <c r="C149" s="239">
        <v>1.06E-5</v>
      </c>
      <c r="D149" s="239">
        <v>1.03E-5</v>
      </c>
      <c r="E149" s="192">
        <v>25147</v>
      </c>
      <c r="F149" s="192" t="s">
        <v>1930</v>
      </c>
      <c r="G149" s="237">
        <v>3880</v>
      </c>
      <c r="H149" s="225">
        <v>3452</v>
      </c>
      <c r="I149" s="237">
        <v>6673</v>
      </c>
      <c r="J149" s="236">
        <v>939</v>
      </c>
      <c r="K149" s="93">
        <f t="shared" si="4"/>
        <v>14944</v>
      </c>
      <c r="L149" s="52"/>
      <c r="M149" s="237">
        <v>130</v>
      </c>
      <c r="N149" s="237">
        <v>0</v>
      </c>
      <c r="O149" s="236">
        <v>0</v>
      </c>
      <c r="P149" s="93">
        <f t="shared" si="5"/>
        <v>130</v>
      </c>
      <c r="Q149" s="52"/>
      <c r="R149" s="237">
        <v>6985</v>
      </c>
      <c r="S149" s="236">
        <v>848</v>
      </c>
      <c r="T149" s="238">
        <v>7833</v>
      </c>
    </row>
    <row r="150" spans="1:20">
      <c r="A150" s="50">
        <v>91301</v>
      </c>
      <c r="B150" s="51" t="s">
        <v>862</v>
      </c>
      <c r="C150" s="239">
        <v>7.7812000000000003E-3</v>
      </c>
      <c r="D150" s="239">
        <v>7.6985999999999999E-3</v>
      </c>
      <c r="E150" s="192">
        <v>18459668</v>
      </c>
      <c r="F150" s="192" t="s">
        <v>1930</v>
      </c>
      <c r="G150" s="237">
        <v>2847888</v>
      </c>
      <c r="H150" s="225">
        <v>2533963</v>
      </c>
      <c r="I150" s="237">
        <v>4898483</v>
      </c>
      <c r="J150" s="236">
        <v>12950</v>
      </c>
      <c r="K150" s="93">
        <f t="shared" si="4"/>
        <v>10293284</v>
      </c>
      <c r="L150" s="52"/>
      <c r="M150" s="237">
        <v>95561</v>
      </c>
      <c r="N150" s="237">
        <v>0</v>
      </c>
      <c r="O150" s="236">
        <v>224172</v>
      </c>
      <c r="P150" s="93">
        <f t="shared" si="5"/>
        <v>319733</v>
      </c>
      <c r="Q150" s="52"/>
      <c r="R150" s="237">
        <v>5127601</v>
      </c>
      <c r="S150" s="236">
        <v>-118489</v>
      </c>
      <c r="T150" s="238">
        <v>5009112</v>
      </c>
    </row>
    <row r="151" spans="1:20">
      <c r="A151" s="53">
        <v>91302</v>
      </c>
      <c r="B151" s="51" t="s">
        <v>2754</v>
      </c>
      <c r="C151" s="239">
        <v>5.4440000000000001E-4</v>
      </c>
      <c r="D151" s="239">
        <v>6.0300000000000002E-4</v>
      </c>
      <c r="E151" s="192">
        <v>1291503</v>
      </c>
      <c r="F151" s="192" t="s">
        <v>1930</v>
      </c>
      <c r="G151" s="237">
        <v>199248</v>
      </c>
      <c r="H151" s="225">
        <v>177285</v>
      </c>
      <c r="I151" s="237">
        <v>342715</v>
      </c>
      <c r="J151" s="236">
        <v>12855</v>
      </c>
      <c r="K151" s="93">
        <f t="shared" si="4"/>
        <v>732103</v>
      </c>
      <c r="L151" s="52"/>
      <c r="M151" s="237">
        <v>6686</v>
      </c>
      <c r="N151" s="237">
        <v>0</v>
      </c>
      <c r="O151" s="236">
        <v>55205</v>
      </c>
      <c r="P151" s="93">
        <f t="shared" si="5"/>
        <v>61891</v>
      </c>
      <c r="Q151" s="52"/>
      <c r="R151" s="237">
        <v>358745</v>
      </c>
      <c r="S151" s="236">
        <v>5826</v>
      </c>
      <c r="T151" s="238">
        <v>364571</v>
      </c>
    </row>
    <row r="152" spans="1:20">
      <c r="A152" s="53">
        <v>91306</v>
      </c>
      <c r="B152" s="51" t="s">
        <v>2755</v>
      </c>
      <c r="C152" s="239">
        <v>1.8347000000000001E-3</v>
      </c>
      <c r="D152" s="239">
        <v>1.6412E-3</v>
      </c>
      <c r="E152" s="192">
        <v>4352536</v>
      </c>
      <c r="F152" s="192" t="s">
        <v>1930</v>
      </c>
      <c r="G152" s="237">
        <v>671493</v>
      </c>
      <c r="H152" s="225">
        <v>597473</v>
      </c>
      <c r="I152" s="237">
        <v>1154995</v>
      </c>
      <c r="J152" s="236">
        <v>204148</v>
      </c>
      <c r="K152" s="93">
        <f t="shared" si="4"/>
        <v>2628109</v>
      </c>
      <c r="L152" s="52"/>
      <c r="M152" s="237">
        <v>22532</v>
      </c>
      <c r="N152" s="237">
        <v>0</v>
      </c>
      <c r="O152" s="236">
        <v>5325</v>
      </c>
      <c r="P152" s="93">
        <f t="shared" si="5"/>
        <v>27857</v>
      </c>
      <c r="Q152" s="52"/>
      <c r="R152" s="237">
        <v>1209018</v>
      </c>
      <c r="S152" s="236">
        <v>96839</v>
      </c>
      <c r="T152" s="238">
        <v>1305857</v>
      </c>
    </row>
    <row r="153" spans="1:20">
      <c r="A153" s="53">
        <v>91308</v>
      </c>
      <c r="B153" s="51" t="s">
        <v>865</v>
      </c>
      <c r="C153" s="239">
        <v>1.7149999999999999E-4</v>
      </c>
      <c r="D153" s="239">
        <v>1.8009999999999999E-4</v>
      </c>
      <c r="E153" s="192">
        <v>406857</v>
      </c>
      <c r="F153" s="192" t="s">
        <v>1930</v>
      </c>
      <c r="G153" s="237">
        <v>62768</v>
      </c>
      <c r="H153" s="225">
        <v>55849</v>
      </c>
      <c r="I153" s="237">
        <v>107964</v>
      </c>
      <c r="J153" s="236">
        <v>117</v>
      </c>
      <c r="K153" s="93">
        <f t="shared" si="4"/>
        <v>226698</v>
      </c>
      <c r="L153" s="52"/>
      <c r="M153" s="237">
        <v>2106</v>
      </c>
      <c r="N153" s="237">
        <v>0</v>
      </c>
      <c r="O153" s="236">
        <v>22928</v>
      </c>
      <c r="P153" s="93">
        <f t="shared" si="5"/>
        <v>25034</v>
      </c>
      <c r="Q153" s="52"/>
      <c r="R153" s="237">
        <v>113014</v>
      </c>
      <c r="S153" s="236">
        <v>-5660</v>
      </c>
      <c r="T153" s="238">
        <v>107354</v>
      </c>
    </row>
    <row r="154" spans="1:20">
      <c r="A154" s="50">
        <v>91311</v>
      </c>
      <c r="B154" s="51" t="s">
        <v>866</v>
      </c>
      <c r="C154" s="239">
        <v>7.7199E-3</v>
      </c>
      <c r="D154" s="239">
        <v>7.6685E-3</v>
      </c>
      <c r="E154" s="192">
        <v>18314243</v>
      </c>
      <c r="F154" s="192" t="s">
        <v>1930</v>
      </c>
      <c r="G154" s="237">
        <v>2825453</v>
      </c>
      <c r="H154" s="225">
        <v>2514000</v>
      </c>
      <c r="I154" s="237">
        <v>4859893</v>
      </c>
      <c r="J154" s="236">
        <v>35298</v>
      </c>
      <c r="K154" s="93">
        <f t="shared" si="4"/>
        <v>10234644</v>
      </c>
      <c r="L154" s="52"/>
      <c r="M154" s="237">
        <v>94808</v>
      </c>
      <c r="N154" s="237">
        <v>0</v>
      </c>
      <c r="O154" s="236">
        <v>364413</v>
      </c>
      <c r="P154" s="93">
        <f t="shared" si="5"/>
        <v>459221</v>
      </c>
      <c r="Q154" s="52"/>
      <c r="R154" s="237">
        <v>5087206</v>
      </c>
      <c r="S154" s="236">
        <v>-205799</v>
      </c>
      <c r="T154" s="238">
        <v>4881407</v>
      </c>
    </row>
    <row r="155" spans="1:20">
      <c r="A155" s="50">
        <v>91317</v>
      </c>
      <c r="B155" s="51" t="s">
        <v>867</v>
      </c>
      <c r="C155" s="239">
        <v>1.004E-4</v>
      </c>
      <c r="D155" s="239">
        <v>1.016E-4</v>
      </c>
      <c r="E155" s="192">
        <v>238183</v>
      </c>
      <c r="F155" s="192" t="s">
        <v>1930</v>
      </c>
      <c r="G155" s="237">
        <v>36746</v>
      </c>
      <c r="H155" s="225">
        <v>32696</v>
      </c>
      <c r="I155" s="237">
        <v>63205</v>
      </c>
      <c r="J155" s="236">
        <v>13218</v>
      </c>
      <c r="K155" s="93">
        <f t="shared" si="4"/>
        <v>145865</v>
      </c>
      <c r="L155" s="52"/>
      <c r="M155" s="237">
        <v>1233</v>
      </c>
      <c r="N155" s="237">
        <v>0</v>
      </c>
      <c r="O155" s="236">
        <v>602</v>
      </c>
      <c r="P155" s="93">
        <f t="shared" si="5"/>
        <v>1835</v>
      </c>
      <c r="Q155" s="52"/>
      <c r="R155" s="237">
        <v>66161</v>
      </c>
      <c r="S155" s="236">
        <v>3844</v>
      </c>
      <c r="T155" s="238">
        <v>70005</v>
      </c>
    </row>
    <row r="156" spans="1:20">
      <c r="A156" s="50">
        <v>91321</v>
      </c>
      <c r="B156" s="51" t="s">
        <v>2190</v>
      </c>
      <c r="C156" s="239">
        <v>4.5899999999999998E-5</v>
      </c>
      <c r="D156" s="239">
        <v>4.2799999999999997E-5</v>
      </c>
      <c r="E156" s="192">
        <v>108890</v>
      </c>
      <c r="F156" s="192" t="s">
        <v>1930</v>
      </c>
      <c r="G156" s="237">
        <v>16799</v>
      </c>
      <c r="H156" s="225">
        <v>14947</v>
      </c>
      <c r="I156" s="237">
        <v>28895</v>
      </c>
      <c r="J156" s="236">
        <v>34886</v>
      </c>
      <c r="K156" s="93">
        <f t="shared" si="4"/>
        <v>95527</v>
      </c>
      <c r="L156" s="52"/>
      <c r="M156" s="237">
        <v>564</v>
      </c>
      <c r="N156" s="237">
        <v>0</v>
      </c>
      <c r="O156" s="236">
        <v>1694</v>
      </c>
      <c r="P156" s="93">
        <f t="shared" si="5"/>
        <v>2258</v>
      </c>
      <c r="Q156" s="52"/>
      <c r="R156" s="237">
        <v>30247</v>
      </c>
      <c r="S156" s="236">
        <v>8780</v>
      </c>
      <c r="T156" s="238">
        <v>39027</v>
      </c>
    </row>
    <row r="157" spans="1:20">
      <c r="A157" s="50">
        <v>91327</v>
      </c>
      <c r="B157" s="51" t="s">
        <v>869</v>
      </c>
      <c r="C157" s="239">
        <v>7.7000000000000008E-6</v>
      </c>
      <c r="D157" s="239">
        <v>8.1999999999999994E-6</v>
      </c>
      <c r="E157" s="192">
        <v>18267</v>
      </c>
      <c r="F157" s="192" t="s">
        <v>1930</v>
      </c>
      <c r="G157" s="237">
        <v>2818</v>
      </c>
      <c r="H157" s="225">
        <v>2507</v>
      </c>
      <c r="I157" s="237">
        <v>4847</v>
      </c>
      <c r="J157" s="236">
        <v>526</v>
      </c>
      <c r="K157" s="93">
        <f t="shared" si="4"/>
        <v>10698</v>
      </c>
      <c r="L157" s="52"/>
      <c r="M157" s="237">
        <v>95</v>
      </c>
      <c r="N157" s="237">
        <v>0</v>
      </c>
      <c r="O157" s="236">
        <v>1045</v>
      </c>
      <c r="P157" s="93">
        <f t="shared" si="5"/>
        <v>1140</v>
      </c>
      <c r="Q157" s="52"/>
      <c r="R157" s="237">
        <v>5074</v>
      </c>
      <c r="S157" s="236">
        <v>-349</v>
      </c>
      <c r="T157" s="238">
        <v>4725</v>
      </c>
    </row>
    <row r="158" spans="1:20">
      <c r="A158" s="50">
        <v>91331</v>
      </c>
      <c r="B158" s="51" t="s">
        <v>870</v>
      </c>
      <c r="C158" s="239">
        <v>3.0000000000000001E-3</v>
      </c>
      <c r="D158" s="239">
        <v>3.0033E-3</v>
      </c>
      <c r="E158" s="192">
        <v>7117026</v>
      </c>
      <c r="F158" s="192" t="s">
        <v>1930</v>
      </c>
      <c r="G158" s="237">
        <v>1097988</v>
      </c>
      <c r="H158" s="225">
        <v>976956</v>
      </c>
      <c r="I158" s="237">
        <v>1888584</v>
      </c>
      <c r="J158" s="236">
        <v>0</v>
      </c>
      <c r="K158" s="93">
        <f t="shared" si="4"/>
        <v>3963528</v>
      </c>
      <c r="L158" s="52"/>
      <c r="M158" s="237">
        <v>36843</v>
      </c>
      <c r="N158" s="237">
        <v>0</v>
      </c>
      <c r="O158" s="236">
        <v>309037</v>
      </c>
      <c r="P158" s="93">
        <f t="shared" si="5"/>
        <v>345880</v>
      </c>
      <c r="Q158" s="52"/>
      <c r="R158" s="237">
        <v>1976919</v>
      </c>
      <c r="S158" s="236">
        <v>-211269</v>
      </c>
      <c r="T158" s="238">
        <v>1765650</v>
      </c>
    </row>
    <row r="159" spans="1:20">
      <c r="A159" s="50">
        <v>91341</v>
      </c>
      <c r="B159" s="51" t="s">
        <v>2191</v>
      </c>
      <c r="C159" s="239">
        <v>2.44E-5</v>
      </c>
      <c r="D159" s="239">
        <v>2.51E-5</v>
      </c>
      <c r="E159" s="192">
        <v>57885</v>
      </c>
      <c r="F159" s="192" t="s">
        <v>1930</v>
      </c>
      <c r="G159" s="237">
        <v>8930</v>
      </c>
      <c r="H159" s="225">
        <v>7946</v>
      </c>
      <c r="I159" s="237">
        <v>15360</v>
      </c>
      <c r="J159" s="236">
        <v>5509</v>
      </c>
      <c r="K159" s="93">
        <f t="shared" si="4"/>
        <v>37745</v>
      </c>
      <c r="L159" s="52"/>
      <c r="M159" s="237">
        <v>300</v>
      </c>
      <c r="N159" s="237">
        <v>0</v>
      </c>
      <c r="O159" s="236">
        <v>1144</v>
      </c>
      <c r="P159" s="93">
        <f t="shared" si="5"/>
        <v>1444</v>
      </c>
      <c r="Q159" s="52"/>
      <c r="R159" s="237">
        <v>16079</v>
      </c>
      <c r="S159" s="236">
        <v>1311</v>
      </c>
      <c r="T159" s="238">
        <v>17390</v>
      </c>
    </row>
    <row r="160" spans="1:20">
      <c r="A160" s="50">
        <v>91401</v>
      </c>
      <c r="B160" s="51" t="s">
        <v>872</v>
      </c>
      <c r="C160" s="239">
        <v>3.5492000000000002E-3</v>
      </c>
      <c r="D160" s="239">
        <v>3.5885000000000001E-3</v>
      </c>
      <c r="E160" s="192">
        <v>8419916</v>
      </c>
      <c r="F160" s="192" t="s">
        <v>1930</v>
      </c>
      <c r="G160" s="237">
        <v>1298993</v>
      </c>
      <c r="H160" s="225">
        <v>1155804</v>
      </c>
      <c r="I160" s="237">
        <v>2234321</v>
      </c>
      <c r="J160" s="236">
        <v>4118</v>
      </c>
      <c r="K160" s="93">
        <f t="shared" si="4"/>
        <v>4693236</v>
      </c>
      <c r="L160" s="52"/>
      <c r="M160" s="237">
        <v>43588</v>
      </c>
      <c r="N160" s="237">
        <v>0</v>
      </c>
      <c r="O160" s="236">
        <v>191268</v>
      </c>
      <c r="P160" s="93">
        <f t="shared" si="5"/>
        <v>234856</v>
      </c>
      <c r="Q160" s="52"/>
      <c r="R160" s="237">
        <v>2338827</v>
      </c>
      <c r="S160" s="236">
        <v>-44473</v>
      </c>
      <c r="T160" s="238">
        <v>2294354</v>
      </c>
    </row>
    <row r="161" spans="1:20">
      <c r="A161" s="50">
        <v>91411</v>
      </c>
      <c r="B161" s="51" t="s">
        <v>2192</v>
      </c>
      <c r="C161" s="239">
        <v>3.8479999999999997E-4</v>
      </c>
      <c r="D161" s="239">
        <v>3.7829999999999998E-4</v>
      </c>
      <c r="E161" s="192">
        <v>912877</v>
      </c>
      <c r="F161" s="192" t="s">
        <v>1930</v>
      </c>
      <c r="G161" s="237">
        <v>140835</v>
      </c>
      <c r="H161" s="225">
        <v>125311</v>
      </c>
      <c r="I161" s="237">
        <v>242242</v>
      </c>
      <c r="J161" s="236">
        <v>20796</v>
      </c>
      <c r="K161" s="93">
        <f t="shared" si="4"/>
        <v>529184</v>
      </c>
      <c r="L161" s="52"/>
      <c r="M161" s="237">
        <v>4726</v>
      </c>
      <c r="N161" s="237">
        <v>0</v>
      </c>
      <c r="O161" s="236">
        <v>0</v>
      </c>
      <c r="P161" s="93">
        <f t="shared" si="5"/>
        <v>4726</v>
      </c>
      <c r="Q161" s="52"/>
      <c r="R161" s="237">
        <v>253573</v>
      </c>
      <c r="S161" s="236">
        <v>8126</v>
      </c>
      <c r="T161" s="238">
        <v>261699</v>
      </c>
    </row>
    <row r="162" spans="1:20" s="230" customFormat="1">
      <c r="A162" s="231">
        <v>91414</v>
      </c>
      <c r="B162" s="232" t="s">
        <v>3748</v>
      </c>
      <c r="C162" s="239">
        <v>0</v>
      </c>
      <c r="D162" s="239">
        <v>0</v>
      </c>
      <c r="E162" s="236">
        <v>0</v>
      </c>
      <c r="F162" s="236"/>
      <c r="G162" s="237">
        <v>0</v>
      </c>
      <c r="H162" s="225">
        <v>0</v>
      </c>
      <c r="I162" s="237">
        <v>0</v>
      </c>
      <c r="J162" s="236">
        <v>0</v>
      </c>
      <c r="K162" s="225">
        <v>0</v>
      </c>
      <c r="L162" s="236"/>
      <c r="M162" s="237">
        <v>0</v>
      </c>
      <c r="N162" s="237">
        <v>0</v>
      </c>
      <c r="O162" s="236">
        <v>0</v>
      </c>
      <c r="P162" s="225">
        <f t="shared" si="5"/>
        <v>0</v>
      </c>
      <c r="Q162" s="236"/>
      <c r="R162" s="237">
        <v>0</v>
      </c>
      <c r="S162" s="236">
        <v>0</v>
      </c>
      <c r="T162" s="238">
        <v>0</v>
      </c>
    </row>
    <row r="163" spans="1:20">
      <c r="A163" s="50">
        <v>91417</v>
      </c>
      <c r="B163" s="51" t="s">
        <v>874</v>
      </c>
      <c r="C163" s="239">
        <v>8.3999999999999992E-6</v>
      </c>
      <c r="D163" s="239">
        <v>9.3000000000000007E-6</v>
      </c>
      <c r="E163" s="192">
        <v>19928</v>
      </c>
      <c r="F163" s="192" t="s">
        <v>1930</v>
      </c>
      <c r="G163" s="237">
        <v>3074</v>
      </c>
      <c r="H163" s="225">
        <v>2735</v>
      </c>
      <c r="I163" s="237">
        <v>5288</v>
      </c>
      <c r="J163" s="236">
        <v>1077</v>
      </c>
      <c r="K163" s="93">
        <f t="shared" si="4"/>
        <v>12174</v>
      </c>
      <c r="L163" s="52"/>
      <c r="M163" s="237">
        <v>103</v>
      </c>
      <c r="N163" s="237">
        <v>0</v>
      </c>
      <c r="O163" s="236">
        <v>0</v>
      </c>
      <c r="P163" s="93">
        <f t="shared" si="5"/>
        <v>103</v>
      </c>
      <c r="Q163" s="52"/>
      <c r="R163" s="237">
        <v>5535</v>
      </c>
      <c r="S163" s="236">
        <v>1921</v>
      </c>
      <c r="T163" s="238">
        <v>7456</v>
      </c>
    </row>
    <row r="164" spans="1:20">
      <c r="A164" s="50">
        <v>91421</v>
      </c>
      <c r="B164" s="51" t="s">
        <v>2193</v>
      </c>
      <c r="C164" s="239">
        <v>7.2299999999999996E-5</v>
      </c>
      <c r="D164" s="239">
        <v>6.9499999999999995E-5</v>
      </c>
      <c r="E164" s="192">
        <v>171520</v>
      </c>
      <c r="F164" s="192" t="s">
        <v>1930</v>
      </c>
      <c r="G164" s="237">
        <v>26462</v>
      </c>
      <c r="H164" s="225">
        <v>23545</v>
      </c>
      <c r="I164" s="237">
        <v>45515</v>
      </c>
      <c r="J164" s="236">
        <v>7066</v>
      </c>
      <c r="K164" s="93">
        <f t="shared" si="4"/>
        <v>102588</v>
      </c>
      <c r="L164" s="52"/>
      <c r="M164" s="237">
        <v>888</v>
      </c>
      <c r="N164" s="237">
        <v>0</v>
      </c>
      <c r="O164" s="236">
        <v>1453</v>
      </c>
      <c r="P164" s="93">
        <f t="shared" si="5"/>
        <v>2341</v>
      </c>
      <c r="Q164" s="52"/>
      <c r="R164" s="237">
        <v>47644</v>
      </c>
      <c r="S164" s="236">
        <v>1546</v>
      </c>
      <c r="T164" s="238">
        <v>49190</v>
      </c>
    </row>
    <row r="165" spans="1:20">
      <c r="A165" s="50">
        <v>91423</v>
      </c>
      <c r="B165" s="51" t="s">
        <v>876</v>
      </c>
      <c r="C165" s="239">
        <v>4.88E-5</v>
      </c>
      <c r="D165" s="239">
        <v>5.38E-5</v>
      </c>
      <c r="E165" s="192">
        <v>115770</v>
      </c>
      <c r="F165" s="192" t="s">
        <v>1930</v>
      </c>
      <c r="G165" s="237">
        <v>17861</v>
      </c>
      <c r="H165" s="225">
        <v>15892</v>
      </c>
      <c r="I165" s="237">
        <v>30721</v>
      </c>
      <c r="J165" s="236">
        <v>8202</v>
      </c>
      <c r="K165" s="93">
        <f t="shared" si="4"/>
        <v>72676</v>
      </c>
      <c r="L165" s="52"/>
      <c r="M165" s="237">
        <v>599</v>
      </c>
      <c r="N165" s="237">
        <v>0</v>
      </c>
      <c r="O165" s="236">
        <v>6851</v>
      </c>
      <c r="P165" s="93">
        <f t="shared" si="5"/>
        <v>7450</v>
      </c>
      <c r="Q165" s="52"/>
      <c r="R165" s="237">
        <v>32158</v>
      </c>
      <c r="S165" s="236">
        <v>1514</v>
      </c>
      <c r="T165" s="238">
        <v>33672</v>
      </c>
    </row>
    <row r="166" spans="1:20">
      <c r="A166" s="50">
        <v>91431</v>
      </c>
      <c r="B166" s="51" t="s">
        <v>2194</v>
      </c>
      <c r="C166" s="239">
        <v>1.6229999999999999E-4</v>
      </c>
      <c r="D166" s="239">
        <v>1.562E-4</v>
      </c>
      <c r="E166" s="192">
        <v>385031</v>
      </c>
      <c r="F166" s="192" t="s">
        <v>1930</v>
      </c>
      <c r="G166" s="237">
        <v>59401</v>
      </c>
      <c r="H166" s="225">
        <v>52853</v>
      </c>
      <c r="I166" s="237">
        <v>102172</v>
      </c>
      <c r="J166" s="236">
        <v>24735</v>
      </c>
      <c r="K166" s="93">
        <f t="shared" si="4"/>
        <v>239161</v>
      </c>
      <c r="L166" s="52"/>
      <c r="M166" s="237">
        <v>1993</v>
      </c>
      <c r="N166" s="237">
        <v>0</v>
      </c>
      <c r="O166" s="236">
        <v>1035</v>
      </c>
      <c r="P166" s="93">
        <f t="shared" si="5"/>
        <v>3028</v>
      </c>
      <c r="Q166" s="52"/>
      <c r="R166" s="237">
        <v>106951</v>
      </c>
      <c r="S166" s="236">
        <v>6979</v>
      </c>
      <c r="T166" s="238">
        <v>113930</v>
      </c>
    </row>
    <row r="167" spans="1:20">
      <c r="A167" s="50">
        <v>91441</v>
      </c>
      <c r="B167" s="51" t="s">
        <v>2195</v>
      </c>
      <c r="C167" s="239">
        <v>9.4680000000000003E-4</v>
      </c>
      <c r="D167" s="239">
        <v>9.5140000000000003E-4</v>
      </c>
      <c r="E167" s="192">
        <v>2246133</v>
      </c>
      <c r="F167" s="192" t="s">
        <v>1930</v>
      </c>
      <c r="G167" s="237">
        <v>346525</v>
      </c>
      <c r="H167" s="225">
        <v>308327</v>
      </c>
      <c r="I167" s="237">
        <v>596037</v>
      </c>
      <c r="J167" s="236">
        <v>35215</v>
      </c>
      <c r="K167" s="93">
        <f t="shared" si="4"/>
        <v>1286104</v>
      </c>
      <c r="L167" s="52"/>
      <c r="M167" s="237">
        <v>11628</v>
      </c>
      <c r="N167" s="237">
        <v>0</v>
      </c>
      <c r="O167" s="236">
        <v>145358</v>
      </c>
      <c r="P167" s="93">
        <f t="shared" si="5"/>
        <v>156986</v>
      </c>
      <c r="Q167" s="52"/>
      <c r="R167" s="237">
        <v>623916</v>
      </c>
      <c r="S167" s="236">
        <v>-63164</v>
      </c>
      <c r="T167" s="238">
        <v>560752</v>
      </c>
    </row>
    <row r="168" spans="1:20">
      <c r="A168" s="50">
        <v>91451</v>
      </c>
      <c r="B168" s="51" t="s">
        <v>879</v>
      </c>
      <c r="C168" s="239">
        <v>1.4832000000000001E-3</v>
      </c>
      <c r="D168" s="239">
        <v>1.4760000000000001E-3</v>
      </c>
      <c r="E168" s="192">
        <v>3518658</v>
      </c>
      <c r="F168" s="192" t="s">
        <v>1930</v>
      </c>
      <c r="G168" s="237">
        <v>542845</v>
      </c>
      <c r="H168" s="225">
        <v>483007</v>
      </c>
      <c r="I168" s="237">
        <v>933716</v>
      </c>
      <c r="J168" s="236">
        <v>0</v>
      </c>
      <c r="K168" s="93">
        <f t="shared" si="4"/>
        <v>1959568</v>
      </c>
      <c r="L168" s="52"/>
      <c r="M168" s="237">
        <v>18215</v>
      </c>
      <c r="N168" s="237">
        <v>0</v>
      </c>
      <c r="O168" s="236">
        <v>115272</v>
      </c>
      <c r="P168" s="93">
        <f t="shared" si="5"/>
        <v>133487</v>
      </c>
      <c r="Q168" s="52"/>
      <c r="R168" s="237">
        <v>977389</v>
      </c>
      <c r="S168" s="236">
        <v>-84871</v>
      </c>
      <c r="T168" s="238">
        <v>892518</v>
      </c>
    </row>
    <row r="169" spans="1:20">
      <c r="A169" s="50">
        <v>91457</v>
      </c>
      <c r="B169" s="51" t="s">
        <v>880</v>
      </c>
      <c r="C169" s="239">
        <v>2.2099999999999998E-5</v>
      </c>
      <c r="D169" s="239">
        <v>2.23E-5</v>
      </c>
      <c r="E169" s="192">
        <v>52429</v>
      </c>
      <c r="F169" s="192" t="s">
        <v>1930</v>
      </c>
      <c r="G169" s="237">
        <v>8089</v>
      </c>
      <c r="H169" s="225">
        <v>7197</v>
      </c>
      <c r="I169" s="237">
        <v>13913</v>
      </c>
      <c r="J169" s="236">
        <v>34989</v>
      </c>
      <c r="K169" s="93">
        <f t="shared" si="4"/>
        <v>64188</v>
      </c>
      <c r="L169" s="52"/>
      <c r="M169" s="237">
        <v>271</v>
      </c>
      <c r="N169" s="237">
        <v>0</v>
      </c>
      <c r="O169" s="236">
        <v>0</v>
      </c>
      <c r="P169" s="93">
        <f t="shared" si="5"/>
        <v>271</v>
      </c>
      <c r="Q169" s="52"/>
      <c r="R169" s="237">
        <v>14563</v>
      </c>
      <c r="S169" s="236">
        <v>14690</v>
      </c>
      <c r="T169" s="238">
        <v>29253</v>
      </c>
    </row>
    <row r="170" spans="1:20">
      <c r="A170" s="50">
        <v>91461</v>
      </c>
      <c r="B170" s="51" t="s">
        <v>2196</v>
      </c>
      <c r="C170" s="239">
        <v>9.5999999999999996E-6</v>
      </c>
      <c r="D170" s="239">
        <v>9.3999999999999998E-6</v>
      </c>
      <c r="E170" s="192">
        <v>22774</v>
      </c>
      <c r="F170" s="192" t="s">
        <v>1930</v>
      </c>
      <c r="G170" s="237">
        <v>3514</v>
      </c>
      <c r="H170" s="225">
        <v>3126</v>
      </c>
      <c r="I170" s="237">
        <v>6043</v>
      </c>
      <c r="J170" s="236">
        <v>951</v>
      </c>
      <c r="K170" s="93">
        <f t="shared" si="4"/>
        <v>13634</v>
      </c>
      <c r="L170" s="52"/>
      <c r="M170" s="237">
        <v>118</v>
      </c>
      <c r="N170" s="237">
        <v>0</v>
      </c>
      <c r="O170" s="236">
        <v>1594</v>
      </c>
      <c r="P170" s="93">
        <f t="shared" si="5"/>
        <v>1712</v>
      </c>
      <c r="Q170" s="52"/>
      <c r="R170" s="237">
        <v>6326</v>
      </c>
      <c r="S170" s="236">
        <v>664</v>
      </c>
      <c r="T170" s="238">
        <v>6990</v>
      </c>
    </row>
    <row r="171" spans="1:20">
      <c r="A171" s="50">
        <v>91501</v>
      </c>
      <c r="B171" s="51" t="s">
        <v>882</v>
      </c>
      <c r="C171" s="239">
        <v>4.6460000000000002E-4</v>
      </c>
      <c r="D171" s="239">
        <v>4.9700000000000005E-4</v>
      </c>
      <c r="E171" s="192">
        <v>1102190</v>
      </c>
      <c r="F171" s="192" t="s">
        <v>1930</v>
      </c>
      <c r="G171" s="237">
        <v>170042</v>
      </c>
      <c r="H171" s="225">
        <v>151298</v>
      </c>
      <c r="I171" s="237">
        <v>292479</v>
      </c>
      <c r="J171" s="236">
        <v>7231</v>
      </c>
      <c r="K171" s="93">
        <f t="shared" si="4"/>
        <v>621050</v>
      </c>
      <c r="L171" s="52"/>
      <c r="M171" s="237">
        <v>5706</v>
      </c>
      <c r="N171" s="237">
        <v>0</v>
      </c>
      <c r="O171" s="236">
        <v>20696</v>
      </c>
      <c r="P171" s="93">
        <f t="shared" si="5"/>
        <v>26402</v>
      </c>
      <c r="Q171" s="52"/>
      <c r="R171" s="237">
        <v>306159</v>
      </c>
      <c r="S171" s="236">
        <v>11595</v>
      </c>
      <c r="T171" s="238">
        <v>317754</v>
      </c>
    </row>
    <row r="172" spans="1:20">
      <c r="A172" s="50">
        <v>91504</v>
      </c>
      <c r="B172" s="51" t="s">
        <v>883</v>
      </c>
      <c r="C172" s="239">
        <v>9.7999999999999993E-6</v>
      </c>
      <c r="D172" s="239">
        <v>9.7000000000000003E-6</v>
      </c>
      <c r="E172" s="192">
        <v>23249</v>
      </c>
      <c r="F172" s="192" t="s">
        <v>1930</v>
      </c>
      <c r="G172" s="237">
        <v>3587</v>
      </c>
      <c r="H172" s="225">
        <v>3191</v>
      </c>
      <c r="I172" s="237">
        <v>6169</v>
      </c>
      <c r="J172" s="236">
        <v>4807</v>
      </c>
      <c r="K172" s="93">
        <f t="shared" si="4"/>
        <v>17754</v>
      </c>
      <c r="L172" s="52"/>
      <c r="M172" s="237">
        <v>120</v>
      </c>
      <c r="N172" s="237">
        <v>0</v>
      </c>
      <c r="O172" s="236">
        <v>0</v>
      </c>
      <c r="P172" s="93">
        <f t="shared" si="5"/>
        <v>120</v>
      </c>
      <c r="Q172" s="52"/>
      <c r="R172" s="237">
        <v>6458</v>
      </c>
      <c r="S172" s="236">
        <v>3045</v>
      </c>
      <c r="T172" s="238">
        <v>9503</v>
      </c>
    </row>
    <row r="173" spans="1:20">
      <c r="A173" s="50">
        <v>91601</v>
      </c>
      <c r="B173" s="51" t="s">
        <v>884</v>
      </c>
      <c r="C173" s="239">
        <v>2.7648E-3</v>
      </c>
      <c r="D173" s="239">
        <v>2.8040000000000001E-3</v>
      </c>
      <c r="E173" s="192">
        <v>6559051</v>
      </c>
      <c r="F173" s="192" t="s">
        <v>1930</v>
      </c>
      <c r="G173" s="237">
        <v>1011906</v>
      </c>
      <c r="H173" s="225">
        <v>900363</v>
      </c>
      <c r="I173" s="237">
        <v>1740519</v>
      </c>
      <c r="J173" s="236">
        <v>84439</v>
      </c>
      <c r="K173" s="93">
        <f t="shared" si="4"/>
        <v>3737227</v>
      </c>
      <c r="L173" s="52"/>
      <c r="M173" s="237">
        <v>33955</v>
      </c>
      <c r="N173" s="237">
        <v>0</v>
      </c>
      <c r="O173" s="236">
        <v>30275</v>
      </c>
      <c r="P173" s="93">
        <f t="shared" si="5"/>
        <v>64230</v>
      </c>
      <c r="Q173" s="52"/>
      <c r="R173" s="237">
        <v>1821929</v>
      </c>
      <c r="S173" s="236">
        <v>76277</v>
      </c>
      <c r="T173" s="238">
        <v>1898206</v>
      </c>
    </row>
    <row r="174" spans="1:20">
      <c r="A174" s="50">
        <v>91604</v>
      </c>
      <c r="B174" s="51" t="s">
        <v>885</v>
      </c>
      <c r="C174" s="239">
        <v>8.5000000000000006E-5</v>
      </c>
      <c r="D174" s="239">
        <v>8.8499999999999996E-5</v>
      </c>
      <c r="E174" s="192">
        <v>201649</v>
      </c>
      <c r="F174" s="192" t="s">
        <v>1930</v>
      </c>
      <c r="G174" s="237">
        <v>31110</v>
      </c>
      <c r="H174" s="225">
        <v>27680</v>
      </c>
      <c r="I174" s="237">
        <v>53510</v>
      </c>
      <c r="J174" s="236">
        <v>22196</v>
      </c>
      <c r="K174" s="93">
        <f t="shared" si="4"/>
        <v>134496</v>
      </c>
      <c r="L174" s="52"/>
      <c r="M174" s="237">
        <v>1044</v>
      </c>
      <c r="N174" s="237">
        <v>0</v>
      </c>
      <c r="O174" s="236">
        <v>0</v>
      </c>
      <c r="P174" s="93">
        <f t="shared" si="5"/>
        <v>1044</v>
      </c>
      <c r="Q174" s="52"/>
      <c r="R174" s="237">
        <v>56013</v>
      </c>
      <c r="S174" s="236">
        <v>9895</v>
      </c>
      <c r="T174" s="238">
        <v>65908</v>
      </c>
    </row>
    <row r="175" spans="1:20">
      <c r="A175" s="50">
        <v>91608</v>
      </c>
      <c r="B175" s="51" t="s">
        <v>886</v>
      </c>
      <c r="C175" s="239">
        <v>1.5909999999999999E-4</v>
      </c>
      <c r="D175" s="239">
        <v>1.5349999999999999E-4</v>
      </c>
      <c r="E175" s="192">
        <v>377440</v>
      </c>
      <c r="F175" s="192" t="s">
        <v>1930</v>
      </c>
      <c r="G175" s="237">
        <v>58230</v>
      </c>
      <c r="H175" s="225">
        <v>51811</v>
      </c>
      <c r="I175" s="237">
        <v>100158</v>
      </c>
      <c r="J175" s="236">
        <v>1169</v>
      </c>
      <c r="K175" s="93">
        <f t="shared" si="4"/>
        <v>211368</v>
      </c>
      <c r="L175" s="52"/>
      <c r="M175" s="237">
        <v>1954</v>
      </c>
      <c r="N175" s="237">
        <v>0</v>
      </c>
      <c r="O175" s="236">
        <v>30984</v>
      </c>
      <c r="P175" s="93">
        <f t="shared" si="5"/>
        <v>32938</v>
      </c>
      <c r="Q175" s="52"/>
      <c r="R175" s="237">
        <v>104843</v>
      </c>
      <c r="S175" s="236">
        <v>-16992</v>
      </c>
      <c r="T175" s="238">
        <v>87851</v>
      </c>
    </row>
    <row r="176" spans="1:20">
      <c r="A176" s="50">
        <v>91611</v>
      </c>
      <c r="B176" s="51" t="s">
        <v>2197</v>
      </c>
      <c r="C176" s="239">
        <v>1.4744000000000001E-3</v>
      </c>
      <c r="D176" s="239">
        <v>1.4708E-3</v>
      </c>
      <c r="E176" s="192">
        <v>3497781</v>
      </c>
      <c r="F176" s="192" t="s">
        <v>1930</v>
      </c>
      <c r="G176" s="237">
        <v>539625</v>
      </c>
      <c r="H176" s="225">
        <v>480141</v>
      </c>
      <c r="I176" s="237">
        <v>928176</v>
      </c>
      <c r="J176" s="236">
        <v>2046</v>
      </c>
      <c r="K176" s="93">
        <f t="shared" si="4"/>
        <v>1949988</v>
      </c>
      <c r="L176" s="52"/>
      <c r="M176" s="237">
        <v>18107</v>
      </c>
      <c r="N176" s="237">
        <v>0</v>
      </c>
      <c r="O176" s="236">
        <v>121302</v>
      </c>
      <c r="P176" s="93">
        <f t="shared" si="5"/>
        <v>139409</v>
      </c>
      <c r="Q176" s="52"/>
      <c r="R176" s="237">
        <v>971590</v>
      </c>
      <c r="S176" s="236">
        <v>-18398</v>
      </c>
      <c r="T176" s="238">
        <v>953192</v>
      </c>
    </row>
    <row r="177" spans="1:20">
      <c r="A177" s="50">
        <v>91621</v>
      </c>
      <c r="B177" s="51" t="s">
        <v>2198</v>
      </c>
      <c r="C177" s="239">
        <v>2.6800000000000001E-4</v>
      </c>
      <c r="D177" s="239">
        <v>2.7050000000000002E-4</v>
      </c>
      <c r="E177" s="192">
        <v>635788</v>
      </c>
      <c r="F177" s="192" t="s">
        <v>1930</v>
      </c>
      <c r="G177" s="237">
        <v>98087</v>
      </c>
      <c r="H177" s="225">
        <v>87275</v>
      </c>
      <c r="I177" s="237">
        <v>168714</v>
      </c>
      <c r="J177" s="236">
        <v>5973</v>
      </c>
      <c r="K177" s="93">
        <f t="shared" si="4"/>
        <v>360049</v>
      </c>
      <c r="L177" s="52"/>
      <c r="M177" s="237">
        <v>3291</v>
      </c>
      <c r="N177" s="237">
        <v>0</v>
      </c>
      <c r="O177" s="236">
        <v>10529</v>
      </c>
      <c r="P177" s="93">
        <f t="shared" si="5"/>
        <v>13820</v>
      </c>
      <c r="Q177" s="52"/>
      <c r="R177" s="237">
        <v>176605</v>
      </c>
      <c r="S177" s="236">
        <v>-5908</v>
      </c>
      <c r="T177" s="238">
        <v>170697</v>
      </c>
    </row>
    <row r="178" spans="1:20">
      <c r="A178" s="50">
        <v>91631</v>
      </c>
      <c r="B178" s="51" t="s">
        <v>2199</v>
      </c>
      <c r="C178" s="239">
        <v>5.509E-4</v>
      </c>
      <c r="D178" s="239">
        <v>5.2249999999999996E-4</v>
      </c>
      <c r="E178" s="192">
        <v>1306923</v>
      </c>
      <c r="F178" s="192" t="s">
        <v>1930</v>
      </c>
      <c r="G178" s="237">
        <v>201627</v>
      </c>
      <c r="H178" s="225">
        <v>179401</v>
      </c>
      <c r="I178" s="237">
        <v>346807</v>
      </c>
      <c r="J178" s="236">
        <v>0</v>
      </c>
      <c r="K178" s="93">
        <f t="shared" si="4"/>
        <v>727835</v>
      </c>
      <c r="L178" s="52"/>
      <c r="M178" s="237">
        <v>6766</v>
      </c>
      <c r="N178" s="237">
        <v>0</v>
      </c>
      <c r="O178" s="236">
        <v>39359</v>
      </c>
      <c r="P178" s="93">
        <f t="shared" si="5"/>
        <v>46125</v>
      </c>
      <c r="Q178" s="52"/>
      <c r="R178" s="237">
        <v>363028</v>
      </c>
      <c r="S178" s="236">
        <v>-17688</v>
      </c>
      <c r="T178" s="238">
        <v>345340</v>
      </c>
    </row>
    <row r="179" spans="1:20">
      <c r="A179" s="50">
        <v>91633</v>
      </c>
      <c r="B179" s="51" t="s">
        <v>2756</v>
      </c>
      <c r="C179" s="239">
        <v>1.8600000000000001E-5</v>
      </c>
      <c r="D179" s="239">
        <v>2.51E-5</v>
      </c>
      <c r="E179" s="192">
        <v>44126</v>
      </c>
      <c r="F179" s="192" t="s">
        <v>1930</v>
      </c>
      <c r="G179" s="237">
        <v>6808</v>
      </c>
      <c r="H179" s="225">
        <v>6058</v>
      </c>
      <c r="I179" s="237">
        <v>11709</v>
      </c>
      <c r="J179" s="236">
        <v>1031</v>
      </c>
      <c r="K179" s="93">
        <f t="shared" si="4"/>
        <v>25606</v>
      </c>
      <c r="L179" s="52"/>
      <c r="M179" s="237">
        <v>228</v>
      </c>
      <c r="N179" s="237">
        <v>0</v>
      </c>
      <c r="O179" s="236">
        <v>5120</v>
      </c>
      <c r="P179" s="93">
        <f t="shared" si="5"/>
        <v>5348</v>
      </c>
      <c r="Q179" s="52"/>
      <c r="R179" s="237">
        <v>12257</v>
      </c>
      <c r="S179" s="236">
        <v>-2305</v>
      </c>
      <c r="T179" s="238">
        <v>9952</v>
      </c>
    </row>
    <row r="180" spans="1:20">
      <c r="A180" s="50">
        <v>91641</v>
      </c>
      <c r="B180" s="51" t="s">
        <v>2200</v>
      </c>
      <c r="C180" s="239">
        <v>2.652E-4</v>
      </c>
      <c r="D180" s="239">
        <v>3.1139999999999998E-4</v>
      </c>
      <c r="E180" s="192">
        <v>629145</v>
      </c>
      <c r="F180" s="192" t="s">
        <v>1930</v>
      </c>
      <c r="G180" s="237">
        <v>97062</v>
      </c>
      <c r="H180" s="225">
        <v>86363</v>
      </c>
      <c r="I180" s="237">
        <v>166951</v>
      </c>
      <c r="J180" s="236">
        <v>0</v>
      </c>
      <c r="K180" s="93">
        <f t="shared" si="4"/>
        <v>350376</v>
      </c>
      <c r="L180" s="52"/>
      <c r="M180" s="237">
        <v>3257</v>
      </c>
      <c r="N180" s="237">
        <v>0</v>
      </c>
      <c r="O180" s="236">
        <v>74135</v>
      </c>
      <c r="P180" s="93">
        <f t="shared" si="5"/>
        <v>77392</v>
      </c>
      <c r="Q180" s="52"/>
      <c r="R180" s="237">
        <v>174760</v>
      </c>
      <c r="S180" s="236">
        <v>-37016</v>
      </c>
      <c r="T180" s="238">
        <v>137744</v>
      </c>
    </row>
    <row r="181" spans="1:20">
      <c r="A181" s="50">
        <v>91651</v>
      </c>
      <c r="B181" s="51" t="s">
        <v>2201</v>
      </c>
      <c r="C181" s="239">
        <v>4.73E-4</v>
      </c>
      <c r="D181" s="239">
        <v>4.4440000000000001E-4</v>
      </c>
      <c r="E181" s="192">
        <v>1122118</v>
      </c>
      <c r="F181" s="192" t="s">
        <v>1930</v>
      </c>
      <c r="G181" s="237">
        <v>173116</v>
      </c>
      <c r="H181" s="225">
        <v>154033</v>
      </c>
      <c r="I181" s="237">
        <v>297767</v>
      </c>
      <c r="J181" s="236">
        <v>25871</v>
      </c>
      <c r="K181" s="93">
        <f t="shared" si="4"/>
        <v>650787</v>
      </c>
      <c r="L181" s="52"/>
      <c r="M181" s="237">
        <v>5809</v>
      </c>
      <c r="N181" s="237">
        <v>0</v>
      </c>
      <c r="O181" s="236">
        <v>18310</v>
      </c>
      <c r="P181" s="93">
        <f t="shared" si="5"/>
        <v>24119</v>
      </c>
      <c r="Q181" s="52"/>
      <c r="R181" s="237">
        <v>311694</v>
      </c>
      <c r="S181" s="236">
        <v>-5917</v>
      </c>
      <c r="T181" s="238">
        <v>305777</v>
      </c>
    </row>
    <row r="182" spans="1:20">
      <c r="A182" s="50">
        <v>91661</v>
      </c>
      <c r="B182" s="51" t="s">
        <v>2202</v>
      </c>
      <c r="C182" s="239">
        <v>1.8259999999999999E-4</v>
      </c>
      <c r="D182" s="239">
        <v>1.673E-4</v>
      </c>
      <c r="E182" s="192">
        <v>433190</v>
      </c>
      <c r="F182" s="192" t="s">
        <v>1930</v>
      </c>
      <c r="G182" s="237">
        <v>66831</v>
      </c>
      <c r="H182" s="225">
        <v>59464</v>
      </c>
      <c r="I182" s="237">
        <v>114952</v>
      </c>
      <c r="J182" s="236">
        <v>0</v>
      </c>
      <c r="K182" s="93">
        <f t="shared" si="4"/>
        <v>241247</v>
      </c>
      <c r="L182" s="52"/>
      <c r="M182" s="237">
        <v>2243</v>
      </c>
      <c r="N182" s="237">
        <v>0</v>
      </c>
      <c r="O182" s="236">
        <v>36351</v>
      </c>
      <c r="P182" s="93">
        <f t="shared" si="5"/>
        <v>38594</v>
      </c>
      <c r="Q182" s="52"/>
      <c r="R182" s="237">
        <v>120328</v>
      </c>
      <c r="S182" s="236">
        <v>-17938</v>
      </c>
      <c r="T182" s="238">
        <v>102390</v>
      </c>
    </row>
    <row r="183" spans="1:20">
      <c r="A183" s="50">
        <v>91671</v>
      </c>
      <c r="B183" s="51" t="s">
        <v>2203</v>
      </c>
      <c r="C183" s="239">
        <v>1.132E-4</v>
      </c>
      <c r="D183" s="239">
        <v>9.6700000000000006E-5</v>
      </c>
      <c r="E183" s="192">
        <v>268549</v>
      </c>
      <c r="F183" s="192" t="s">
        <v>1930</v>
      </c>
      <c r="G183" s="237">
        <v>41431</v>
      </c>
      <c r="H183" s="225">
        <v>36864</v>
      </c>
      <c r="I183" s="237">
        <v>71263</v>
      </c>
      <c r="J183" s="236">
        <v>10756</v>
      </c>
      <c r="K183" s="93">
        <f t="shared" si="4"/>
        <v>160314</v>
      </c>
      <c r="L183" s="52"/>
      <c r="M183" s="237">
        <v>1390</v>
      </c>
      <c r="N183" s="237">
        <v>0</v>
      </c>
      <c r="O183" s="236">
        <v>898</v>
      </c>
      <c r="P183" s="93">
        <f t="shared" si="5"/>
        <v>2288</v>
      </c>
      <c r="Q183" s="52"/>
      <c r="R183" s="237">
        <v>74596</v>
      </c>
      <c r="S183" s="236">
        <v>7037</v>
      </c>
      <c r="T183" s="238">
        <v>81633</v>
      </c>
    </row>
    <row r="184" spans="1:20">
      <c r="A184" s="50">
        <v>91681</v>
      </c>
      <c r="B184" s="51" t="s">
        <v>2204</v>
      </c>
      <c r="C184" s="239">
        <v>4.6460000000000002E-4</v>
      </c>
      <c r="D184" s="239">
        <v>4.728E-4</v>
      </c>
      <c r="E184" s="192">
        <v>1102190</v>
      </c>
      <c r="F184" s="192" t="s">
        <v>1930</v>
      </c>
      <c r="G184" s="237">
        <v>170042</v>
      </c>
      <c r="H184" s="225">
        <v>151298</v>
      </c>
      <c r="I184" s="237">
        <v>292479</v>
      </c>
      <c r="J184" s="236">
        <v>312404</v>
      </c>
      <c r="K184" s="93">
        <f t="shared" si="4"/>
        <v>926223</v>
      </c>
      <c r="L184" s="52"/>
      <c r="M184" s="237">
        <v>5706</v>
      </c>
      <c r="N184" s="237">
        <v>0</v>
      </c>
      <c r="O184" s="236">
        <v>0</v>
      </c>
      <c r="P184" s="93">
        <f t="shared" si="5"/>
        <v>5706</v>
      </c>
      <c r="Q184" s="52"/>
      <c r="R184" s="237">
        <v>306159</v>
      </c>
      <c r="S184" s="236">
        <v>122769</v>
      </c>
      <c r="T184" s="238">
        <v>428928</v>
      </c>
    </row>
    <row r="185" spans="1:20">
      <c r="A185" s="50">
        <v>91691</v>
      </c>
      <c r="B185" s="51" t="s">
        <v>2205</v>
      </c>
      <c r="C185" s="239">
        <v>2.26E-5</v>
      </c>
      <c r="D185" s="239">
        <v>2.3200000000000001E-5</v>
      </c>
      <c r="E185" s="193">
        <v>53615</v>
      </c>
      <c r="F185" s="193" t="s">
        <v>1930</v>
      </c>
      <c r="G185" s="237">
        <v>8272</v>
      </c>
      <c r="H185" s="225">
        <v>7360</v>
      </c>
      <c r="I185" s="237">
        <v>14227</v>
      </c>
      <c r="J185" s="236">
        <v>1115</v>
      </c>
      <c r="K185" s="93">
        <f t="shared" si="4"/>
        <v>30974</v>
      </c>
      <c r="L185" s="52"/>
      <c r="M185" s="237">
        <v>278</v>
      </c>
      <c r="N185" s="237">
        <v>0</v>
      </c>
      <c r="O185" s="236">
        <v>1387</v>
      </c>
      <c r="P185" s="93">
        <f t="shared" si="5"/>
        <v>1665</v>
      </c>
      <c r="Q185" s="52"/>
      <c r="R185" s="237">
        <v>14893</v>
      </c>
      <c r="S185" s="236">
        <v>30</v>
      </c>
      <c r="T185" s="238">
        <v>14923</v>
      </c>
    </row>
    <row r="186" spans="1:20">
      <c r="A186" s="50">
        <v>91701</v>
      </c>
      <c r="B186" s="51" t="s">
        <v>897</v>
      </c>
      <c r="C186" s="239">
        <v>1.2348999999999999E-3</v>
      </c>
      <c r="D186" s="239">
        <v>1.2451999999999999E-3</v>
      </c>
      <c r="E186" s="193">
        <v>2929605</v>
      </c>
      <c r="F186" s="193" t="s">
        <v>1930</v>
      </c>
      <c r="G186" s="237">
        <v>451968</v>
      </c>
      <c r="H186" s="225">
        <v>402148</v>
      </c>
      <c r="I186" s="237">
        <v>777404</v>
      </c>
      <c r="J186" s="236">
        <v>70220</v>
      </c>
      <c r="K186" s="93">
        <f t="shared" si="4"/>
        <v>1701740</v>
      </c>
      <c r="L186" s="52"/>
      <c r="M186" s="237">
        <v>15166</v>
      </c>
      <c r="N186" s="237">
        <v>0</v>
      </c>
      <c r="O186" s="236">
        <v>39266</v>
      </c>
      <c r="P186" s="93">
        <f t="shared" si="5"/>
        <v>54432</v>
      </c>
      <c r="Q186" s="52"/>
      <c r="R186" s="237">
        <v>813766</v>
      </c>
      <c r="S186" s="236">
        <v>8978</v>
      </c>
      <c r="T186" s="238">
        <v>822744</v>
      </c>
    </row>
    <row r="187" spans="1:20">
      <c r="A187" s="50">
        <v>91704</v>
      </c>
      <c r="B187" s="51" t="s">
        <v>898</v>
      </c>
      <c r="C187" s="239">
        <v>1.73E-5</v>
      </c>
      <c r="D187" s="239">
        <v>1.73E-5</v>
      </c>
      <c r="E187" s="193">
        <v>41042</v>
      </c>
      <c r="F187" s="193" t="s">
        <v>1930</v>
      </c>
      <c r="G187" s="237">
        <v>6332</v>
      </c>
      <c r="H187" s="225">
        <v>5634</v>
      </c>
      <c r="I187" s="237">
        <v>10891</v>
      </c>
      <c r="J187" s="236">
        <v>560</v>
      </c>
      <c r="K187" s="93">
        <f t="shared" si="4"/>
        <v>23417</v>
      </c>
      <c r="L187" s="52"/>
      <c r="M187" s="237">
        <v>212</v>
      </c>
      <c r="N187" s="237">
        <v>0</v>
      </c>
      <c r="O187" s="236">
        <v>0</v>
      </c>
      <c r="P187" s="93">
        <f t="shared" si="5"/>
        <v>212</v>
      </c>
      <c r="Q187" s="52"/>
      <c r="R187" s="237">
        <v>11400</v>
      </c>
      <c r="S187" s="236">
        <v>666</v>
      </c>
      <c r="T187" s="238">
        <v>12066</v>
      </c>
    </row>
    <row r="188" spans="1:20">
      <c r="A188" s="50">
        <v>91706</v>
      </c>
      <c r="B188" s="51" t="s">
        <v>899</v>
      </c>
      <c r="C188" s="239">
        <v>2.2139999999999999E-4</v>
      </c>
      <c r="D188" s="239">
        <v>2.4340000000000001E-4</v>
      </c>
      <c r="E188" s="193">
        <v>525237</v>
      </c>
      <c r="F188" s="193" t="s">
        <v>1930</v>
      </c>
      <c r="G188" s="237">
        <v>81032</v>
      </c>
      <c r="H188" s="225">
        <v>72099</v>
      </c>
      <c r="I188" s="237">
        <v>139377</v>
      </c>
      <c r="J188" s="236">
        <v>37061</v>
      </c>
      <c r="K188" s="93">
        <f t="shared" si="4"/>
        <v>329569</v>
      </c>
      <c r="L188" s="52"/>
      <c r="M188" s="237">
        <v>2719</v>
      </c>
      <c r="N188" s="237">
        <v>0</v>
      </c>
      <c r="O188" s="236">
        <v>1775</v>
      </c>
      <c r="P188" s="93">
        <f t="shared" si="5"/>
        <v>4494</v>
      </c>
      <c r="Q188" s="52"/>
      <c r="R188" s="237">
        <v>145897</v>
      </c>
      <c r="S188" s="236">
        <v>3534</v>
      </c>
      <c r="T188" s="238">
        <v>149431</v>
      </c>
    </row>
    <row r="189" spans="1:20">
      <c r="A189" s="50">
        <v>91719</v>
      </c>
      <c r="B189" s="51" t="s">
        <v>2206</v>
      </c>
      <c r="C189" s="239">
        <v>5.6799999999999998E-5</v>
      </c>
      <c r="D189" s="239">
        <v>4.9700000000000002E-5</v>
      </c>
      <c r="E189" s="193">
        <v>134749</v>
      </c>
      <c r="F189" s="193" t="s">
        <v>1930</v>
      </c>
      <c r="G189" s="237">
        <v>20789</v>
      </c>
      <c r="H189" s="225">
        <v>18497</v>
      </c>
      <c r="I189" s="237">
        <v>35757</v>
      </c>
      <c r="J189" s="236">
        <v>2513</v>
      </c>
      <c r="K189" s="93">
        <f t="shared" si="4"/>
        <v>77556</v>
      </c>
      <c r="L189" s="52"/>
      <c r="M189" s="237">
        <v>698</v>
      </c>
      <c r="N189" s="237">
        <v>0</v>
      </c>
      <c r="O189" s="236">
        <v>2058</v>
      </c>
      <c r="P189" s="93">
        <f t="shared" si="5"/>
        <v>2756</v>
      </c>
      <c r="Q189" s="52"/>
      <c r="R189" s="237">
        <v>37430</v>
      </c>
      <c r="S189" s="236">
        <v>186</v>
      </c>
      <c r="T189" s="238">
        <v>37616</v>
      </c>
    </row>
    <row r="190" spans="1:20">
      <c r="A190" s="50">
        <v>91801</v>
      </c>
      <c r="B190" s="51" t="s">
        <v>901</v>
      </c>
      <c r="C190" s="239">
        <v>7.9632999999999995E-3</v>
      </c>
      <c r="D190" s="239">
        <v>8.0961000000000002E-3</v>
      </c>
      <c r="E190" s="193">
        <v>18891671</v>
      </c>
      <c r="F190" s="193" t="s">
        <v>1930</v>
      </c>
      <c r="G190" s="237">
        <v>2914536</v>
      </c>
      <c r="H190" s="225">
        <v>2593265</v>
      </c>
      <c r="I190" s="237">
        <v>5013120</v>
      </c>
      <c r="J190" s="236">
        <v>0</v>
      </c>
      <c r="K190" s="93">
        <f t="shared" si="4"/>
        <v>10520921</v>
      </c>
      <c r="L190" s="52"/>
      <c r="M190" s="237">
        <v>97797</v>
      </c>
      <c r="N190" s="237">
        <v>0</v>
      </c>
      <c r="O190" s="236">
        <v>291905</v>
      </c>
      <c r="P190" s="93">
        <f t="shared" si="5"/>
        <v>389702</v>
      </c>
      <c r="Q190" s="52"/>
      <c r="R190" s="237">
        <v>5247600</v>
      </c>
      <c r="S190" s="236">
        <v>-120864</v>
      </c>
      <c r="T190" s="238">
        <v>5126736</v>
      </c>
    </row>
    <row r="191" spans="1:20">
      <c r="A191" s="50">
        <v>91804</v>
      </c>
      <c r="B191" s="51" t="s">
        <v>902</v>
      </c>
      <c r="C191" s="239">
        <v>1.4770000000000001E-4</v>
      </c>
      <c r="D191" s="239">
        <v>1.3439999999999999E-4</v>
      </c>
      <c r="E191" s="193">
        <v>350395</v>
      </c>
      <c r="F191" s="193" t="s">
        <v>1930</v>
      </c>
      <c r="G191" s="237">
        <v>54058</v>
      </c>
      <c r="H191" s="225">
        <v>48099</v>
      </c>
      <c r="I191" s="237">
        <v>92981</v>
      </c>
      <c r="J191" s="236">
        <v>68194</v>
      </c>
      <c r="K191" s="93">
        <f t="shared" si="4"/>
        <v>263332</v>
      </c>
      <c r="L191" s="52"/>
      <c r="M191" s="237">
        <v>1814</v>
      </c>
      <c r="N191" s="237">
        <v>0</v>
      </c>
      <c r="O191" s="236">
        <v>0</v>
      </c>
      <c r="P191" s="93">
        <f t="shared" si="5"/>
        <v>1814</v>
      </c>
      <c r="Q191" s="52"/>
      <c r="R191" s="237">
        <v>97330</v>
      </c>
      <c r="S191" s="236">
        <v>32579</v>
      </c>
      <c r="T191" s="238">
        <v>129909</v>
      </c>
    </row>
    <row r="192" spans="1:20">
      <c r="A192" s="50">
        <v>91811</v>
      </c>
      <c r="B192" s="51" t="s">
        <v>903</v>
      </c>
      <c r="C192" s="239">
        <v>4.4413999999999999E-3</v>
      </c>
      <c r="D192" s="239">
        <v>4.5555999999999999E-3</v>
      </c>
      <c r="E192" s="193">
        <v>10536520</v>
      </c>
      <c r="F192" s="193" t="s">
        <v>1930</v>
      </c>
      <c r="G192" s="237">
        <v>1625535</v>
      </c>
      <c r="H192" s="225">
        <v>1446350</v>
      </c>
      <c r="I192" s="237">
        <v>2795986</v>
      </c>
      <c r="J192" s="236">
        <v>0</v>
      </c>
      <c r="K192" s="93">
        <f t="shared" si="4"/>
        <v>5867871</v>
      </c>
      <c r="L192" s="52"/>
      <c r="M192" s="237">
        <v>54545</v>
      </c>
      <c r="N192" s="237">
        <v>0</v>
      </c>
      <c r="O192" s="236">
        <v>497047</v>
      </c>
      <c r="P192" s="93">
        <f t="shared" si="5"/>
        <v>551592</v>
      </c>
      <c r="Q192" s="52"/>
      <c r="R192" s="237">
        <v>2926763</v>
      </c>
      <c r="S192" s="236">
        <v>-241160</v>
      </c>
      <c r="T192" s="238">
        <v>2685603</v>
      </c>
    </row>
    <row r="193" spans="1:20">
      <c r="A193" s="50">
        <v>91812</v>
      </c>
      <c r="B193" s="51" t="s">
        <v>2757</v>
      </c>
      <c r="C193" s="239">
        <v>5.3600000000000002E-5</v>
      </c>
      <c r="D193" s="239">
        <v>5.0800000000000002E-5</v>
      </c>
      <c r="E193" s="193">
        <v>127158</v>
      </c>
      <c r="F193" s="193" t="s">
        <v>1930</v>
      </c>
      <c r="G193" s="237">
        <v>19617</v>
      </c>
      <c r="H193" s="225">
        <v>17455</v>
      </c>
      <c r="I193" s="237">
        <v>33743</v>
      </c>
      <c r="J193" s="236">
        <v>9789</v>
      </c>
      <c r="K193" s="93">
        <f t="shared" si="4"/>
        <v>80604</v>
      </c>
      <c r="L193" s="52"/>
      <c r="M193" s="237">
        <v>658</v>
      </c>
      <c r="N193" s="237">
        <v>0</v>
      </c>
      <c r="O193" s="236">
        <v>2033</v>
      </c>
      <c r="P193" s="93">
        <f t="shared" si="5"/>
        <v>2691</v>
      </c>
      <c r="Q193" s="52"/>
      <c r="R193" s="237">
        <v>35321</v>
      </c>
      <c r="S193" s="236">
        <v>5503</v>
      </c>
      <c r="T193" s="238">
        <v>40824</v>
      </c>
    </row>
    <row r="194" spans="1:20">
      <c r="A194" s="50">
        <v>91813</v>
      </c>
      <c r="B194" s="51" t="s">
        <v>905</v>
      </c>
      <c r="C194" s="239">
        <v>8.1299999999999997E-5</v>
      </c>
      <c r="D194" s="239">
        <v>8.6100000000000006E-5</v>
      </c>
      <c r="E194" s="193">
        <v>192871</v>
      </c>
      <c r="F194" s="193" t="s">
        <v>1930</v>
      </c>
      <c r="G194" s="237">
        <v>29755</v>
      </c>
      <c r="H194" s="225">
        <v>26476</v>
      </c>
      <c r="I194" s="237">
        <v>51181</v>
      </c>
      <c r="J194" s="236">
        <v>5758</v>
      </c>
      <c r="K194" s="93">
        <f t="shared" si="4"/>
        <v>113170</v>
      </c>
      <c r="L194" s="52"/>
      <c r="M194" s="237">
        <v>998</v>
      </c>
      <c r="N194" s="237">
        <v>0</v>
      </c>
      <c r="O194" s="236">
        <v>10114</v>
      </c>
      <c r="P194" s="93">
        <f t="shared" si="5"/>
        <v>11112</v>
      </c>
      <c r="Q194" s="52"/>
      <c r="R194" s="237">
        <v>53575</v>
      </c>
      <c r="S194" s="236">
        <v>-606</v>
      </c>
      <c r="T194" s="238">
        <v>52969</v>
      </c>
    </row>
    <row r="195" spans="1:20">
      <c r="A195" s="50">
        <v>91818</v>
      </c>
      <c r="B195" s="51" t="s">
        <v>906</v>
      </c>
      <c r="C195" s="239">
        <v>3.9429999999999999E-4</v>
      </c>
      <c r="D195" s="239">
        <v>4.0079999999999998E-4</v>
      </c>
      <c r="E195" s="193">
        <v>935414</v>
      </c>
      <c r="F195" s="193" t="s">
        <v>1930</v>
      </c>
      <c r="G195" s="237">
        <v>144312</v>
      </c>
      <c r="H195" s="225">
        <v>128404</v>
      </c>
      <c r="I195" s="237">
        <v>248223</v>
      </c>
      <c r="J195" s="236">
        <v>524689</v>
      </c>
      <c r="K195" s="93">
        <f t="shared" si="4"/>
        <v>1045628</v>
      </c>
      <c r="L195" s="52"/>
      <c r="M195" s="237">
        <v>4842</v>
      </c>
      <c r="N195" s="237">
        <v>0</v>
      </c>
      <c r="O195" s="236">
        <v>0</v>
      </c>
      <c r="P195" s="93">
        <f t="shared" si="5"/>
        <v>4842</v>
      </c>
      <c r="Q195" s="52"/>
      <c r="R195" s="237">
        <v>259833</v>
      </c>
      <c r="S195" s="236">
        <v>209067</v>
      </c>
      <c r="T195" s="238">
        <v>468900</v>
      </c>
    </row>
    <row r="196" spans="1:20">
      <c r="A196" s="50">
        <v>91819</v>
      </c>
      <c r="B196" s="51" t="s">
        <v>907</v>
      </c>
      <c r="C196" s="239">
        <v>3.0469999999999998E-4</v>
      </c>
      <c r="D196" s="239">
        <v>2.8489999999999999E-4</v>
      </c>
      <c r="E196" s="193">
        <v>722853</v>
      </c>
      <c r="F196" s="193" t="s">
        <v>1930</v>
      </c>
      <c r="G196" s="237">
        <v>111519</v>
      </c>
      <c r="H196" s="225">
        <v>99226</v>
      </c>
      <c r="I196" s="237">
        <v>191817</v>
      </c>
      <c r="J196" s="236">
        <v>26641</v>
      </c>
      <c r="K196" s="93">
        <f t="shared" si="4"/>
        <v>429203</v>
      </c>
      <c r="L196" s="52"/>
      <c r="M196" s="237">
        <v>3742</v>
      </c>
      <c r="N196" s="237">
        <v>0</v>
      </c>
      <c r="O196" s="236">
        <v>4590</v>
      </c>
      <c r="P196" s="93">
        <f t="shared" si="5"/>
        <v>8332</v>
      </c>
      <c r="Q196" s="52"/>
      <c r="R196" s="237">
        <v>200789</v>
      </c>
      <c r="S196" s="236">
        <v>10326</v>
      </c>
      <c r="T196" s="238">
        <v>211115</v>
      </c>
    </row>
    <row r="197" spans="1:20">
      <c r="A197" s="50">
        <v>91821</v>
      </c>
      <c r="B197" s="51" t="s">
        <v>908</v>
      </c>
      <c r="C197" s="239">
        <v>1.671E-4</v>
      </c>
      <c r="D197" s="239">
        <v>1.7330000000000001E-4</v>
      </c>
      <c r="E197" s="193">
        <v>396418</v>
      </c>
      <c r="F197" s="193" t="s">
        <v>1930</v>
      </c>
      <c r="G197" s="237">
        <v>61158</v>
      </c>
      <c r="H197" s="225">
        <v>54416</v>
      </c>
      <c r="I197" s="237">
        <v>105194</v>
      </c>
      <c r="J197" s="236">
        <v>487</v>
      </c>
      <c r="K197" s="93">
        <f t="shared" si="4"/>
        <v>221255</v>
      </c>
      <c r="L197" s="52"/>
      <c r="M197" s="237">
        <v>2052</v>
      </c>
      <c r="N197" s="237">
        <v>0</v>
      </c>
      <c r="O197" s="236">
        <v>9930</v>
      </c>
      <c r="P197" s="93">
        <f t="shared" si="5"/>
        <v>11982</v>
      </c>
      <c r="Q197" s="52"/>
      <c r="R197" s="237">
        <v>110114</v>
      </c>
      <c r="S197" s="236">
        <v>-745</v>
      </c>
      <c r="T197" s="238">
        <v>109369</v>
      </c>
    </row>
    <row r="198" spans="1:20">
      <c r="A198" s="50">
        <v>91831</v>
      </c>
      <c r="B198" s="51" t="s">
        <v>2207</v>
      </c>
      <c r="C198" s="239">
        <v>3.7740000000000001E-4</v>
      </c>
      <c r="D198" s="239">
        <v>3.366E-4</v>
      </c>
      <c r="E198" s="193">
        <v>895322</v>
      </c>
      <c r="F198" s="193" t="s">
        <v>1930</v>
      </c>
      <c r="G198" s="237">
        <v>138127</v>
      </c>
      <c r="H198" s="225">
        <v>122901</v>
      </c>
      <c r="I198" s="237">
        <v>237584</v>
      </c>
      <c r="J198" s="236">
        <v>17106</v>
      </c>
      <c r="K198" s="93">
        <f t="shared" si="4"/>
        <v>515718</v>
      </c>
      <c r="L198" s="52"/>
      <c r="M198" s="237">
        <v>4635</v>
      </c>
      <c r="N198" s="237">
        <v>0</v>
      </c>
      <c r="O198" s="236">
        <v>9431</v>
      </c>
      <c r="P198" s="93">
        <f t="shared" si="5"/>
        <v>14066</v>
      </c>
      <c r="Q198" s="52"/>
      <c r="R198" s="237">
        <v>248696</v>
      </c>
      <c r="S198" s="236">
        <v>3967</v>
      </c>
      <c r="T198" s="238">
        <v>252663</v>
      </c>
    </row>
    <row r="199" spans="1:20">
      <c r="A199" s="50">
        <v>91841</v>
      </c>
      <c r="B199" s="51" t="s">
        <v>2208</v>
      </c>
      <c r="C199" s="239">
        <v>2.6479999999999999E-4</v>
      </c>
      <c r="D199" s="239">
        <v>2.5339999999999998E-4</v>
      </c>
      <c r="E199" s="193">
        <v>628196</v>
      </c>
      <c r="F199" s="193" t="s">
        <v>1930</v>
      </c>
      <c r="G199" s="237">
        <v>96916</v>
      </c>
      <c r="H199" s="225">
        <v>86233</v>
      </c>
      <c r="I199" s="237">
        <v>166699</v>
      </c>
      <c r="J199" s="236">
        <v>5951</v>
      </c>
      <c r="K199" s="93">
        <f t="shared" si="4"/>
        <v>355799</v>
      </c>
      <c r="L199" s="52"/>
      <c r="M199" s="237">
        <v>3252</v>
      </c>
      <c r="N199" s="237">
        <v>0</v>
      </c>
      <c r="O199" s="236">
        <v>4615</v>
      </c>
      <c r="P199" s="93">
        <f t="shared" si="5"/>
        <v>7867</v>
      </c>
      <c r="Q199" s="52"/>
      <c r="R199" s="237">
        <v>174496</v>
      </c>
      <c r="S199" s="236">
        <v>-8503</v>
      </c>
      <c r="T199" s="238">
        <v>165993</v>
      </c>
    </row>
    <row r="200" spans="1:20">
      <c r="A200" s="50">
        <v>91851</v>
      </c>
      <c r="B200" s="51" t="s">
        <v>2209</v>
      </c>
      <c r="C200" s="239">
        <v>7.3039999999999997E-4</v>
      </c>
      <c r="D200" s="239">
        <v>7.4910000000000005E-4</v>
      </c>
      <c r="E200" s="193">
        <v>1732759</v>
      </c>
      <c r="F200" s="193" t="s">
        <v>1930</v>
      </c>
      <c r="G200" s="237">
        <v>267323</v>
      </c>
      <c r="H200" s="225">
        <v>237856</v>
      </c>
      <c r="I200" s="237">
        <v>459807</v>
      </c>
      <c r="J200" s="236">
        <v>4093</v>
      </c>
      <c r="K200" s="93">
        <f t="shared" si="4"/>
        <v>969079</v>
      </c>
      <c r="L200" s="52"/>
      <c r="M200" s="237">
        <v>8970</v>
      </c>
      <c r="N200" s="237">
        <v>0</v>
      </c>
      <c r="O200" s="236">
        <v>35449</v>
      </c>
      <c r="P200" s="93">
        <f t="shared" si="5"/>
        <v>44419</v>
      </c>
      <c r="Q200" s="52"/>
      <c r="R200" s="237">
        <v>481314</v>
      </c>
      <c r="S200" s="236">
        <v>-15851</v>
      </c>
      <c r="T200" s="238">
        <v>465463</v>
      </c>
    </row>
    <row r="201" spans="1:20">
      <c r="A201" s="50">
        <v>91861</v>
      </c>
      <c r="B201" s="51" t="s">
        <v>2210</v>
      </c>
      <c r="C201" s="239">
        <v>1.1800000000000001E-5</v>
      </c>
      <c r="D201" s="239">
        <v>1.9700000000000001E-5</v>
      </c>
      <c r="E201" s="193">
        <v>27994</v>
      </c>
      <c r="F201" s="193" t="s">
        <v>1930</v>
      </c>
      <c r="G201" s="237">
        <v>4319</v>
      </c>
      <c r="H201" s="225">
        <v>3843</v>
      </c>
      <c r="I201" s="237">
        <v>7428</v>
      </c>
      <c r="J201" s="236">
        <v>1009</v>
      </c>
      <c r="K201" s="93">
        <f t="shared" si="4"/>
        <v>16599</v>
      </c>
      <c r="L201" s="52"/>
      <c r="M201" s="237">
        <v>145</v>
      </c>
      <c r="N201" s="237">
        <v>0</v>
      </c>
      <c r="O201" s="236">
        <v>5115</v>
      </c>
      <c r="P201" s="93">
        <f t="shared" si="5"/>
        <v>5260</v>
      </c>
      <c r="Q201" s="52"/>
      <c r="R201" s="237">
        <v>7776</v>
      </c>
      <c r="S201" s="236">
        <v>-408</v>
      </c>
      <c r="T201" s="238">
        <v>7368</v>
      </c>
    </row>
    <row r="202" spans="1:20">
      <c r="A202" s="50">
        <v>91871</v>
      </c>
      <c r="B202" s="51" t="s">
        <v>913</v>
      </c>
      <c r="C202" s="239">
        <v>1.3219E-3</v>
      </c>
      <c r="D202" s="239">
        <v>1.3319E-3</v>
      </c>
      <c r="E202" s="193">
        <v>3135999</v>
      </c>
      <c r="F202" s="193" t="s">
        <v>1930</v>
      </c>
      <c r="G202" s="237">
        <v>483810</v>
      </c>
      <c r="H202" s="225">
        <v>430480</v>
      </c>
      <c r="I202" s="237">
        <v>832173</v>
      </c>
      <c r="J202" s="236">
        <v>16903</v>
      </c>
      <c r="K202" s="93">
        <f t="shared" si="4"/>
        <v>1763366</v>
      </c>
      <c r="L202" s="52"/>
      <c r="M202" s="237">
        <v>16234</v>
      </c>
      <c r="N202" s="237">
        <v>0</v>
      </c>
      <c r="O202" s="236">
        <v>71958</v>
      </c>
      <c r="P202" s="93">
        <f t="shared" si="5"/>
        <v>88192</v>
      </c>
      <c r="Q202" s="52"/>
      <c r="R202" s="237">
        <v>871096</v>
      </c>
      <c r="S202" s="236">
        <v>-36895</v>
      </c>
      <c r="T202" s="238">
        <v>834201</v>
      </c>
    </row>
    <row r="203" spans="1:20">
      <c r="A203" s="50">
        <v>91881</v>
      </c>
      <c r="B203" s="51" t="s">
        <v>2211</v>
      </c>
      <c r="C203" s="239">
        <v>8.1000000000000004E-6</v>
      </c>
      <c r="D203" s="239">
        <v>9.3000000000000007E-6</v>
      </c>
      <c r="E203" s="193">
        <v>19216</v>
      </c>
      <c r="F203" s="193" t="s">
        <v>1930</v>
      </c>
      <c r="G203" s="237">
        <v>2965</v>
      </c>
      <c r="H203" s="225">
        <v>2638</v>
      </c>
      <c r="I203" s="237">
        <v>5099</v>
      </c>
      <c r="J203" s="236">
        <v>917</v>
      </c>
      <c r="K203" s="93">
        <f t="shared" si="4"/>
        <v>11619</v>
      </c>
      <c r="L203" s="52"/>
      <c r="M203" s="237">
        <v>99</v>
      </c>
      <c r="N203" s="237">
        <v>0</v>
      </c>
      <c r="O203" s="236">
        <v>2944</v>
      </c>
      <c r="P203" s="93">
        <f t="shared" si="5"/>
        <v>3043</v>
      </c>
      <c r="Q203" s="52"/>
      <c r="R203" s="237">
        <v>5338</v>
      </c>
      <c r="S203" s="236">
        <v>-5564</v>
      </c>
      <c r="T203" s="238">
        <v>-226</v>
      </c>
    </row>
    <row r="204" spans="1:20">
      <c r="A204" s="50">
        <v>91901</v>
      </c>
      <c r="B204" s="51" t="s">
        <v>915</v>
      </c>
      <c r="C204" s="239">
        <v>3.6922000000000001E-3</v>
      </c>
      <c r="D204" s="239">
        <v>3.6706999999999998E-3</v>
      </c>
      <c r="E204" s="193">
        <v>8759161</v>
      </c>
      <c r="F204" s="193" t="s">
        <v>1930</v>
      </c>
      <c r="G204" s="237">
        <v>1351330</v>
      </c>
      <c r="H204" s="225">
        <v>1202373</v>
      </c>
      <c r="I204" s="237">
        <v>2324343</v>
      </c>
      <c r="J204" s="236">
        <v>32174</v>
      </c>
      <c r="K204" s="93">
        <f t="shared" ref="K204:K272" si="6">G204+H204+I204+J204</f>
        <v>4910220</v>
      </c>
      <c r="L204" s="52"/>
      <c r="M204" s="237">
        <v>45344</v>
      </c>
      <c r="N204" s="237">
        <v>0</v>
      </c>
      <c r="O204" s="236">
        <v>47401</v>
      </c>
      <c r="P204" s="93">
        <f t="shared" ref="P204:P272" si="7">M204+N204+O204</f>
        <v>92745</v>
      </c>
      <c r="Q204" s="52"/>
      <c r="R204" s="237">
        <v>2433060</v>
      </c>
      <c r="S204" s="236">
        <v>44660</v>
      </c>
      <c r="T204" s="238">
        <v>2477720</v>
      </c>
    </row>
    <row r="205" spans="1:20">
      <c r="A205" s="50">
        <v>91903</v>
      </c>
      <c r="B205" s="51" t="s">
        <v>2758</v>
      </c>
      <c r="C205" s="239">
        <v>8.8000000000000004E-6</v>
      </c>
      <c r="D205" s="239">
        <v>8.6999999999999997E-6</v>
      </c>
      <c r="E205" s="193">
        <v>20877</v>
      </c>
      <c r="F205" s="193" t="s">
        <v>1930</v>
      </c>
      <c r="G205" s="237">
        <v>3221</v>
      </c>
      <c r="H205" s="225">
        <v>2866</v>
      </c>
      <c r="I205" s="237">
        <v>5540</v>
      </c>
      <c r="J205" s="236">
        <v>3278</v>
      </c>
      <c r="K205" s="93">
        <f t="shared" si="6"/>
        <v>14905</v>
      </c>
      <c r="L205" s="52"/>
      <c r="M205" s="237">
        <v>108</v>
      </c>
      <c r="N205" s="237">
        <v>0</v>
      </c>
      <c r="O205" s="236">
        <v>0</v>
      </c>
      <c r="P205" s="93">
        <f t="shared" si="7"/>
        <v>108</v>
      </c>
      <c r="Q205" s="52"/>
      <c r="R205" s="237">
        <v>5799</v>
      </c>
      <c r="S205" s="236">
        <v>-1932</v>
      </c>
      <c r="T205" s="238">
        <v>3867</v>
      </c>
    </row>
    <row r="206" spans="1:20">
      <c r="A206" s="50">
        <v>91904</v>
      </c>
      <c r="B206" s="51" t="s">
        <v>917</v>
      </c>
      <c r="C206" s="239">
        <v>3.1399999999999998E-5</v>
      </c>
      <c r="D206" s="239">
        <v>3.3399999999999999E-5</v>
      </c>
      <c r="E206" s="193">
        <v>74492</v>
      </c>
      <c r="F206" s="193" t="s">
        <v>1930</v>
      </c>
      <c r="G206" s="237">
        <v>11492</v>
      </c>
      <c r="H206" s="225">
        <v>10225</v>
      </c>
      <c r="I206" s="237">
        <v>19767</v>
      </c>
      <c r="J206" s="236">
        <v>6870</v>
      </c>
      <c r="K206" s="93">
        <f t="shared" si="6"/>
        <v>48354</v>
      </c>
      <c r="L206" s="52"/>
      <c r="M206" s="237">
        <v>386</v>
      </c>
      <c r="N206" s="237">
        <v>0</v>
      </c>
      <c r="O206" s="236">
        <v>434</v>
      </c>
      <c r="P206" s="93">
        <f t="shared" si="7"/>
        <v>820</v>
      </c>
      <c r="Q206" s="52"/>
      <c r="R206" s="237">
        <v>20692</v>
      </c>
      <c r="S206" s="236">
        <v>4213</v>
      </c>
      <c r="T206" s="238">
        <v>24905</v>
      </c>
    </row>
    <row r="207" spans="1:20">
      <c r="A207" s="50">
        <v>91908</v>
      </c>
      <c r="B207" s="51" t="s">
        <v>918</v>
      </c>
      <c r="C207" s="239">
        <v>1.5299999999999999E-5</v>
      </c>
      <c r="D207" s="239">
        <v>1.6900000000000001E-5</v>
      </c>
      <c r="E207" s="193">
        <v>36297</v>
      </c>
      <c r="F207" s="193" t="s">
        <v>1930</v>
      </c>
      <c r="G207" s="237">
        <v>5600</v>
      </c>
      <c r="H207" s="225">
        <v>4983</v>
      </c>
      <c r="I207" s="237">
        <v>9632</v>
      </c>
      <c r="J207" s="236">
        <v>106</v>
      </c>
      <c r="K207" s="93">
        <f t="shared" si="6"/>
        <v>20321</v>
      </c>
      <c r="L207" s="52"/>
      <c r="M207" s="237">
        <v>188</v>
      </c>
      <c r="N207" s="237">
        <v>0</v>
      </c>
      <c r="O207" s="236">
        <v>4660</v>
      </c>
      <c r="P207" s="93">
        <f t="shared" si="7"/>
        <v>4848</v>
      </c>
      <c r="Q207" s="52"/>
      <c r="R207" s="237">
        <v>10082</v>
      </c>
      <c r="S207" s="236">
        <v>-814</v>
      </c>
      <c r="T207" s="238">
        <v>9268</v>
      </c>
    </row>
    <row r="208" spans="1:20">
      <c r="A208" s="50">
        <v>91911</v>
      </c>
      <c r="B208" s="51" t="s">
        <v>2212</v>
      </c>
      <c r="C208" s="239">
        <v>4.8529999999999998E-4</v>
      </c>
      <c r="D208" s="239">
        <v>4.5580000000000002E-4</v>
      </c>
      <c r="E208" s="193">
        <v>1151298</v>
      </c>
      <c r="F208" s="193" t="s">
        <v>1930</v>
      </c>
      <c r="G208" s="237">
        <v>177618</v>
      </c>
      <c r="H208" s="225">
        <v>158038</v>
      </c>
      <c r="I208" s="237">
        <v>305510</v>
      </c>
      <c r="J208" s="236">
        <v>25824</v>
      </c>
      <c r="K208" s="93">
        <f t="shared" si="6"/>
        <v>666990</v>
      </c>
      <c r="L208" s="52"/>
      <c r="M208" s="237">
        <v>5960</v>
      </c>
      <c r="N208" s="237">
        <v>0</v>
      </c>
      <c r="O208" s="236">
        <v>1556</v>
      </c>
      <c r="P208" s="93">
        <f t="shared" si="7"/>
        <v>7516</v>
      </c>
      <c r="Q208" s="52"/>
      <c r="R208" s="237">
        <v>319800</v>
      </c>
      <c r="S208" s="236">
        <v>4709</v>
      </c>
      <c r="T208" s="238">
        <v>324509</v>
      </c>
    </row>
    <row r="209" spans="1:20">
      <c r="A209" s="50">
        <v>91917</v>
      </c>
      <c r="B209" s="51" t="s">
        <v>920</v>
      </c>
      <c r="C209" s="239">
        <v>1.04E-5</v>
      </c>
      <c r="D209" s="239">
        <v>1.22E-5</v>
      </c>
      <c r="E209" s="193">
        <v>24672</v>
      </c>
      <c r="F209" s="193" t="s">
        <v>1930</v>
      </c>
      <c r="G209" s="237">
        <v>3806</v>
      </c>
      <c r="H209" s="225">
        <v>3387</v>
      </c>
      <c r="I209" s="237">
        <v>6547</v>
      </c>
      <c r="J209" s="236">
        <v>521</v>
      </c>
      <c r="K209" s="93">
        <f t="shared" si="6"/>
        <v>14261</v>
      </c>
      <c r="L209" s="52"/>
      <c r="M209" s="237">
        <v>128</v>
      </c>
      <c r="N209" s="237">
        <v>0</v>
      </c>
      <c r="O209" s="236">
        <v>233</v>
      </c>
      <c r="P209" s="93">
        <f t="shared" si="7"/>
        <v>361</v>
      </c>
      <c r="Q209" s="52"/>
      <c r="R209" s="237">
        <v>6853</v>
      </c>
      <c r="S209" s="236">
        <v>175</v>
      </c>
      <c r="T209" s="238">
        <v>7028</v>
      </c>
    </row>
    <row r="210" spans="1:20">
      <c r="A210" s="50">
        <v>91921</v>
      </c>
      <c r="B210" s="51" t="s">
        <v>2213</v>
      </c>
      <c r="C210" s="239">
        <v>3.5619999999999998E-4</v>
      </c>
      <c r="D210" s="239">
        <v>3.769E-4</v>
      </c>
      <c r="E210" s="193">
        <v>845028</v>
      </c>
      <c r="F210" s="193" t="s">
        <v>1930</v>
      </c>
      <c r="G210" s="237">
        <v>130368</v>
      </c>
      <c r="H210" s="225">
        <v>115997</v>
      </c>
      <c r="I210" s="237">
        <v>224238</v>
      </c>
      <c r="J210" s="236">
        <v>0</v>
      </c>
      <c r="K210" s="93">
        <f t="shared" si="6"/>
        <v>470603</v>
      </c>
      <c r="L210" s="52"/>
      <c r="M210" s="237">
        <v>4374</v>
      </c>
      <c r="N210" s="237">
        <v>0</v>
      </c>
      <c r="O210" s="236">
        <v>26775</v>
      </c>
      <c r="P210" s="93">
        <f t="shared" si="7"/>
        <v>31149</v>
      </c>
      <c r="Q210" s="52"/>
      <c r="R210" s="237">
        <v>234726</v>
      </c>
      <c r="S210" s="236">
        <v>-10664</v>
      </c>
      <c r="T210" s="238">
        <v>224062</v>
      </c>
    </row>
    <row r="211" spans="1:20">
      <c r="A211" s="50">
        <v>92001</v>
      </c>
      <c r="B211" s="51" t="s">
        <v>922</v>
      </c>
      <c r="C211" s="239">
        <v>1.8332999999999999E-3</v>
      </c>
      <c r="D211" s="239">
        <v>1.8143E-3</v>
      </c>
      <c r="E211" s="193">
        <v>4349215</v>
      </c>
      <c r="F211" s="193" t="s">
        <v>1930</v>
      </c>
      <c r="G211" s="237">
        <v>670980</v>
      </c>
      <c r="H211" s="225">
        <v>597017</v>
      </c>
      <c r="I211" s="237">
        <v>1154114</v>
      </c>
      <c r="J211" s="236">
        <v>30924</v>
      </c>
      <c r="K211" s="93">
        <f t="shared" si="6"/>
        <v>2453035</v>
      </c>
      <c r="L211" s="52"/>
      <c r="M211" s="237">
        <v>22515</v>
      </c>
      <c r="N211" s="237">
        <v>0</v>
      </c>
      <c r="O211" s="236">
        <v>112538</v>
      </c>
      <c r="P211" s="93">
        <f t="shared" si="7"/>
        <v>135053</v>
      </c>
      <c r="Q211" s="52"/>
      <c r="R211" s="237">
        <v>1208095</v>
      </c>
      <c r="S211" s="236">
        <v>-45166</v>
      </c>
      <c r="T211" s="238">
        <v>1162929</v>
      </c>
    </row>
    <row r="212" spans="1:20">
      <c r="A212" s="50">
        <v>92005</v>
      </c>
      <c r="B212" s="51" t="s">
        <v>923</v>
      </c>
      <c r="C212" s="239">
        <v>4.2700000000000001E-5</v>
      </c>
      <c r="D212" s="239">
        <v>4.1399999999999997E-5</v>
      </c>
      <c r="E212" s="193">
        <v>101299</v>
      </c>
      <c r="F212" s="193" t="s">
        <v>1930</v>
      </c>
      <c r="G212" s="237">
        <v>15628</v>
      </c>
      <c r="H212" s="225">
        <v>13906</v>
      </c>
      <c r="I212" s="237">
        <v>26881</v>
      </c>
      <c r="J212" s="236">
        <v>4118</v>
      </c>
      <c r="K212" s="93">
        <f t="shared" si="6"/>
        <v>60533</v>
      </c>
      <c r="L212" s="52"/>
      <c r="M212" s="237">
        <v>524</v>
      </c>
      <c r="N212" s="237">
        <v>0</v>
      </c>
      <c r="O212" s="236">
        <v>1571</v>
      </c>
      <c r="P212" s="93">
        <f t="shared" si="7"/>
        <v>2095</v>
      </c>
      <c r="Q212" s="52"/>
      <c r="R212" s="237">
        <v>28138</v>
      </c>
      <c r="S212" s="236">
        <v>1018</v>
      </c>
      <c r="T212" s="238">
        <v>29156</v>
      </c>
    </row>
    <row r="213" spans="1:20">
      <c r="A213" s="50">
        <v>92011</v>
      </c>
      <c r="B213" s="51" t="s">
        <v>2214</v>
      </c>
      <c r="C213" s="239">
        <v>1.916E-4</v>
      </c>
      <c r="D213" s="239">
        <v>2.0049999999999999E-4</v>
      </c>
      <c r="E213" s="193">
        <v>454541</v>
      </c>
      <c r="F213" s="193" t="s">
        <v>1930</v>
      </c>
      <c r="G213" s="237">
        <v>70125</v>
      </c>
      <c r="H213" s="225">
        <v>62395</v>
      </c>
      <c r="I213" s="237">
        <v>120618</v>
      </c>
      <c r="J213" s="236">
        <v>7900</v>
      </c>
      <c r="K213" s="93">
        <f t="shared" si="6"/>
        <v>261038</v>
      </c>
      <c r="L213" s="52"/>
      <c r="M213" s="237">
        <v>2353</v>
      </c>
      <c r="N213" s="237">
        <v>0</v>
      </c>
      <c r="O213" s="236">
        <v>5785</v>
      </c>
      <c r="P213" s="93">
        <f t="shared" si="7"/>
        <v>8138</v>
      </c>
      <c r="Q213" s="52"/>
      <c r="R213" s="237">
        <v>126259</v>
      </c>
      <c r="S213" s="236">
        <v>8269</v>
      </c>
      <c r="T213" s="238">
        <v>134528</v>
      </c>
    </row>
    <row r="214" spans="1:20">
      <c r="A214" s="50">
        <v>92017</v>
      </c>
      <c r="B214" s="51" t="s">
        <v>925</v>
      </c>
      <c r="C214" s="239">
        <v>3.3200000000000001E-5</v>
      </c>
      <c r="D214" s="239">
        <v>3.4199999999999998E-5</v>
      </c>
      <c r="E214" s="193">
        <v>78762</v>
      </c>
      <c r="F214" s="193" t="s">
        <v>1930</v>
      </c>
      <c r="G214" s="237">
        <v>12151</v>
      </c>
      <c r="H214" s="225">
        <v>10811</v>
      </c>
      <c r="I214" s="237">
        <v>20900</v>
      </c>
      <c r="J214" s="236">
        <v>1396</v>
      </c>
      <c r="K214" s="93">
        <f t="shared" si="6"/>
        <v>45258</v>
      </c>
      <c r="L214" s="52"/>
      <c r="M214" s="237">
        <v>408</v>
      </c>
      <c r="N214" s="237">
        <v>0</v>
      </c>
      <c r="O214" s="236">
        <v>361</v>
      </c>
      <c r="P214" s="93">
        <f t="shared" si="7"/>
        <v>769</v>
      </c>
      <c r="Q214" s="52"/>
      <c r="R214" s="237">
        <v>21878</v>
      </c>
      <c r="S214" s="236">
        <v>-415</v>
      </c>
      <c r="T214" s="238">
        <v>21463</v>
      </c>
    </row>
    <row r="215" spans="1:20">
      <c r="A215" s="50">
        <v>92021</v>
      </c>
      <c r="B215" s="51" t="s">
        <v>2215</v>
      </c>
      <c r="C215" s="239">
        <v>1.451E-4</v>
      </c>
      <c r="D215" s="239">
        <v>1.5779999999999999E-4</v>
      </c>
      <c r="E215" s="193">
        <v>344227</v>
      </c>
      <c r="F215" s="193" t="s">
        <v>1930</v>
      </c>
      <c r="G215" s="237">
        <v>53106</v>
      </c>
      <c r="H215" s="225">
        <v>47253</v>
      </c>
      <c r="I215" s="237">
        <v>91345</v>
      </c>
      <c r="J215" s="236">
        <v>20876</v>
      </c>
      <c r="K215" s="93">
        <f t="shared" si="6"/>
        <v>212580</v>
      </c>
      <c r="L215" s="52"/>
      <c r="M215" s="237">
        <v>1782</v>
      </c>
      <c r="N215" s="237">
        <v>0</v>
      </c>
      <c r="O215" s="236">
        <v>23774</v>
      </c>
      <c r="P215" s="93">
        <f t="shared" si="7"/>
        <v>25556</v>
      </c>
      <c r="Q215" s="52"/>
      <c r="R215" s="237">
        <v>95617</v>
      </c>
      <c r="S215" s="236">
        <v>-3302</v>
      </c>
      <c r="T215" s="238">
        <v>92315</v>
      </c>
    </row>
    <row r="216" spans="1:20">
      <c r="A216" s="50">
        <v>92101</v>
      </c>
      <c r="B216" s="51" t="s">
        <v>927</v>
      </c>
      <c r="C216" s="239">
        <v>8.183E-4</v>
      </c>
      <c r="D216" s="239">
        <v>8.5209999999999995E-4</v>
      </c>
      <c r="E216" s="193">
        <v>1941287</v>
      </c>
      <c r="F216" s="193" t="s">
        <v>1930</v>
      </c>
      <c r="G216" s="237">
        <v>299495</v>
      </c>
      <c r="H216" s="225">
        <v>266481</v>
      </c>
      <c r="I216" s="237">
        <v>515143</v>
      </c>
      <c r="J216" s="236">
        <v>575</v>
      </c>
      <c r="K216" s="93">
        <f t="shared" si="6"/>
        <v>1081694</v>
      </c>
      <c r="L216" s="52"/>
      <c r="M216" s="237">
        <v>10050</v>
      </c>
      <c r="N216" s="237">
        <v>0</v>
      </c>
      <c r="O216" s="236">
        <v>80217</v>
      </c>
      <c r="P216" s="93">
        <f t="shared" si="7"/>
        <v>90267</v>
      </c>
      <c r="Q216" s="52"/>
      <c r="R216" s="237">
        <v>539238</v>
      </c>
      <c r="S216" s="236">
        <v>-19299</v>
      </c>
      <c r="T216" s="238">
        <v>519939</v>
      </c>
    </row>
    <row r="217" spans="1:20">
      <c r="A217" s="50">
        <v>92104</v>
      </c>
      <c r="B217" s="51" t="s">
        <v>928</v>
      </c>
      <c r="C217" s="239">
        <v>8.3999999999999992E-6</v>
      </c>
      <c r="D217" s="239">
        <v>8.6000000000000007E-6</v>
      </c>
      <c r="E217" s="193">
        <v>19928</v>
      </c>
      <c r="F217" s="193" t="s">
        <v>1930</v>
      </c>
      <c r="G217" s="237">
        <v>3074</v>
      </c>
      <c r="H217" s="225">
        <v>2735</v>
      </c>
      <c r="I217" s="237">
        <v>5288</v>
      </c>
      <c r="J217" s="236">
        <v>2394</v>
      </c>
      <c r="K217" s="93">
        <f t="shared" si="6"/>
        <v>13491</v>
      </c>
      <c r="L217" s="52"/>
      <c r="M217" s="237">
        <v>103</v>
      </c>
      <c r="N217" s="237">
        <v>0</v>
      </c>
      <c r="O217" s="236">
        <v>0</v>
      </c>
      <c r="P217" s="93">
        <f t="shared" si="7"/>
        <v>103</v>
      </c>
      <c r="Q217" s="52"/>
      <c r="R217" s="237">
        <v>5535</v>
      </c>
      <c r="S217" s="236">
        <v>2056</v>
      </c>
      <c r="T217" s="238">
        <v>7591</v>
      </c>
    </row>
    <row r="218" spans="1:20">
      <c r="A218" s="50">
        <v>92109</v>
      </c>
      <c r="B218" s="51" t="s">
        <v>929</v>
      </c>
      <c r="C218" s="239">
        <v>1.7239999999999999E-4</v>
      </c>
      <c r="D218" s="239">
        <v>1.8809999999999999E-4</v>
      </c>
      <c r="E218" s="193">
        <v>408992</v>
      </c>
      <c r="F218" s="193" t="s">
        <v>1930</v>
      </c>
      <c r="G218" s="237">
        <v>63098</v>
      </c>
      <c r="H218" s="225">
        <v>56142</v>
      </c>
      <c r="I218" s="237">
        <v>108531</v>
      </c>
      <c r="J218" s="236">
        <v>547</v>
      </c>
      <c r="K218" s="93">
        <f t="shared" si="6"/>
        <v>228318</v>
      </c>
      <c r="L218" s="52"/>
      <c r="M218" s="237">
        <v>2117</v>
      </c>
      <c r="N218" s="237">
        <v>0</v>
      </c>
      <c r="O218" s="236">
        <v>19072</v>
      </c>
      <c r="P218" s="93">
        <f t="shared" si="7"/>
        <v>21189</v>
      </c>
      <c r="Q218" s="52"/>
      <c r="R218" s="237">
        <v>113607</v>
      </c>
      <c r="S218" s="236">
        <v>-8757</v>
      </c>
      <c r="T218" s="238">
        <v>104850</v>
      </c>
    </row>
    <row r="219" spans="1:20">
      <c r="A219" s="50">
        <v>92111</v>
      </c>
      <c r="B219" s="51" t="s">
        <v>2216</v>
      </c>
      <c r="C219" s="239">
        <v>5.2209999999999995E-4</v>
      </c>
      <c r="D219" s="239">
        <v>5.0460000000000001E-4</v>
      </c>
      <c r="E219" s="193">
        <v>1238600</v>
      </c>
      <c r="F219" s="193" t="s">
        <v>1930</v>
      </c>
      <c r="G219" s="237">
        <v>191087</v>
      </c>
      <c r="H219" s="225">
        <v>170023</v>
      </c>
      <c r="I219" s="237">
        <v>328677</v>
      </c>
      <c r="J219" s="236">
        <v>4892</v>
      </c>
      <c r="K219" s="93">
        <f t="shared" si="6"/>
        <v>694679</v>
      </c>
      <c r="L219" s="52"/>
      <c r="M219" s="237">
        <v>6412</v>
      </c>
      <c r="N219" s="237">
        <v>0</v>
      </c>
      <c r="O219" s="236">
        <v>8630</v>
      </c>
      <c r="P219" s="93">
        <f t="shared" si="7"/>
        <v>15042</v>
      </c>
      <c r="Q219" s="52"/>
      <c r="R219" s="237">
        <v>344050</v>
      </c>
      <c r="S219" s="236">
        <v>2737</v>
      </c>
      <c r="T219" s="238">
        <v>346787</v>
      </c>
    </row>
    <row r="220" spans="1:20">
      <c r="A220" s="50">
        <v>92113</v>
      </c>
      <c r="B220" s="51" t="s">
        <v>2759</v>
      </c>
      <c r="C220" s="239">
        <v>1.56E-5</v>
      </c>
      <c r="D220" s="239">
        <v>1.4399999999999999E-5</v>
      </c>
      <c r="E220" s="198">
        <v>37009</v>
      </c>
      <c r="F220" s="198" t="s">
        <v>1930</v>
      </c>
      <c r="G220" s="237">
        <v>5710</v>
      </c>
      <c r="H220" s="225">
        <v>5080</v>
      </c>
      <c r="I220" s="237">
        <v>9821</v>
      </c>
      <c r="J220" s="236">
        <v>14622</v>
      </c>
      <c r="K220" s="93">
        <f t="shared" si="6"/>
        <v>35233</v>
      </c>
      <c r="L220" s="52"/>
      <c r="M220" s="237">
        <v>192</v>
      </c>
      <c r="N220" s="237">
        <v>0</v>
      </c>
      <c r="O220" s="236">
        <v>1633</v>
      </c>
      <c r="P220" s="93">
        <f t="shared" si="7"/>
        <v>1825</v>
      </c>
      <c r="Q220" s="52"/>
      <c r="R220" s="237">
        <v>10280</v>
      </c>
      <c r="S220" s="236">
        <v>8352</v>
      </c>
      <c r="T220" s="238">
        <v>18632</v>
      </c>
    </row>
    <row r="221" spans="1:20">
      <c r="A221" s="50">
        <v>92201</v>
      </c>
      <c r="B221" s="51" t="s">
        <v>932</v>
      </c>
      <c r="C221" s="239">
        <v>9.1100000000000003E-4</v>
      </c>
      <c r="D221" s="239">
        <v>9.3389999999999999E-4</v>
      </c>
      <c r="E221" s="198">
        <v>2161204</v>
      </c>
      <c r="F221" s="198" t="s">
        <v>1930</v>
      </c>
      <c r="G221" s="237">
        <v>333422</v>
      </c>
      <c r="H221" s="225">
        <v>296669</v>
      </c>
      <c r="I221" s="237">
        <v>573500</v>
      </c>
      <c r="J221" s="236">
        <v>13246</v>
      </c>
      <c r="K221" s="93">
        <f t="shared" si="6"/>
        <v>1216837</v>
      </c>
      <c r="L221" s="52"/>
      <c r="M221" s="237">
        <v>11188</v>
      </c>
      <c r="N221" s="237">
        <v>0</v>
      </c>
      <c r="O221" s="236">
        <v>32516</v>
      </c>
      <c r="P221" s="93">
        <f t="shared" si="7"/>
        <v>43704</v>
      </c>
      <c r="Q221" s="52"/>
      <c r="R221" s="237">
        <v>600324</v>
      </c>
      <c r="S221" s="236">
        <v>12990</v>
      </c>
      <c r="T221" s="238">
        <v>613314</v>
      </c>
    </row>
    <row r="222" spans="1:20" s="195" customFormat="1">
      <c r="A222" s="197">
        <v>92214</v>
      </c>
      <c r="B222" s="196" t="s">
        <v>1931</v>
      </c>
      <c r="C222" s="239">
        <v>1.9000000000000001E-5</v>
      </c>
      <c r="D222" s="239">
        <v>0</v>
      </c>
      <c r="E222" s="198">
        <v>45074</v>
      </c>
      <c r="F222" s="198" t="s">
        <v>1930</v>
      </c>
      <c r="G222" s="237">
        <v>6954</v>
      </c>
      <c r="H222" s="225">
        <v>6187</v>
      </c>
      <c r="I222" s="237">
        <v>11961</v>
      </c>
      <c r="J222" s="236">
        <v>14011</v>
      </c>
      <c r="K222" s="93">
        <f t="shared" si="6"/>
        <v>39113</v>
      </c>
      <c r="L222" s="194"/>
      <c r="M222" s="237">
        <v>233</v>
      </c>
      <c r="N222" s="237">
        <v>0</v>
      </c>
      <c r="O222" s="236">
        <v>0</v>
      </c>
      <c r="P222" s="93">
        <f t="shared" si="7"/>
        <v>233</v>
      </c>
      <c r="Q222" s="194"/>
      <c r="R222" s="237">
        <v>12520</v>
      </c>
      <c r="S222" s="236">
        <v>3503</v>
      </c>
      <c r="T222" s="238">
        <v>16023</v>
      </c>
    </row>
    <row r="223" spans="1:20">
      <c r="A223" s="50">
        <v>92301</v>
      </c>
      <c r="B223" s="51" t="s">
        <v>933</v>
      </c>
      <c r="C223" s="239">
        <v>5.1875999999999997E-3</v>
      </c>
      <c r="D223" s="239">
        <v>5.2129999999999998E-3</v>
      </c>
      <c r="E223" s="198">
        <v>12306761</v>
      </c>
      <c r="F223" s="198" t="s">
        <v>1930</v>
      </c>
      <c r="G223" s="237">
        <v>1898641</v>
      </c>
      <c r="H223" s="225">
        <v>1689353</v>
      </c>
      <c r="I223" s="237">
        <v>3265739</v>
      </c>
      <c r="J223" s="236">
        <v>65564</v>
      </c>
      <c r="K223" s="93">
        <f t="shared" si="6"/>
        <v>6919297</v>
      </c>
      <c r="L223" s="52"/>
      <c r="M223" s="237">
        <v>63709</v>
      </c>
      <c r="N223" s="237">
        <v>0</v>
      </c>
      <c r="O223" s="236">
        <v>24051</v>
      </c>
      <c r="P223" s="93">
        <f t="shared" si="7"/>
        <v>87760</v>
      </c>
      <c r="Q223" s="52"/>
      <c r="R223" s="237">
        <v>3418488</v>
      </c>
      <c r="S223" s="236">
        <v>16356</v>
      </c>
      <c r="T223" s="238">
        <v>3434844</v>
      </c>
    </row>
    <row r="224" spans="1:20">
      <c r="A224" s="50">
        <v>92302</v>
      </c>
      <c r="B224" s="51" t="s">
        <v>934</v>
      </c>
      <c r="C224" s="239">
        <v>3.2410000000000002E-4</v>
      </c>
      <c r="D224" s="239">
        <v>2.9740000000000002E-4</v>
      </c>
      <c r="E224" s="198">
        <v>768876</v>
      </c>
      <c r="F224" s="198" t="s">
        <v>1930</v>
      </c>
      <c r="G224" s="237">
        <v>118619</v>
      </c>
      <c r="H224" s="225">
        <v>105543</v>
      </c>
      <c r="I224" s="237">
        <v>204030</v>
      </c>
      <c r="J224" s="236">
        <v>6461</v>
      </c>
      <c r="K224" s="93">
        <f t="shared" si="6"/>
        <v>434653</v>
      </c>
      <c r="L224" s="52"/>
      <c r="M224" s="237">
        <v>3980</v>
      </c>
      <c r="N224" s="237">
        <v>0</v>
      </c>
      <c r="O224" s="236">
        <v>18923</v>
      </c>
      <c r="P224" s="93">
        <f t="shared" si="7"/>
        <v>22903</v>
      </c>
      <c r="Q224" s="52"/>
      <c r="R224" s="237">
        <v>213573</v>
      </c>
      <c r="S224" s="236">
        <v>-8101</v>
      </c>
      <c r="T224" s="238">
        <v>205472</v>
      </c>
    </row>
    <row r="225" spans="1:20">
      <c r="A225" s="50">
        <v>92311</v>
      </c>
      <c r="B225" s="51" t="s">
        <v>935</v>
      </c>
      <c r="C225" s="239">
        <v>2.2258999999999998E-3</v>
      </c>
      <c r="D225" s="239">
        <v>2.2504999999999999E-3</v>
      </c>
      <c r="E225" s="198">
        <v>5280596</v>
      </c>
      <c r="F225" s="198" t="s">
        <v>1930</v>
      </c>
      <c r="G225" s="237">
        <v>814670</v>
      </c>
      <c r="H225" s="225">
        <v>724869</v>
      </c>
      <c r="I225" s="237">
        <v>1401266</v>
      </c>
      <c r="J225" s="236">
        <v>6268</v>
      </c>
      <c r="K225" s="93">
        <f t="shared" si="6"/>
        <v>2947073</v>
      </c>
      <c r="L225" s="52"/>
      <c r="M225" s="237">
        <v>27336</v>
      </c>
      <c r="N225" s="237">
        <v>0</v>
      </c>
      <c r="O225" s="236">
        <v>77605</v>
      </c>
      <c r="P225" s="93">
        <f t="shared" si="7"/>
        <v>104941</v>
      </c>
      <c r="Q225" s="52"/>
      <c r="R225" s="237">
        <v>1466808</v>
      </c>
      <c r="S225" s="236">
        <v>-51715</v>
      </c>
      <c r="T225" s="238">
        <v>1415093</v>
      </c>
    </row>
    <row r="226" spans="1:20">
      <c r="A226" s="50">
        <v>92317</v>
      </c>
      <c r="B226" s="51" t="s">
        <v>936</v>
      </c>
      <c r="C226" s="239">
        <v>2.1800000000000001E-5</v>
      </c>
      <c r="D226" s="239">
        <v>2.94E-5</v>
      </c>
      <c r="E226" s="198">
        <v>51717</v>
      </c>
      <c r="F226" s="198" t="s">
        <v>1930</v>
      </c>
      <c r="G226" s="237">
        <v>7979</v>
      </c>
      <c r="H226" s="225">
        <v>7099</v>
      </c>
      <c r="I226" s="237">
        <v>13724</v>
      </c>
      <c r="J226" s="236">
        <v>13785</v>
      </c>
      <c r="K226" s="93">
        <f t="shared" si="6"/>
        <v>42587</v>
      </c>
      <c r="L226" s="52"/>
      <c r="M226" s="237">
        <v>268</v>
      </c>
      <c r="N226" s="237">
        <v>0</v>
      </c>
      <c r="O226" s="236">
        <v>0</v>
      </c>
      <c r="P226" s="93">
        <f t="shared" si="7"/>
        <v>268</v>
      </c>
      <c r="Q226" s="52"/>
      <c r="R226" s="237">
        <v>14366</v>
      </c>
      <c r="S226" s="236">
        <v>7302</v>
      </c>
      <c r="T226" s="238">
        <v>21668</v>
      </c>
    </row>
    <row r="227" spans="1:20">
      <c r="A227" s="50">
        <v>92321</v>
      </c>
      <c r="B227" s="51" t="s">
        <v>937</v>
      </c>
      <c r="C227" s="239">
        <v>1.2386000000000001E-3</v>
      </c>
      <c r="D227" s="239">
        <v>1.1773E-3</v>
      </c>
      <c r="E227" s="198">
        <v>2938383</v>
      </c>
      <c r="F227" s="198" t="s">
        <v>1930</v>
      </c>
      <c r="G227" s="237">
        <v>453323</v>
      </c>
      <c r="H227" s="225">
        <v>403353</v>
      </c>
      <c r="I227" s="237">
        <v>779733</v>
      </c>
      <c r="J227" s="236">
        <v>50947</v>
      </c>
      <c r="K227" s="93">
        <f t="shared" si="6"/>
        <v>1687356</v>
      </c>
      <c r="L227" s="52"/>
      <c r="M227" s="237">
        <v>15211</v>
      </c>
      <c r="N227" s="237">
        <v>0</v>
      </c>
      <c r="O227" s="236">
        <v>15403</v>
      </c>
      <c r="P227" s="93">
        <f t="shared" si="7"/>
        <v>30614</v>
      </c>
      <c r="Q227" s="52"/>
      <c r="R227" s="237">
        <v>816204</v>
      </c>
      <c r="S227" s="236">
        <v>30637</v>
      </c>
      <c r="T227" s="238">
        <v>846841</v>
      </c>
    </row>
    <row r="228" spans="1:20">
      <c r="A228" s="50">
        <v>92327</v>
      </c>
      <c r="B228" s="51" t="s">
        <v>938</v>
      </c>
      <c r="C228" s="239">
        <v>6.8000000000000001E-6</v>
      </c>
      <c r="D228" s="239">
        <v>5.6999999999999996E-6</v>
      </c>
      <c r="E228" s="198">
        <v>16132</v>
      </c>
      <c r="F228" s="198" t="s">
        <v>1930</v>
      </c>
      <c r="G228" s="237">
        <v>2489</v>
      </c>
      <c r="H228" s="225">
        <v>2215</v>
      </c>
      <c r="I228" s="237">
        <v>4281</v>
      </c>
      <c r="J228" s="236">
        <v>5548</v>
      </c>
      <c r="K228" s="93">
        <f t="shared" si="6"/>
        <v>14533</v>
      </c>
      <c r="L228" s="52"/>
      <c r="M228" s="237">
        <v>84</v>
      </c>
      <c r="N228" s="237">
        <v>0</v>
      </c>
      <c r="O228" s="236">
        <v>0</v>
      </c>
      <c r="P228" s="93">
        <f t="shared" si="7"/>
        <v>84</v>
      </c>
      <c r="Q228" s="52"/>
      <c r="R228" s="237">
        <v>4481</v>
      </c>
      <c r="S228" s="236">
        <v>2080</v>
      </c>
      <c r="T228" s="238">
        <v>6561</v>
      </c>
    </row>
    <row r="229" spans="1:20">
      <c r="A229" s="50">
        <v>92331</v>
      </c>
      <c r="B229" s="51" t="s">
        <v>2217</v>
      </c>
      <c r="C229" s="239">
        <v>1.315E-4</v>
      </c>
      <c r="D229" s="239">
        <v>1.3970000000000001E-4</v>
      </c>
      <c r="E229" s="198">
        <v>311963</v>
      </c>
      <c r="F229" s="198" t="s">
        <v>1930</v>
      </c>
      <c r="G229" s="237">
        <v>48128</v>
      </c>
      <c r="H229" s="225">
        <v>42823</v>
      </c>
      <c r="I229" s="237">
        <v>82783</v>
      </c>
      <c r="J229" s="236">
        <v>427</v>
      </c>
      <c r="K229" s="93">
        <f t="shared" si="6"/>
        <v>174161</v>
      </c>
      <c r="L229" s="52"/>
      <c r="M229" s="237">
        <v>1615</v>
      </c>
      <c r="N229" s="237">
        <v>0</v>
      </c>
      <c r="O229" s="236">
        <v>9509</v>
      </c>
      <c r="P229" s="93">
        <f t="shared" si="7"/>
        <v>11124</v>
      </c>
      <c r="Q229" s="52"/>
      <c r="R229" s="237">
        <v>86655</v>
      </c>
      <c r="S229" s="236">
        <v>-1856</v>
      </c>
      <c r="T229" s="238">
        <v>84799</v>
      </c>
    </row>
    <row r="230" spans="1:20">
      <c r="A230" s="50">
        <v>92341</v>
      </c>
      <c r="B230" s="51" t="s">
        <v>2218</v>
      </c>
      <c r="C230" s="239">
        <v>9.2E-6</v>
      </c>
      <c r="D230" s="239">
        <v>9.7999999999999993E-6</v>
      </c>
      <c r="E230" s="198">
        <v>21826</v>
      </c>
      <c r="F230" s="198" t="s">
        <v>1930</v>
      </c>
      <c r="G230" s="237">
        <v>3367</v>
      </c>
      <c r="H230" s="225">
        <v>2996</v>
      </c>
      <c r="I230" s="237">
        <v>5792</v>
      </c>
      <c r="J230" s="236">
        <v>297</v>
      </c>
      <c r="K230" s="93">
        <f t="shared" si="6"/>
        <v>12452</v>
      </c>
      <c r="L230" s="52"/>
      <c r="M230" s="237">
        <v>113</v>
      </c>
      <c r="N230" s="237">
        <v>0</v>
      </c>
      <c r="O230" s="236">
        <v>2308</v>
      </c>
      <c r="P230" s="93">
        <f t="shared" si="7"/>
        <v>2421</v>
      </c>
      <c r="Q230" s="52"/>
      <c r="R230" s="237">
        <v>6063</v>
      </c>
      <c r="S230" s="236">
        <v>-1214</v>
      </c>
      <c r="T230" s="238">
        <v>4849</v>
      </c>
    </row>
    <row r="231" spans="1:20">
      <c r="A231" s="50">
        <v>92351</v>
      </c>
      <c r="B231" s="51" t="s">
        <v>2219</v>
      </c>
      <c r="C231" s="239">
        <v>1.9400000000000001E-5</v>
      </c>
      <c r="D231" s="239">
        <v>1.8600000000000001E-5</v>
      </c>
      <c r="E231" s="198">
        <v>46023</v>
      </c>
      <c r="F231" s="198" t="s">
        <v>1930</v>
      </c>
      <c r="G231" s="237">
        <v>7100</v>
      </c>
      <c r="H231" s="225">
        <v>6317</v>
      </c>
      <c r="I231" s="237">
        <v>12213</v>
      </c>
      <c r="J231" s="236">
        <v>3336</v>
      </c>
      <c r="K231" s="93">
        <f t="shared" si="6"/>
        <v>28966</v>
      </c>
      <c r="L231" s="52"/>
      <c r="M231" s="237">
        <v>238</v>
      </c>
      <c r="N231" s="237">
        <v>0</v>
      </c>
      <c r="O231" s="236">
        <v>2532</v>
      </c>
      <c r="P231" s="93">
        <f t="shared" si="7"/>
        <v>2770</v>
      </c>
      <c r="Q231" s="52"/>
      <c r="R231" s="237">
        <v>12784</v>
      </c>
      <c r="S231" s="236">
        <v>-213</v>
      </c>
      <c r="T231" s="238">
        <v>12571</v>
      </c>
    </row>
    <row r="232" spans="1:20">
      <c r="A232" s="50">
        <v>92401</v>
      </c>
      <c r="B232" s="51" t="s">
        <v>942</v>
      </c>
      <c r="C232" s="239">
        <v>2.4808E-3</v>
      </c>
      <c r="D232" s="239">
        <v>2.6890999999999998E-3</v>
      </c>
      <c r="E232" s="198">
        <v>5885306</v>
      </c>
      <c r="F232" s="198" t="s">
        <v>1930</v>
      </c>
      <c r="G232" s="237">
        <v>907963</v>
      </c>
      <c r="H232" s="225">
        <v>807877</v>
      </c>
      <c r="I232" s="237">
        <v>1561733</v>
      </c>
      <c r="J232" s="236">
        <v>14194</v>
      </c>
      <c r="K232" s="93">
        <f t="shared" si="6"/>
        <v>3291767</v>
      </c>
      <c r="L232" s="52"/>
      <c r="M232" s="237">
        <v>30467</v>
      </c>
      <c r="N232" s="237">
        <v>0</v>
      </c>
      <c r="O232" s="236">
        <v>55822</v>
      </c>
      <c r="P232" s="93">
        <f t="shared" si="7"/>
        <v>86289</v>
      </c>
      <c r="Q232" s="52"/>
      <c r="R232" s="237">
        <v>1634780</v>
      </c>
      <c r="S232" s="236">
        <v>5281</v>
      </c>
      <c r="T232" s="238">
        <v>1640061</v>
      </c>
    </row>
    <row r="233" spans="1:20">
      <c r="A233" s="50">
        <v>92403</v>
      </c>
      <c r="B233" s="51" t="s">
        <v>943</v>
      </c>
      <c r="C233" s="239">
        <v>1.0200000000000001E-5</v>
      </c>
      <c r="D233" s="239">
        <v>1.11E-5</v>
      </c>
      <c r="E233" s="198">
        <v>24198</v>
      </c>
      <c r="F233" s="198" t="s">
        <v>1930</v>
      </c>
      <c r="G233" s="237">
        <v>3733</v>
      </c>
      <c r="H233" s="225">
        <v>3321</v>
      </c>
      <c r="I233" s="237">
        <v>6421</v>
      </c>
      <c r="J233" s="236">
        <v>1611</v>
      </c>
      <c r="K233" s="93">
        <f t="shared" si="6"/>
        <v>15086</v>
      </c>
      <c r="L233" s="52"/>
      <c r="M233" s="237">
        <v>125</v>
      </c>
      <c r="N233" s="237">
        <v>0</v>
      </c>
      <c r="O233" s="236">
        <v>851</v>
      </c>
      <c r="P233" s="93">
        <f t="shared" si="7"/>
        <v>976</v>
      </c>
      <c r="Q233" s="52"/>
      <c r="R233" s="237">
        <v>6722</v>
      </c>
      <c r="S233" s="236">
        <v>220</v>
      </c>
      <c r="T233" s="238">
        <v>6942</v>
      </c>
    </row>
    <row r="234" spans="1:20">
      <c r="A234" s="50">
        <v>92411</v>
      </c>
      <c r="B234" s="51" t="s">
        <v>944</v>
      </c>
      <c r="C234" s="239">
        <v>4.4569999999999999E-4</v>
      </c>
      <c r="D234" s="239">
        <v>5.0469999999999996E-4</v>
      </c>
      <c r="E234" s="198">
        <v>1057353</v>
      </c>
      <c r="F234" s="198" t="s">
        <v>1930</v>
      </c>
      <c r="G234" s="237">
        <v>163124</v>
      </c>
      <c r="H234" s="225">
        <v>145143</v>
      </c>
      <c r="I234" s="237">
        <v>280581</v>
      </c>
      <c r="J234" s="236">
        <v>165</v>
      </c>
      <c r="K234" s="93">
        <f t="shared" si="6"/>
        <v>589013</v>
      </c>
      <c r="L234" s="52"/>
      <c r="M234" s="237">
        <v>5474</v>
      </c>
      <c r="N234" s="237">
        <v>0</v>
      </c>
      <c r="O234" s="236">
        <v>72580</v>
      </c>
      <c r="P234" s="93">
        <f t="shared" si="7"/>
        <v>78054</v>
      </c>
      <c r="Q234" s="52"/>
      <c r="R234" s="237">
        <v>293704</v>
      </c>
      <c r="S234" s="236">
        <v>-29467</v>
      </c>
      <c r="T234" s="238">
        <v>264237</v>
      </c>
    </row>
    <row r="235" spans="1:20">
      <c r="A235" s="50">
        <v>92414</v>
      </c>
      <c r="B235" s="51" t="s">
        <v>2220</v>
      </c>
      <c r="C235" s="239">
        <v>0</v>
      </c>
      <c r="D235" s="239">
        <v>0</v>
      </c>
      <c r="E235" s="198">
        <v>0</v>
      </c>
      <c r="F235" s="198" t="s">
        <v>1930</v>
      </c>
      <c r="G235" s="237">
        <v>0</v>
      </c>
      <c r="H235" s="225">
        <v>0</v>
      </c>
      <c r="I235" s="237">
        <v>0</v>
      </c>
      <c r="J235" s="236">
        <v>0</v>
      </c>
      <c r="K235" s="93">
        <f t="shared" si="6"/>
        <v>0</v>
      </c>
      <c r="L235" s="52"/>
      <c r="M235" s="237">
        <v>0</v>
      </c>
      <c r="N235" s="237">
        <v>0</v>
      </c>
      <c r="O235" s="236">
        <v>3269</v>
      </c>
      <c r="P235" s="93">
        <f t="shared" si="7"/>
        <v>3269</v>
      </c>
      <c r="Q235" s="52"/>
      <c r="R235" s="237">
        <v>0</v>
      </c>
      <c r="S235" s="236">
        <v>-2443</v>
      </c>
      <c r="T235" s="238">
        <v>-2443</v>
      </c>
    </row>
    <row r="236" spans="1:20">
      <c r="A236" s="50">
        <v>92417</v>
      </c>
      <c r="B236" s="51" t="s">
        <v>945</v>
      </c>
      <c r="C236" s="239">
        <v>1.8600000000000001E-5</v>
      </c>
      <c r="D236" s="239">
        <v>1.8300000000000001E-5</v>
      </c>
      <c r="E236" s="198">
        <v>44126</v>
      </c>
      <c r="F236" s="198" t="s">
        <v>1930</v>
      </c>
      <c r="G236" s="237">
        <v>6808</v>
      </c>
      <c r="H236" s="225">
        <v>6058</v>
      </c>
      <c r="I236" s="237">
        <v>11709</v>
      </c>
      <c r="J236" s="236">
        <v>0</v>
      </c>
      <c r="K236" s="93">
        <f t="shared" si="6"/>
        <v>24575</v>
      </c>
      <c r="L236" s="52"/>
      <c r="M236" s="237">
        <v>228</v>
      </c>
      <c r="N236" s="237">
        <v>0</v>
      </c>
      <c r="O236" s="236">
        <v>3682</v>
      </c>
      <c r="P236" s="93">
        <f t="shared" si="7"/>
        <v>3910</v>
      </c>
      <c r="Q236" s="52"/>
      <c r="R236" s="237">
        <v>12257</v>
      </c>
      <c r="S236" s="236">
        <v>-1356</v>
      </c>
      <c r="T236" s="238">
        <v>10901</v>
      </c>
    </row>
    <row r="237" spans="1:20">
      <c r="A237" s="50">
        <v>92421</v>
      </c>
      <c r="B237" s="51" t="s">
        <v>2221</v>
      </c>
      <c r="C237" s="239">
        <v>8.6999999999999997E-6</v>
      </c>
      <c r="D237" s="239">
        <v>8.8000000000000004E-6</v>
      </c>
      <c r="E237" s="198">
        <v>20639</v>
      </c>
      <c r="F237" s="198" t="s">
        <v>1930</v>
      </c>
      <c r="G237" s="237">
        <v>3184</v>
      </c>
      <c r="H237" s="225">
        <v>2833</v>
      </c>
      <c r="I237" s="237">
        <v>5477</v>
      </c>
      <c r="J237" s="236">
        <v>6193</v>
      </c>
      <c r="K237" s="93">
        <f t="shared" si="6"/>
        <v>17687</v>
      </c>
      <c r="L237" s="52"/>
      <c r="M237" s="237">
        <v>107</v>
      </c>
      <c r="N237" s="237">
        <v>0</v>
      </c>
      <c r="O237" s="236">
        <v>746</v>
      </c>
      <c r="P237" s="93">
        <f t="shared" si="7"/>
        <v>853</v>
      </c>
      <c r="Q237" s="52"/>
      <c r="R237" s="237">
        <v>5733</v>
      </c>
      <c r="S237" s="236">
        <v>1925</v>
      </c>
      <c r="T237" s="238">
        <v>7658</v>
      </c>
    </row>
    <row r="238" spans="1:20">
      <c r="A238" s="50">
        <v>92427</v>
      </c>
      <c r="B238" s="51" t="s">
        <v>947</v>
      </c>
      <c r="C238" s="239">
        <v>1.9999999999999999E-6</v>
      </c>
      <c r="D238" s="239">
        <v>3.9999999999999998E-7</v>
      </c>
      <c r="E238" s="198">
        <v>4745</v>
      </c>
      <c r="F238" s="198" t="s">
        <v>1930</v>
      </c>
      <c r="G238" s="237">
        <v>732</v>
      </c>
      <c r="H238" s="225">
        <v>651</v>
      </c>
      <c r="I238" s="237">
        <v>1259</v>
      </c>
      <c r="J238" s="236">
        <v>2874</v>
      </c>
      <c r="K238" s="93">
        <f t="shared" si="6"/>
        <v>5516</v>
      </c>
      <c r="L238" s="52"/>
      <c r="M238" s="237">
        <v>25</v>
      </c>
      <c r="N238" s="237">
        <v>0</v>
      </c>
      <c r="O238" s="236">
        <v>0</v>
      </c>
      <c r="P238" s="93">
        <f t="shared" si="7"/>
        <v>25</v>
      </c>
      <c r="Q238" s="52"/>
      <c r="R238" s="237">
        <v>1318</v>
      </c>
      <c r="S238" s="236">
        <v>1269</v>
      </c>
      <c r="T238" s="238">
        <v>2587</v>
      </c>
    </row>
    <row r="239" spans="1:20">
      <c r="A239" s="50">
        <v>92431</v>
      </c>
      <c r="B239" s="51" t="s">
        <v>2222</v>
      </c>
      <c r="C239" s="239">
        <v>2.1999999999999999E-5</v>
      </c>
      <c r="D239" s="239">
        <v>3.0800000000000003E-5</v>
      </c>
      <c r="E239" s="198">
        <v>52192</v>
      </c>
      <c r="F239" s="198" t="s">
        <v>1930</v>
      </c>
      <c r="G239" s="237">
        <v>8052</v>
      </c>
      <c r="H239" s="225">
        <v>7164</v>
      </c>
      <c r="I239" s="237">
        <v>13850</v>
      </c>
      <c r="J239" s="236">
        <v>12947</v>
      </c>
      <c r="K239" s="93">
        <f t="shared" si="6"/>
        <v>42013</v>
      </c>
      <c r="L239" s="52"/>
      <c r="M239" s="237">
        <v>270</v>
      </c>
      <c r="N239" s="237">
        <v>0</v>
      </c>
      <c r="O239" s="236">
        <v>3712</v>
      </c>
      <c r="P239" s="93">
        <f t="shared" si="7"/>
        <v>3982</v>
      </c>
      <c r="Q239" s="52"/>
      <c r="R239" s="237">
        <v>14497</v>
      </c>
      <c r="S239" s="236">
        <v>3732</v>
      </c>
      <c r="T239" s="238">
        <v>18229</v>
      </c>
    </row>
    <row r="240" spans="1:20">
      <c r="A240" s="50">
        <v>92441</v>
      </c>
      <c r="B240" s="51" t="s">
        <v>2223</v>
      </c>
      <c r="C240" s="239">
        <v>1.002E-4</v>
      </c>
      <c r="D240" s="239">
        <v>7.7999999999999999E-5</v>
      </c>
      <c r="E240" s="198">
        <v>237709</v>
      </c>
      <c r="F240" s="198" t="s">
        <v>1930</v>
      </c>
      <c r="G240" s="237">
        <v>36673</v>
      </c>
      <c r="H240" s="225">
        <v>32630</v>
      </c>
      <c r="I240" s="237">
        <v>63079</v>
      </c>
      <c r="J240" s="236">
        <v>15338</v>
      </c>
      <c r="K240" s="93">
        <f t="shared" si="6"/>
        <v>147720</v>
      </c>
      <c r="L240" s="52"/>
      <c r="M240" s="237">
        <v>1231</v>
      </c>
      <c r="N240" s="237">
        <v>0</v>
      </c>
      <c r="O240" s="236">
        <v>8352</v>
      </c>
      <c r="P240" s="93">
        <f t="shared" si="7"/>
        <v>9583</v>
      </c>
      <c r="Q240" s="52"/>
      <c r="R240" s="237">
        <v>66029</v>
      </c>
      <c r="S240" s="236">
        <v>-3122</v>
      </c>
      <c r="T240" s="238">
        <v>62907</v>
      </c>
    </row>
    <row r="241" spans="1:20">
      <c r="A241" s="50">
        <v>92444</v>
      </c>
      <c r="B241" s="51" t="s">
        <v>950</v>
      </c>
      <c r="C241" s="239">
        <v>1.7E-6</v>
      </c>
      <c r="D241" s="239">
        <v>1.7999999999999999E-6</v>
      </c>
      <c r="E241" s="198">
        <v>4033</v>
      </c>
      <c r="F241" s="198" t="s">
        <v>1930</v>
      </c>
      <c r="G241" s="237">
        <v>622</v>
      </c>
      <c r="H241" s="225">
        <v>553</v>
      </c>
      <c r="I241" s="237">
        <v>1070</v>
      </c>
      <c r="J241" s="236">
        <v>3193</v>
      </c>
      <c r="K241" s="93">
        <f t="shared" si="6"/>
        <v>5438</v>
      </c>
      <c r="L241" s="52"/>
      <c r="M241" s="237">
        <v>21</v>
      </c>
      <c r="N241" s="237">
        <v>0</v>
      </c>
      <c r="O241" s="236">
        <v>0</v>
      </c>
      <c r="P241" s="93">
        <f t="shared" si="7"/>
        <v>21</v>
      </c>
      <c r="Q241" s="52"/>
      <c r="R241" s="237">
        <v>1120</v>
      </c>
      <c r="S241" s="236">
        <v>1642</v>
      </c>
      <c r="T241" s="238">
        <v>2762</v>
      </c>
    </row>
    <row r="242" spans="1:20">
      <c r="A242" s="50">
        <v>92451</v>
      </c>
      <c r="B242" s="51" t="s">
        <v>2224</v>
      </c>
      <c r="C242" s="239">
        <v>1.2650000000000001E-4</v>
      </c>
      <c r="D242" s="239">
        <v>1.3070000000000001E-4</v>
      </c>
      <c r="E242" s="198">
        <v>300101</v>
      </c>
      <c r="F242" s="198" t="s">
        <v>1930</v>
      </c>
      <c r="G242" s="237">
        <v>46298</v>
      </c>
      <c r="H242" s="225">
        <v>41195</v>
      </c>
      <c r="I242" s="237">
        <v>79635</v>
      </c>
      <c r="J242" s="236">
        <v>28275</v>
      </c>
      <c r="K242" s="93">
        <f t="shared" si="6"/>
        <v>195403</v>
      </c>
      <c r="L242" s="52"/>
      <c r="M242" s="237">
        <v>1554</v>
      </c>
      <c r="N242" s="237">
        <v>0</v>
      </c>
      <c r="O242" s="236">
        <v>0</v>
      </c>
      <c r="P242" s="93">
        <f t="shared" si="7"/>
        <v>1554</v>
      </c>
      <c r="Q242" s="52"/>
      <c r="R242" s="237">
        <v>83360</v>
      </c>
      <c r="S242" s="236">
        <v>15181</v>
      </c>
      <c r="T242" s="238">
        <v>98541</v>
      </c>
    </row>
    <row r="243" spans="1:20">
      <c r="A243" s="50">
        <v>92461</v>
      </c>
      <c r="B243" s="51" t="s">
        <v>2225</v>
      </c>
      <c r="C243" s="239">
        <v>6.7500000000000001E-5</v>
      </c>
      <c r="D243" s="239">
        <v>7.1099999999999994E-5</v>
      </c>
      <c r="E243" s="198">
        <v>160133</v>
      </c>
      <c r="F243" s="198" t="s">
        <v>1930</v>
      </c>
      <c r="G243" s="237">
        <v>24705</v>
      </c>
      <c r="H243" s="225">
        <v>21982</v>
      </c>
      <c r="I243" s="237">
        <v>42493</v>
      </c>
      <c r="J243" s="236">
        <v>14437</v>
      </c>
      <c r="K243" s="93">
        <f t="shared" si="6"/>
        <v>103617</v>
      </c>
      <c r="L243" s="52"/>
      <c r="M243" s="237">
        <v>829</v>
      </c>
      <c r="N243" s="237">
        <v>0</v>
      </c>
      <c r="O243" s="236">
        <v>2116</v>
      </c>
      <c r="P243" s="93">
        <f t="shared" si="7"/>
        <v>2945</v>
      </c>
      <c r="Q243" s="52"/>
      <c r="R243" s="237">
        <v>44481</v>
      </c>
      <c r="S243" s="236">
        <v>2527</v>
      </c>
      <c r="T243" s="238">
        <v>47008</v>
      </c>
    </row>
    <row r="244" spans="1:20">
      <c r="A244" s="50">
        <v>92501</v>
      </c>
      <c r="B244" s="51" t="s">
        <v>953</v>
      </c>
      <c r="C244" s="239">
        <v>3.7823000000000002E-3</v>
      </c>
      <c r="D244" s="239">
        <v>3.8252E-3</v>
      </c>
      <c r="E244" s="198">
        <v>8972909</v>
      </c>
      <c r="F244" s="198" t="s">
        <v>1930</v>
      </c>
      <c r="G244" s="237">
        <v>1384307</v>
      </c>
      <c r="H244" s="225">
        <v>1231713</v>
      </c>
      <c r="I244" s="237">
        <v>2381064</v>
      </c>
      <c r="J244" s="236">
        <v>177147</v>
      </c>
      <c r="K244" s="93">
        <f t="shared" si="6"/>
        <v>5174231</v>
      </c>
      <c r="L244" s="52"/>
      <c r="M244" s="237">
        <v>46450</v>
      </c>
      <c r="N244" s="237">
        <v>0</v>
      </c>
      <c r="O244" s="236">
        <v>4069</v>
      </c>
      <c r="P244" s="93">
        <f t="shared" si="7"/>
        <v>50519</v>
      </c>
      <c r="Q244" s="52"/>
      <c r="R244" s="237">
        <v>2492434</v>
      </c>
      <c r="S244" s="236">
        <v>67545</v>
      </c>
      <c r="T244" s="238">
        <v>2559979</v>
      </c>
    </row>
    <row r="245" spans="1:20">
      <c r="A245" s="50">
        <v>92502</v>
      </c>
      <c r="B245" s="51" t="s">
        <v>954</v>
      </c>
      <c r="C245" s="239">
        <v>2.5700000000000001E-5</v>
      </c>
      <c r="D245" s="239">
        <v>2.7500000000000001E-5</v>
      </c>
      <c r="E245" s="198">
        <v>60969</v>
      </c>
      <c r="F245" s="198" t="s">
        <v>1930</v>
      </c>
      <c r="G245" s="237">
        <v>9406</v>
      </c>
      <c r="H245" s="225">
        <v>8369</v>
      </c>
      <c r="I245" s="237">
        <v>16179</v>
      </c>
      <c r="J245" s="236">
        <v>3432</v>
      </c>
      <c r="K245" s="93">
        <f t="shared" si="6"/>
        <v>37386</v>
      </c>
      <c r="L245" s="52"/>
      <c r="M245" s="237">
        <v>316</v>
      </c>
      <c r="N245" s="237">
        <v>0</v>
      </c>
      <c r="O245" s="236">
        <v>803</v>
      </c>
      <c r="P245" s="93">
        <f t="shared" si="7"/>
        <v>1119</v>
      </c>
      <c r="Q245" s="52"/>
      <c r="R245" s="237">
        <v>16936</v>
      </c>
      <c r="S245" s="236">
        <v>200</v>
      </c>
      <c r="T245" s="238">
        <v>17136</v>
      </c>
    </row>
    <row r="246" spans="1:20">
      <c r="A246" s="50">
        <v>92504</v>
      </c>
      <c r="B246" s="51" t="s">
        <v>955</v>
      </c>
      <c r="C246" s="239">
        <v>7.86E-5</v>
      </c>
      <c r="D246" s="239">
        <v>8.4300000000000003E-5</v>
      </c>
      <c r="E246" s="198">
        <v>186466</v>
      </c>
      <c r="F246" s="198" t="s">
        <v>1930</v>
      </c>
      <c r="G246" s="237">
        <v>28767</v>
      </c>
      <c r="H246" s="225">
        <v>25596</v>
      </c>
      <c r="I246" s="237">
        <v>49481</v>
      </c>
      <c r="J246" s="236">
        <v>24679</v>
      </c>
      <c r="K246" s="93">
        <f t="shared" si="6"/>
        <v>128523</v>
      </c>
      <c r="L246" s="52"/>
      <c r="M246" s="237">
        <v>965</v>
      </c>
      <c r="N246" s="237">
        <v>0</v>
      </c>
      <c r="O246" s="236">
        <v>0</v>
      </c>
      <c r="P246" s="93">
        <f t="shared" si="7"/>
        <v>965</v>
      </c>
      <c r="Q246" s="52"/>
      <c r="R246" s="237">
        <v>51795</v>
      </c>
      <c r="S246" s="236">
        <v>11445</v>
      </c>
      <c r="T246" s="238">
        <v>63240</v>
      </c>
    </row>
    <row r="247" spans="1:20">
      <c r="A247" s="50">
        <v>92505</v>
      </c>
      <c r="B247" s="51" t="s">
        <v>956</v>
      </c>
      <c r="C247" s="239">
        <v>1.8330000000000001E-4</v>
      </c>
      <c r="D247" s="239">
        <v>1.9239999999999999E-4</v>
      </c>
      <c r="E247" s="198">
        <v>434850</v>
      </c>
      <c r="F247" s="198" t="s">
        <v>1930</v>
      </c>
      <c r="G247" s="237">
        <v>67087</v>
      </c>
      <c r="H247" s="225">
        <v>59692</v>
      </c>
      <c r="I247" s="237">
        <v>115392</v>
      </c>
      <c r="J247" s="236">
        <v>59838</v>
      </c>
      <c r="K247" s="93">
        <f t="shared" si="6"/>
        <v>302009</v>
      </c>
      <c r="L247" s="52"/>
      <c r="M247" s="237">
        <v>2251</v>
      </c>
      <c r="N247" s="237">
        <v>0</v>
      </c>
      <c r="O247" s="236">
        <v>0</v>
      </c>
      <c r="P247" s="93">
        <f t="shared" si="7"/>
        <v>2251</v>
      </c>
      <c r="Q247" s="52"/>
      <c r="R247" s="237">
        <v>120790</v>
      </c>
      <c r="S247" s="236">
        <v>29276</v>
      </c>
      <c r="T247" s="238">
        <v>150066</v>
      </c>
    </row>
    <row r="248" spans="1:20">
      <c r="A248" s="50">
        <v>92506</v>
      </c>
      <c r="B248" s="51" t="s">
        <v>957</v>
      </c>
      <c r="C248" s="239">
        <v>6.05E-5</v>
      </c>
      <c r="D248" s="239">
        <v>4.7500000000000003E-5</v>
      </c>
      <c r="E248" s="198">
        <v>143527</v>
      </c>
      <c r="F248" s="198" t="s">
        <v>1930</v>
      </c>
      <c r="G248" s="237">
        <v>22143</v>
      </c>
      <c r="H248" s="225">
        <v>19702</v>
      </c>
      <c r="I248" s="237">
        <v>38086</v>
      </c>
      <c r="J248" s="236">
        <v>23804</v>
      </c>
      <c r="K248" s="93">
        <f t="shared" si="6"/>
        <v>103735</v>
      </c>
      <c r="L248" s="52"/>
      <c r="M248" s="237">
        <v>743</v>
      </c>
      <c r="N248" s="237">
        <v>0</v>
      </c>
      <c r="O248" s="236">
        <v>0</v>
      </c>
      <c r="P248" s="93">
        <f t="shared" si="7"/>
        <v>743</v>
      </c>
      <c r="Q248" s="52"/>
      <c r="R248" s="237">
        <v>39868</v>
      </c>
      <c r="S248" s="236">
        <v>10713</v>
      </c>
      <c r="T248" s="238">
        <v>50581</v>
      </c>
    </row>
    <row r="249" spans="1:20">
      <c r="A249" s="50">
        <v>92507</v>
      </c>
      <c r="B249" s="51" t="s">
        <v>958</v>
      </c>
      <c r="C249" s="239">
        <v>9.2800000000000006E-5</v>
      </c>
      <c r="D249" s="239">
        <v>9.5699999999999995E-5</v>
      </c>
      <c r="E249" s="198">
        <v>220153</v>
      </c>
      <c r="F249" s="198" t="s">
        <v>1930</v>
      </c>
      <c r="G249" s="237">
        <v>33964</v>
      </c>
      <c r="H249" s="225">
        <v>30220</v>
      </c>
      <c r="I249" s="237">
        <v>58420</v>
      </c>
      <c r="J249" s="236">
        <v>7696</v>
      </c>
      <c r="K249" s="93">
        <f t="shared" si="6"/>
        <v>130300</v>
      </c>
      <c r="L249" s="52"/>
      <c r="M249" s="237">
        <v>1140</v>
      </c>
      <c r="N249" s="237">
        <v>0</v>
      </c>
      <c r="O249" s="236">
        <v>13640</v>
      </c>
      <c r="P249" s="93">
        <f t="shared" si="7"/>
        <v>14780</v>
      </c>
      <c r="Q249" s="52"/>
      <c r="R249" s="237">
        <v>61153</v>
      </c>
      <c r="S249" s="236">
        <v>-7333</v>
      </c>
      <c r="T249" s="238">
        <v>53820</v>
      </c>
    </row>
    <row r="250" spans="1:20">
      <c r="A250" s="50">
        <v>92508</v>
      </c>
      <c r="B250" s="51" t="s">
        <v>2760</v>
      </c>
      <c r="C250" s="239">
        <v>3.076E-4</v>
      </c>
      <c r="D250" s="239">
        <v>3.1E-4</v>
      </c>
      <c r="E250" s="198">
        <v>729732</v>
      </c>
      <c r="F250" s="198" t="s">
        <v>1930</v>
      </c>
      <c r="G250" s="237">
        <v>112580</v>
      </c>
      <c r="H250" s="225">
        <v>100171</v>
      </c>
      <c r="I250" s="237">
        <v>193643</v>
      </c>
      <c r="J250" s="236">
        <v>7720</v>
      </c>
      <c r="K250" s="93">
        <f t="shared" si="6"/>
        <v>414114</v>
      </c>
      <c r="L250" s="52"/>
      <c r="M250" s="237">
        <v>3778</v>
      </c>
      <c r="N250" s="237">
        <v>0</v>
      </c>
      <c r="O250" s="236">
        <v>915</v>
      </c>
      <c r="P250" s="93">
        <f t="shared" si="7"/>
        <v>4693</v>
      </c>
      <c r="Q250" s="52"/>
      <c r="R250" s="237">
        <v>202700</v>
      </c>
      <c r="S250" s="236">
        <v>4814</v>
      </c>
      <c r="T250" s="238">
        <v>207514</v>
      </c>
    </row>
    <row r="252" spans="1:20">
      <c r="A252" s="50">
        <v>92511</v>
      </c>
      <c r="B252" s="51" t="s">
        <v>960</v>
      </c>
      <c r="C252" s="239">
        <v>3.3249999999999998E-3</v>
      </c>
      <c r="D252" s="239">
        <v>3.3240000000000001E-3</v>
      </c>
      <c r="E252" s="198">
        <v>7888037</v>
      </c>
      <c r="F252" s="198" t="s">
        <v>1930</v>
      </c>
      <c r="G252" s="237">
        <v>1216937</v>
      </c>
      <c r="H252" s="225">
        <v>1082793</v>
      </c>
      <c r="I252" s="237">
        <v>2093181</v>
      </c>
      <c r="J252" s="236">
        <v>11784</v>
      </c>
      <c r="K252" s="93">
        <f t="shared" si="6"/>
        <v>4404695</v>
      </c>
      <c r="L252" s="52"/>
      <c r="M252" s="237">
        <v>40834</v>
      </c>
      <c r="N252" s="237">
        <v>0</v>
      </c>
      <c r="O252" s="236">
        <v>152525</v>
      </c>
      <c r="P252" s="93">
        <f t="shared" si="7"/>
        <v>193359</v>
      </c>
      <c r="Q252" s="52"/>
      <c r="R252" s="237">
        <v>2191085</v>
      </c>
      <c r="S252" s="236">
        <v>-70016</v>
      </c>
      <c r="T252" s="238">
        <v>2121069</v>
      </c>
    </row>
    <row r="253" spans="1:20" s="334" customFormat="1">
      <c r="A253" s="336" t="s">
        <v>3512</v>
      </c>
      <c r="B253" s="337" t="s">
        <v>1619</v>
      </c>
      <c r="C253" s="332">
        <v>0</v>
      </c>
      <c r="D253" s="332">
        <v>0</v>
      </c>
      <c r="E253" s="333">
        <v>0</v>
      </c>
      <c r="F253" s="333" t="s">
        <v>1930</v>
      </c>
      <c r="G253" s="338">
        <v>0</v>
      </c>
      <c r="H253" s="338">
        <v>0</v>
      </c>
      <c r="I253" s="338">
        <v>0</v>
      </c>
      <c r="J253" s="333">
        <v>25219</v>
      </c>
      <c r="K253" s="338">
        <f>G253+H253+I253+J253</f>
        <v>25219</v>
      </c>
      <c r="L253" s="333"/>
      <c r="M253" s="338">
        <v>0</v>
      </c>
      <c r="N253" s="338">
        <v>0</v>
      </c>
      <c r="O253" s="333">
        <v>448900</v>
      </c>
      <c r="P253" s="338">
        <f>M253+N253+O253</f>
        <v>448900</v>
      </c>
      <c r="Q253" s="333"/>
      <c r="R253" s="338">
        <v>0</v>
      </c>
      <c r="S253" s="333">
        <v>-104030</v>
      </c>
      <c r="T253" s="339">
        <v>-104030</v>
      </c>
    </row>
    <row r="254" spans="1:20" s="334" customFormat="1">
      <c r="A254" s="336" t="s">
        <v>3513</v>
      </c>
      <c r="B254" s="337" t="s">
        <v>1618</v>
      </c>
      <c r="C254" s="332">
        <v>0</v>
      </c>
      <c r="D254" s="332">
        <v>0</v>
      </c>
      <c r="E254" s="333">
        <v>0</v>
      </c>
      <c r="F254" s="333" t="s">
        <v>1930</v>
      </c>
      <c r="G254" s="338">
        <v>0</v>
      </c>
      <c r="H254" s="338">
        <v>0</v>
      </c>
      <c r="I254" s="338">
        <v>0</v>
      </c>
      <c r="J254" s="333">
        <v>8188</v>
      </c>
      <c r="K254" s="338">
        <f>G254+H254+I254+J254</f>
        <v>8188</v>
      </c>
      <c r="L254" s="333"/>
      <c r="M254" s="338">
        <v>0</v>
      </c>
      <c r="N254" s="338">
        <v>0</v>
      </c>
      <c r="O254" s="333">
        <v>564201</v>
      </c>
      <c r="P254" s="338">
        <f>M254+N254+O254</f>
        <v>564201</v>
      </c>
      <c r="Q254" s="333"/>
      <c r="R254" s="338">
        <v>0</v>
      </c>
      <c r="S254" s="333">
        <v>-224458</v>
      </c>
      <c r="T254" s="339">
        <v>-224458</v>
      </c>
    </row>
    <row r="255" spans="1:20" s="334" customFormat="1">
      <c r="A255" s="336" t="s">
        <v>3514</v>
      </c>
      <c r="B255" s="337" t="s">
        <v>961</v>
      </c>
      <c r="C255" s="332">
        <v>3.9129000000000004E-3</v>
      </c>
      <c r="D255" s="332">
        <v>4.0328999999999999E-3</v>
      </c>
      <c r="E255" s="333">
        <v>9282737</v>
      </c>
      <c r="F255" s="333" t="s">
        <v>1930</v>
      </c>
      <c r="G255" s="338">
        <v>1432106</v>
      </c>
      <c r="H255" s="338">
        <v>1274244</v>
      </c>
      <c r="I255" s="338">
        <v>2463280</v>
      </c>
      <c r="J255" s="333">
        <v>963519</v>
      </c>
      <c r="K255" s="338">
        <f t="shared" si="6"/>
        <v>6133149</v>
      </c>
      <c r="L255" s="333"/>
      <c r="M255" s="338">
        <v>48054</v>
      </c>
      <c r="N255" s="338">
        <v>0</v>
      </c>
      <c r="O255" s="333">
        <v>288340</v>
      </c>
      <c r="P255" s="338">
        <f t="shared" si="7"/>
        <v>336394</v>
      </c>
      <c r="Q255" s="333"/>
      <c r="R255" s="338">
        <v>2578495</v>
      </c>
      <c r="S255" s="333">
        <v>439276</v>
      </c>
      <c r="T255" s="339">
        <v>3017771</v>
      </c>
    </row>
    <row r="256" spans="1:20" s="230" customFormat="1">
      <c r="A256" s="231">
        <v>92513</v>
      </c>
      <c r="B256" s="232" t="s">
        <v>3515</v>
      </c>
      <c r="C256" s="239">
        <f>SUM(C253:C255)</f>
        <v>3.9129000000000004E-3</v>
      </c>
      <c r="D256" s="239">
        <f t="shared" ref="D256:K256" si="8">SUM(D253:D255)</f>
        <v>4.0328999999999999E-3</v>
      </c>
      <c r="E256" s="236">
        <f t="shared" si="8"/>
        <v>9282737</v>
      </c>
      <c r="F256" s="236"/>
      <c r="G256" s="237">
        <f t="shared" si="8"/>
        <v>1432106</v>
      </c>
      <c r="H256" s="225">
        <f t="shared" si="8"/>
        <v>1274244</v>
      </c>
      <c r="I256" s="237">
        <f t="shared" si="8"/>
        <v>2463280</v>
      </c>
      <c r="J256" s="236">
        <f t="shared" si="8"/>
        <v>996926</v>
      </c>
      <c r="K256" s="225">
        <f t="shared" si="8"/>
        <v>6166556</v>
      </c>
      <c r="L256" s="236"/>
      <c r="M256" s="237">
        <f t="shared" ref="M256" si="9">SUM(M253:M255)</f>
        <v>48054</v>
      </c>
      <c r="N256" s="237">
        <f t="shared" ref="N256" si="10">SUM(N253:N255)</f>
        <v>0</v>
      </c>
      <c r="O256" s="236">
        <f t="shared" ref="O256" si="11">SUM(O253:O255)</f>
        <v>1301441</v>
      </c>
      <c r="P256" s="225">
        <f t="shared" ref="P256" si="12">SUM(P253:P255)</f>
        <v>1349495</v>
      </c>
      <c r="Q256" s="236"/>
      <c r="R256" s="237">
        <f t="shared" ref="R256:S256" si="13">SUM(R253:R255)</f>
        <v>2578495</v>
      </c>
      <c r="S256" s="236">
        <f t="shared" si="13"/>
        <v>110788</v>
      </c>
      <c r="T256" s="238">
        <f t="shared" ref="T256" si="14">SUM(T253:T255)</f>
        <v>2689283</v>
      </c>
    </row>
    <row r="257" spans="1:20">
      <c r="A257" s="50">
        <v>92521</v>
      </c>
      <c r="B257" s="51" t="s">
        <v>2226</v>
      </c>
      <c r="C257" s="239">
        <v>8.6799999999999996E-5</v>
      </c>
      <c r="D257" s="239">
        <v>8.6899999999999998E-5</v>
      </c>
      <c r="E257" s="198">
        <v>205919</v>
      </c>
      <c r="F257" s="198" t="s">
        <v>1930</v>
      </c>
      <c r="G257" s="237">
        <v>31768</v>
      </c>
      <c r="H257" s="225">
        <v>28267</v>
      </c>
      <c r="I257" s="237">
        <v>54643</v>
      </c>
      <c r="J257" s="236">
        <v>1428</v>
      </c>
      <c r="K257" s="93">
        <f t="shared" si="6"/>
        <v>116106</v>
      </c>
      <c r="L257" s="52"/>
      <c r="M257" s="237">
        <v>1066</v>
      </c>
      <c r="N257" s="237">
        <v>0</v>
      </c>
      <c r="O257" s="236">
        <v>8085</v>
      </c>
      <c r="P257" s="93">
        <f t="shared" si="7"/>
        <v>9151</v>
      </c>
      <c r="Q257" s="52"/>
      <c r="R257" s="237">
        <v>57199</v>
      </c>
      <c r="S257" s="236">
        <v>-2979</v>
      </c>
      <c r="T257" s="238">
        <v>54220</v>
      </c>
    </row>
    <row r="258" spans="1:20">
      <c r="A258" s="50">
        <v>92531</v>
      </c>
      <c r="B258" s="51" t="s">
        <v>963</v>
      </c>
      <c r="C258" s="239">
        <v>8.4360000000000001E-4</v>
      </c>
      <c r="D258" s="239">
        <v>8.6490000000000004E-4</v>
      </c>
      <c r="E258" s="199">
        <v>2001308</v>
      </c>
      <c r="F258" s="199" t="s">
        <v>1930</v>
      </c>
      <c r="G258" s="237">
        <v>308754</v>
      </c>
      <c r="H258" s="225">
        <v>274720</v>
      </c>
      <c r="I258" s="237">
        <v>531070</v>
      </c>
      <c r="J258" s="236">
        <v>0</v>
      </c>
      <c r="K258" s="93">
        <f t="shared" si="6"/>
        <v>1114544</v>
      </c>
      <c r="L258" s="52"/>
      <c r="M258" s="237">
        <v>10360</v>
      </c>
      <c r="N258" s="237">
        <v>0</v>
      </c>
      <c r="O258" s="236">
        <v>111598</v>
      </c>
      <c r="P258" s="93">
        <f t="shared" si="7"/>
        <v>121958</v>
      </c>
      <c r="Q258" s="52"/>
      <c r="R258" s="237">
        <v>555910</v>
      </c>
      <c r="S258" s="236">
        <v>-73390</v>
      </c>
      <c r="T258" s="238">
        <v>482520</v>
      </c>
    </row>
    <row r="259" spans="1:20">
      <c r="A259" s="50">
        <v>92541</v>
      </c>
      <c r="B259" s="51" t="s">
        <v>2227</v>
      </c>
      <c r="C259" s="239">
        <v>1.2459999999999999E-4</v>
      </c>
      <c r="D259" s="239">
        <v>1.4469999999999999E-4</v>
      </c>
      <c r="E259" s="199">
        <v>295594</v>
      </c>
      <c r="F259" s="199" t="s">
        <v>1930</v>
      </c>
      <c r="G259" s="237">
        <v>45603</v>
      </c>
      <c r="H259" s="225">
        <v>40576</v>
      </c>
      <c r="I259" s="237">
        <v>78439</v>
      </c>
      <c r="J259" s="236">
        <v>2741</v>
      </c>
      <c r="K259" s="93">
        <f t="shared" si="6"/>
        <v>167359</v>
      </c>
      <c r="L259" s="52"/>
      <c r="M259" s="237">
        <v>1530</v>
      </c>
      <c r="N259" s="237">
        <v>0</v>
      </c>
      <c r="O259" s="236">
        <v>19775</v>
      </c>
      <c r="P259" s="93">
        <f t="shared" si="7"/>
        <v>21305</v>
      </c>
      <c r="Q259" s="52"/>
      <c r="R259" s="237">
        <v>82108</v>
      </c>
      <c r="S259" s="236">
        <v>-1772</v>
      </c>
      <c r="T259" s="238">
        <v>80336</v>
      </c>
    </row>
    <row r="260" spans="1:20">
      <c r="A260" s="50">
        <v>92551</v>
      </c>
      <c r="B260" s="51" t="s">
        <v>2228</v>
      </c>
      <c r="C260" s="239">
        <v>4.3399999999999998E-5</v>
      </c>
      <c r="D260" s="239">
        <v>5.3300000000000001E-5</v>
      </c>
      <c r="E260" s="199">
        <v>102960</v>
      </c>
      <c r="F260" s="199" t="s">
        <v>1930</v>
      </c>
      <c r="G260" s="237">
        <v>15884</v>
      </c>
      <c r="H260" s="225">
        <v>14134</v>
      </c>
      <c r="I260" s="237">
        <v>27322</v>
      </c>
      <c r="J260" s="236">
        <v>3097</v>
      </c>
      <c r="K260" s="93">
        <f t="shared" si="6"/>
        <v>60437</v>
      </c>
      <c r="L260" s="52"/>
      <c r="M260" s="237">
        <v>533</v>
      </c>
      <c r="N260" s="237">
        <v>0</v>
      </c>
      <c r="O260" s="236">
        <v>11920</v>
      </c>
      <c r="P260" s="93">
        <f t="shared" si="7"/>
        <v>12453</v>
      </c>
      <c r="Q260" s="52"/>
      <c r="R260" s="237">
        <v>28599</v>
      </c>
      <c r="S260" s="236">
        <v>-841</v>
      </c>
      <c r="T260" s="238">
        <v>27758</v>
      </c>
    </row>
    <row r="261" spans="1:20">
      <c r="A261" s="50">
        <v>92561</v>
      </c>
      <c r="B261" s="51" t="s">
        <v>2229</v>
      </c>
      <c r="C261" s="239">
        <v>2.1399999999999998E-5</v>
      </c>
      <c r="D261" s="239">
        <v>2.2200000000000001E-5</v>
      </c>
      <c r="E261" s="199">
        <v>50768</v>
      </c>
      <c r="F261" s="199" t="s">
        <v>1930</v>
      </c>
      <c r="G261" s="237">
        <v>7832</v>
      </c>
      <c r="H261" s="225">
        <v>6969</v>
      </c>
      <c r="I261" s="237">
        <v>13472</v>
      </c>
      <c r="J261" s="236">
        <v>2739</v>
      </c>
      <c r="K261" s="93">
        <f t="shared" si="6"/>
        <v>31012</v>
      </c>
      <c r="L261" s="52"/>
      <c r="M261" s="237">
        <v>263</v>
      </c>
      <c r="N261" s="237">
        <v>0</v>
      </c>
      <c r="O261" s="236">
        <v>135</v>
      </c>
      <c r="P261" s="93">
        <f t="shared" si="7"/>
        <v>398</v>
      </c>
      <c r="Q261" s="52"/>
      <c r="R261" s="237">
        <v>14102</v>
      </c>
      <c r="S261" s="236">
        <v>2596</v>
      </c>
      <c r="T261" s="238">
        <v>16698</v>
      </c>
    </row>
    <row r="262" spans="1:20">
      <c r="A262" s="50">
        <v>92571</v>
      </c>
      <c r="B262" s="51" t="s">
        <v>2230</v>
      </c>
      <c r="C262" s="239">
        <v>8.1000000000000004E-6</v>
      </c>
      <c r="D262" s="239">
        <v>1.01E-5</v>
      </c>
      <c r="E262" s="199">
        <v>19216</v>
      </c>
      <c r="F262" s="199" t="s">
        <v>1930</v>
      </c>
      <c r="G262" s="237">
        <v>2965</v>
      </c>
      <c r="H262" s="225">
        <v>2638</v>
      </c>
      <c r="I262" s="237">
        <v>5099</v>
      </c>
      <c r="J262" s="236">
        <v>7660</v>
      </c>
      <c r="K262" s="93">
        <f t="shared" si="6"/>
        <v>18362</v>
      </c>
      <c r="L262" s="52"/>
      <c r="M262" s="237">
        <v>99</v>
      </c>
      <c r="N262" s="237">
        <v>0</v>
      </c>
      <c r="O262" s="236">
        <v>0</v>
      </c>
      <c r="P262" s="93">
        <f t="shared" si="7"/>
        <v>99</v>
      </c>
      <c r="Q262" s="52"/>
      <c r="R262" s="237">
        <v>5338</v>
      </c>
      <c r="S262" s="236">
        <v>2958</v>
      </c>
      <c r="T262" s="238">
        <v>8296</v>
      </c>
    </row>
    <row r="263" spans="1:20">
      <c r="A263" s="50">
        <v>92601</v>
      </c>
      <c r="B263" s="51" t="s">
        <v>968</v>
      </c>
      <c r="C263" s="239">
        <v>1.34308E-2</v>
      </c>
      <c r="D263" s="239">
        <v>1.51874E-2</v>
      </c>
      <c r="E263" s="199">
        <v>31862451</v>
      </c>
      <c r="F263" s="199" t="s">
        <v>1930</v>
      </c>
      <c r="G263" s="237">
        <v>4915619</v>
      </c>
      <c r="H263" s="225">
        <v>4373767</v>
      </c>
      <c r="I263" s="237">
        <v>8455065</v>
      </c>
      <c r="J263" s="236">
        <v>12367</v>
      </c>
      <c r="K263" s="93">
        <f t="shared" si="6"/>
        <v>17756818</v>
      </c>
      <c r="L263" s="52"/>
      <c r="M263" s="237">
        <v>164944</v>
      </c>
      <c r="N263" s="237">
        <v>0</v>
      </c>
      <c r="O263" s="236">
        <v>1190672</v>
      </c>
      <c r="P263" s="93">
        <f t="shared" si="7"/>
        <v>1355616</v>
      </c>
      <c r="Q263" s="52"/>
      <c r="R263" s="237">
        <v>8850535</v>
      </c>
      <c r="S263" s="236">
        <v>-178107</v>
      </c>
      <c r="T263" s="238">
        <v>8672428</v>
      </c>
    </row>
    <row r="264" spans="1:20">
      <c r="A264" s="50">
        <v>92602</v>
      </c>
      <c r="B264" s="51" t="s">
        <v>969</v>
      </c>
      <c r="C264" s="239">
        <v>6.3999999999999997E-6</v>
      </c>
      <c r="D264" s="239">
        <v>8.3000000000000002E-6</v>
      </c>
      <c r="E264" s="199">
        <v>15183</v>
      </c>
      <c r="F264" s="199" t="s">
        <v>1930</v>
      </c>
      <c r="G264" s="237">
        <v>2342</v>
      </c>
      <c r="H264" s="225">
        <v>2084</v>
      </c>
      <c r="I264" s="237">
        <v>4029</v>
      </c>
      <c r="J264" s="236">
        <v>0</v>
      </c>
      <c r="K264" s="93">
        <f t="shared" si="6"/>
        <v>8455</v>
      </c>
      <c r="L264" s="52"/>
      <c r="M264" s="237">
        <v>79</v>
      </c>
      <c r="N264" s="237">
        <v>0</v>
      </c>
      <c r="O264" s="236">
        <v>2377</v>
      </c>
      <c r="P264" s="93">
        <f t="shared" si="7"/>
        <v>2456</v>
      </c>
      <c r="Q264" s="52"/>
      <c r="R264" s="237">
        <v>4217</v>
      </c>
      <c r="S264" s="236">
        <v>-578</v>
      </c>
      <c r="T264" s="238">
        <v>3639</v>
      </c>
    </row>
    <row r="265" spans="1:20">
      <c r="A265" s="50">
        <v>92604</v>
      </c>
      <c r="B265" s="51" t="s">
        <v>970</v>
      </c>
      <c r="C265" s="239">
        <v>3.3560000000000003E-4</v>
      </c>
      <c r="D265" s="239">
        <v>3.4099999999999999E-4</v>
      </c>
      <c r="E265" s="199">
        <v>796158</v>
      </c>
      <c r="F265" s="199" t="s">
        <v>1930</v>
      </c>
      <c r="G265" s="237">
        <v>122828</v>
      </c>
      <c r="H265" s="225">
        <v>109289</v>
      </c>
      <c r="I265" s="237">
        <v>211270</v>
      </c>
      <c r="J265" s="236">
        <v>48811</v>
      </c>
      <c r="K265" s="93">
        <f t="shared" si="6"/>
        <v>492198</v>
      </c>
      <c r="L265" s="52"/>
      <c r="M265" s="237">
        <v>4122</v>
      </c>
      <c r="N265" s="237">
        <v>0</v>
      </c>
      <c r="O265" s="236">
        <v>0</v>
      </c>
      <c r="P265" s="93">
        <f t="shared" si="7"/>
        <v>4122</v>
      </c>
      <c r="Q265" s="52"/>
      <c r="R265" s="237">
        <v>221151</v>
      </c>
      <c r="S265" s="236">
        <v>28864</v>
      </c>
      <c r="T265" s="238">
        <v>250015</v>
      </c>
    </row>
    <row r="266" spans="1:20">
      <c r="A266" s="50">
        <v>92607</v>
      </c>
      <c r="B266" s="51" t="s">
        <v>971</v>
      </c>
      <c r="C266" s="239">
        <v>6.1699999999999995E-5</v>
      </c>
      <c r="D266" s="239">
        <v>6.6400000000000001E-5</v>
      </c>
      <c r="E266" s="199">
        <v>146374</v>
      </c>
      <c r="F266" s="199" t="s">
        <v>1930</v>
      </c>
      <c r="G266" s="237">
        <v>22582</v>
      </c>
      <c r="H266" s="225">
        <v>20093</v>
      </c>
      <c r="I266" s="237">
        <v>38842</v>
      </c>
      <c r="J266" s="236">
        <v>9704</v>
      </c>
      <c r="K266" s="93">
        <f t="shared" si="6"/>
        <v>91221</v>
      </c>
      <c r="L266" s="52"/>
      <c r="M266" s="237">
        <v>758</v>
      </c>
      <c r="N266" s="237">
        <v>0</v>
      </c>
      <c r="O266" s="236">
        <v>0</v>
      </c>
      <c r="P266" s="93">
        <f t="shared" si="7"/>
        <v>758</v>
      </c>
      <c r="Q266" s="52"/>
      <c r="R266" s="237">
        <v>40659</v>
      </c>
      <c r="S266" s="236">
        <v>6018</v>
      </c>
      <c r="T266" s="238">
        <v>46677</v>
      </c>
    </row>
    <row r="267" spans="1:20">
      <c r="A267" s="50">
        <v>92608</v>
      </c>
      <c r="B267" s="51" t="s">
        <v>972</v>
      </c>
      <c r="C267" s="239">
        <v>0</v>
      </c>
      <c r="D267" s="239">
        <v>0</v>
      </c>
      <c r="E267" s="199">
        <v>0</v>
      </c>
      <c r="F267" s="199" t="s">
        <v>1930</v>
      </c>
      <c r="G267" s="237">
        <v>0</v>
      </c>
      <c r="H267" s="225">
        <v>0</v>
      </c>
      <c r="I267" s="237">
        <v>0</v>
      </c>
      <c r="J267" s="236">
        <v>0</v>
      </c>
      <c r="K267" s="93">
        <f t="shared" si="6"/>
        <v>0</v>
      </c>
      <c r="L267" s="52"/>
      <c r="M267" s="237">
        <v>0</v>
      </c>
      <c r="N267" s="237">
        <v>0</v>
      </c>
      <c r="O267" s="236">
        <v>752</v>
      </c>
      <c r="P267" s="93">
        <f t="shared" si="7"/>
        <v>752</v>
      </c>
      <c r="Q267" s="52"/>
      <c r="R267" s="237">
        <v>0</v>
      </c>
      <c r="S267" s="236">
        <v>-69182</v>
      </c>
      <c r="T267" s="238">
        <v>-69182</v>
      </c>
    </row>
    <row r="268" spans="1:20">
      <c r="A268" s="50">
        <v>92611</v>
      </c>
      <c r="B268" s="51" t="s">
        <v>973</v>
      </c>
      <c r="C268" s="239">
        <v>1.26649E-2</v>
      </c>
      <c r="D268" s="239">
        <v>1.3080899999999999E-2</v>
      </c>
      <c r="E268" s="199">
        <v>30045474</v>
      </c>
      <c r="F268" s="199" t="s">
        <v>1930</v>
      </c>
      <c r="G268" s="237">
        <v>4635303</v>
      </c>
      <c r="H268" s="225">
        <v>4124350</v>
      </c>
      <c r="I268" s="237">
        <v>7972909</v>
      </c>
      <c r="J268" s="236">
        <v>0</v>
      </c>
      <c r="K268" s="93">
        <f t="shared" si="6"/>
        <v>16732562</v>
      </c>
      <c r="L268" s="52"/>
      <c r="M268" s="237">
        <v>155538</v>
      </c>
      <c r="N268" s="237">
        <v>0</v>
      </c>
      <c r="O268" s="236">
        <v>1208188</v>
      </c>
      <c r="P268" s="93">
        <f t="shared" si="7"/>
        <v>1363726</v>
      </c>
      <c r="Q268" s="52"/>
      <c r="R268" s="237">
        <v>8345827</v>
      </c>
      <c r="S268" s="236">
        <v>-451976</v>
      </c>
      <c r="T268" s="238">
        <v>7893851</v>
      </c>
    </row>
    <row r="269" spans="1:20">
      <c r="A269" s="50">
        <v>92613</v>
      </c>
      <c r="B269" s="51" t="s">
        <v>2761</v>
      </c>
      <c r="C269" s="239">
        <v>2.3599999999999999E-4</v>
      </c>
      <c r="D269" s="239">
        <v>2.6439999999999998E-4</v>
      </c>
      <c r="E269" s="199">
        <v>559873</v>
      </c>
      <c r="F269" s="199" t="s">
        <v>1930</v>
      </c>
      <c r="G269" s="237">
        <v>86375</v>
      </c>
      <c r="H269" s="225">
        <v>76854</v>
      </c>
      <c r="I269" s="237">
        <v>148569</v>
      </c>
      <c r="J269" s="236">
        <v>42032</v>
      </c>
      <c r="K269" s="93">
        <f t="shared" si="6"/>
        <v>353830</v>
      </c>
      <c r="L269" s="52"/>
      <c r="M269" s="237">
        <v>2898</v>
      </c>
      <c r="N269" s="237">
        <v>0</v>
      </c>
      <c r="O269" s="236">
        <v>1086</v>
      </c>
      <c r="P269" s="93">
        <f t="shared" si="7"/>
        <v>3984</v>
      </c>
      <c r="Q269" s="52"/>
      <c r="R269" s="237">
        <v>155518</v>
      </c>
      <c r="S269" s="236">
        <v>41245</v>
      </c>
      <c r="T269" s="238">
        <v>196763</v>
      </c>
    </row>
    <row r="270" spans="1:20">
      <c r="A270" s="50">
        <v>92614</v>
      </c>
      <c r="B270" s="51" t="s">
        <v>975</v>
      </c>
      <c r="C270" s="239">
        <v>5.5757000000000003E-3</v>
      </c>
      <c r="D270" s="239">
        <v>5.7273000000000003E-3</v>
      </c>
      <c r="E270" s="199">
        <v>13227467</v>
      </c>
      <c r="F270" s="199" t="s">
        <v>1930</v>
      </c>
      <c r="G270" s="237">
        <v>2040684</v>
      </c>
      <c r="H270" s="225">
        <v>1815737</v>
      </c>
      <c r="I270" s="237">
        <v>3510059</v>
      </c>
      <c r="J270" s="236">
        <v>4152143</v>
      </c>
      <c r="K270" s="93">
        <f t="shared" si="6"/>
        <v>11518623</v>
      </c>
      <c r="L270" s="52"/>
      <c r="M270" s="237">
        <v>68475</v>
      </c>
      <c r="N270" s="237">
        <v>0</v>
      </c>
      <c r="O270" s="236">
        <v>0</v>
      </c>
      <c r="P270" s="93">
        <f t="shared" si="7"/>
        <v>68475</v>
      </c>
      <c r="Q270" s="52"/>
      <c r="R270" s="237">
        <v>3674236</v>
      </c>
      <c r="S270" s="236">
        <v>1829865</v>
      </c>
      <c r="T270" s="238">
        <v>5504101</v>
      </c>
    </row>
    <row r="271" spans="1:20">
      <c r="A271" s="50">
        <v>92621</v>
      </c>
      <c r="B271" s="51" t="s">
        <v>2231</v>
      </c>
      <c r="C271" s="239">
        <v>2.4600000000000002E-5</v>
      </c>
      <c r="D271" s="239">
        <v>2.72E-5</v>
      </c>
      <c r="E271" s="199">
        <v>58360</v>
      </c>
      <c r="F271" s="199" t="s">
        <v>1930</v>
      </c>
      <c r="G271" s="237">
        <v>9004</v>
      </c>
      <c r="H271" s="225">
        <v>8011</v>
      </c>
      <c r="I271" s="237">
        <v>15486</v>
      </c>
      <c r="J271" s="236">
        <v>393</v>
      </c>
      <c r="K271" s="93">
        <f t="shared" si="6"/>
        <v>32894</v>
      </c>
      <c r="L271" s="52"/>
      <c r="M271" s="237">
        <v>302</v>
      </c>
      <c r="N271" s="237">
        <v>0</v>
      </c>
      <c r="O271" s="236">
        <v>4712</v>
      </c>
      <c r="P271" s="93">
        <f t="shared" si="7"/>
        <v>5014</v>
      </c>
      <c r="Q271" s="52"/>
      <c r="R271" s="237">
        <v>16211</v>
      </c>
      <c r="S271" s="236">
        <v>-2140</v>
      </c>
      <c r="T271" s="238">
        <v>14071</v>
      </c>
    </row>
    <row r="272" spans="1:20">
      <c r="A272" s="50">
        <v>92631</v>
      </c>
      <c r="B272" s="51" t="s">
        <v>2232</v>
      </c>
      <c r="C272" s="239">
        <v>9.0030000000000004E-4</v>
      </c>
      <c r="D272" s="239">
        <v>9.2710000000000004E-4</v>
      </c>
      <c r="E272" s="199">
        <v>2135820</v>
      </c>
      <c r="F272" s="199" t="s">
        <v>1930</v>
      </c>
      <c r="G272" s="237">
        <v>329506</v>
      </c>
      <c r="H272" s="225">
        <v>293184</v>
      </c>
      <c r="I272" s="237">
        <v>566764</v>
      </c>
      <c r="J272" s="236">
        <v>0</v>
      </c>
      <c r="K272" s="93">
        <f t="shared" si="6"/>
        <v>1189454</v>
      </c>
      <c r="L272" s="52"/>
      <c r="M272" s="237">
        <v>11057</v>
      </c>
      <c r="N272" s="237">
        <v>0</v>
      </c>
      <c r="O272" s="236">
        <v>135840</v>
      </c>
      <c r="P272" s="93">
        <f t="shared" si="7"/>
        <v>146897</v>
      </c>
      <c r="Q272" s="52"/>
      <c r="R272" s="237">
        <v>593273</v>
      </c>
      <c r="S272" s="236">
        <v>-59375</v>
      </c>
      <c r="T272" s="238">
        <v>533898</v>
      </c>
    </row>
    <row r="273" spans="1:20">
      <c r="A273" s="50">
        <v>92641</v>
      </c>
      <c r="B273" s="51" t="s">
        <v>2233</v>
      </c>
      <c r="C273" s="239">
        <v>9.7000000000000003E-6</v>
      </c>
      <c r="D273" s="239">
        <v>1.0200000000000001E-5</v>
      </c>
      <c r="E273" s="199">
        <v>23012</v>
      </c>
      <c r="F273" s="199" t="s">
        <v>1930</v>
      </c>
      <c r="G273" s="237">
        <v>3550</v>
      </c>
      <c r="H273" s="225">
        <v>3159</v>
      </c>
      <c r="I273" s="237">
        <v>6106</v>
      </c>
      <c r="J273" s="236">
        <v>2866</v>
      </c>
      <c r="K273" s="93">
        <f t="shared" ref="K273:K336" si="15">G273+H273+I273+J273</f>
        <v>15681</v>
      </c>
      <c r="L273" s="52"/>
      <c r="M273" s="237">
        <v>119</v>
      </c>
      <c r="N273" s="237">
        <v>0</v>
      </c>
      <c r="O273" s="236">
        <v>0</v>
      </c>
      <c r="P273" s="93">
        <f t="shared" ref="P273:P336" si="16">M273+N273+O273</f>
        <v>119</v>
      </c>
      <c r="Q273" s="52"/>
      <c r="R273" s="237">
        <v>6392</v>
      </c>
      <c r="S273" s="236">
        <v>543</v>
      </c>
      <c r="T273" s="238">
        <v>6935</v>
      </c>
    </row>
    <row r="274" spans="1:20">
      <c r="A274" s="50">
        <v>92651</v>
      </c>
      <c r="B274" s="51" t="s">
        <v>2234</v>
      </c>
      <c r="C274" s="239">
        <v>4.4000000000000002E-6</v>
      </c>
      <c r="D274" s="239">
        <v>2.6000000000000001E-6</v>
      </c>
      <c r="E274" s="199">
        <v>10438</v>
      </c>
      <c r="F274" s="199" t="s">
        <v>1930</v>
      </c>
      <c r="G274" s="237">
        <v>1610</v>
      </c>
      <c r="H274" s="225">
        <v>1433</v>
      </c>
      <c r="I274" s="237">
        <v>2770</v>
      </c>
      <c r="J274" s="236">
        <v>3690</v>
      </c>
      <c r="K274" s="93">
        <f t="shared" si="15"/>
        <v>9503</v>
      </c>
      <c r="L274" s="52"/>
      <c r="M274" s="237">
        <v>54</v>
      </c>
      <c r="N274" s="237">
        <v>0</v>
      </c>
      <c r="O274" s="236">
        <v>0</v>
      </c>
      <c r="P274" s="93">
        <f t="shared" si="16"/>
        <v>54</v>
      </c>
      <c r="Q274" s="52"/>
      <c r="R274" s="237">
        <v>2899</v>
      </c>
      <c r="S274" s="236">
        <v>1740</v>
      </c>
      <c r="T274" s="238">
        <v>4639</v>
      </c>
    </row>
    <row r="275" spans="1:20">
      <c r="A275" s="50">
        <v>92661</v>
      </c>
      <c r="B275" s="51" t="s">
        <v>2235</v>
      </c>
      <c r="C275" s="239">
        <v>6.334E-4</v>
      </c>
      <c r="D275" s="239">
        <v>6.9999999999999999E-4</v>
      </c>
      <c r="E275" s="199">
        <v>1502641</v>
      </c>
      <c r="F275" s="199" t="s">
        <v>1930</v>
      </c>
      <c r="G275" s="237">
        <v>231822</v>
      </c>
      <c r="H275" s="225">
        <v>206268</v>
      </c>
      <c r="I275" s="237">
        <v>398743</v>
      </c>
      <c r="J275" s="236">
        <v>441125</v>
      </c>
      <c r="K275" s="93">
        <f t="shared" si="15"/>
        <v>1277958</v>
      </c>
      <c r="L275" s="52"/>
      <c r="M275" s="237">
        <v>7779</v>
      </c>
      <c r="N275" s="237">
        <v>0</v>
      </c>
      <c r="O275" s="236">
        <v>0</v>
      </c>
      <c r="P275" s="93">
        <f t="shared" si="16"/>
        <v>7779</v>
      </c>
      <c r="Q275" s="52"/>
      <c r="R275" s="237">
        <v>417393</v>
      </c>
      <c r="S275" s="236">
        <v>165863</v>
      </c>
      <c r="T275" s="238">
        <v>583256</v>
      </c>
    </row>
    <row r="276" spans="1:20">
      <c r="A276" s="50">
        <v>92671</v>
      </c>
      <c r="B276" s="51" t="s">
        <v>2236</v>
      </c>
      <c r="C276" s="239">
        <v>2.3999999999999999E-6</v>
      </c>
      <c r="D276" s="239">
        <v>2.6000000000000001E-6</v>
      </c>
      <c r="E276" s="199">
        <v>5694</v>
      </c>
      <c r="F276" s="199" t="s">
        <v>1930</v>
      </c>
      <c r="G276" s="237">
        <v>878</v>
      </c>
      <c r="H276" s="225">
        <v>781</v>
      </c>
      <c r="I276" s="237">
        <v>1511</v>
      </c>
      <c r="J276" s="236">
        <v>7284</v>
      </c>
      <c r="K276" s="93">
        <f t="shared" si="15"/>
        <v>10454</v>
      </c>
      <c r="L276" s="52"/>
      <c r="M276" s="237">
        <v>29</v>
      </c>
      <c r="N276" s="237">
        <v>0</v>
      </c>
      <c r="O276" s="236">
        <v>0</v>
      </c>
      <c r="P276" s="93">
        <f t="shared" si="16"/>
        <v>29</v>
      </c>
      <c r="Q276" s="52"/>
      <c r="R276" s="237">
        <v>1582</v>
      </c>
      <c r="S276" s="236">
        <v>3016</v>
      </c>
      <c r="T276" s="238">
        <v>4598</v>
      </c>
    </row>
    <row r="277" spans="1:20">
      <c r="A277" s="50">
        <v>92681</v>
      </c>
      <c r="B277" s="51" t="s">
        <v>2237</v>
      </c>
      <c r="C277" s="239">
        <v>1.1800000000000001E-5</v>
      </c>
      <c r="D277" s="239">
        <v>1.17E-5</v>
      </c>
      <c r="E277" s="199">
        <v>27994</v>
      </c>
      <c r="F277" s="199" t="s">
        <v>1930</v>
      </c>
      <c r="G277" s="237">
        <v>4319</v>
      </c>
      <c r="H277" s="225">
        <v>3843</v>
      </c>
      <c r="I277" s="237">
        <v>7428</v>
      </c>
      <c r="J277" s="236">
        <v>13847</v>
      </c>
      <c r="K277" s="93">
        <f t="shared" si="15"/>
        <v>29437</v>
      </c>
      <c r="L277" s="52"/>
      <c r="M277" s="237">
        <v>145</v>
      </c>
      <c r="N277" s="237">
        <v>0</v>
      </c>
      <c r="O277" s="236">
        <v>0</v>
      </c>
      <c r="P277" s="93">
        <f t="shared" si="16"/>
        <v>145</v>
      </c>
      <c r="Q277" s="52"/>
      <c r="R277" s="237">
        <v>7776</v>
      </c>
      <c r="S277" s="236">
        <v>6248</v>
      </c>
      <c r="T277" s="238">
        <v>14024</v>
      </c>
    </row>
    <row r="278" spans="1:20">
      <c r="A278" s="50">
        <v>92701</v>
      </c>
      <c r="B278" s="51" t="s">
        <v>983</v>
      </c>
      <c r="C278" s="239">
        <v>2.8871000000000001E-3</v>
      </c>
      <c r="D278" s="239">
        <v>3.0777000000000001E-3</v>
      </c>
      <c r="E278" s="199">
        <v>6849189</v>
      </c>
      <c r="F278" s="199" t="s">
        <v>1930</v>
      </c>
      <c r="G278" s="237">
        <v>1056667</v>
      </c>
      <c r="H278" s="225">
        <v>940190</v>
      </c>
      <c r="I278" s="237">
        <v>1817510</v>
      </c>
      <c r="J278" s="236">
        <v>35473</v>
      </c>
      <c r="K278" s="93">
        <f t="shared" si="15"/>
        <v>3849840</v>
      </c>
      <c r="L278" s="52"/>
      <c r="M278" s="237">
        <v>35456</v>
      </c>
      <c r="N278" s="237">
        <v>0</v>
      </c>
      <c r="O278" s="236">
        <v>155267</v>
      </c>
      <c r="P278" s="93">
        <f t="shared" si="16"/>
        <v>190723</v>
      </c>
      <c r="Q278" s="52"/>
      <c r="R278" s="237">
        <v>1902521</v>
      </c>
      <c r="S278" s="236">
        <v>-62476</v>
      </c>
      <c r="T278" s="238">
        <v>1840045</v>
      </c>
    </row>
    <row r="279" spans="1:20">
      <c r="A279" s="50">
        <v>92704</v>
      </c>
      <c r="B279" s="51" t="s">
        <v>984</v>
      </c>
      <c r="C279" s="239">
        <v>3.9400000000000002E-5</v>
      </c>
      <c r="D279" s="239">
        <v>4.1600000000000002E-5</v>
      </c>
      <c r="E279" s="199">
        <v>93470</v>
      </c>
      <c r="F279" s="199" t="s">
        <v>1930</v>
      </c>
      <c r="G279" s="237">
        <v>14420</v>
      </c>
      <c r="H279" s="225">
        <v>12831</v>
      </c>
      <c r="I279" s="237">
        <v>24803</v>
      </c>
      <c r="J279" s="236">
        <v>703</v>
      </c>
      <c r="K279" s="93">
        <f t="shared" si="15"/>
        <v>52757</v>
      </c>
      <c r="L279" s="52"/>
      <c r="M279" s="237">
        <v>484</v>
      </c>
      <c r="N279" s="237">
        <v>0</v>
      </c>
      <c r="O279" s="236">
        <v>5422</v>
      </c>
      <c r="P279" s="93">
        <f t="shared" si="16"/>
        <v>5906</v>
      </c>
      <c r="Q279" s="52"/>
      <c r="R279" s="237">
        <v>25964</v>
      </c>
      <c r="S279" s="236">
        <v>-1035</v>
      </c>
      <c r="T279" s="238">
        <v>24929</v>
      </c>
    </row>
    <row r="280" spans="1:20">
      <c r="A280" s="50">
        <v>92801</v>
      </c>
      <c r="B280" s="51" t="s">
        <v>985</v>
      </c>
      <c r="C280" s="239">
        <v>5.2335999999999997E-3</v>
      </c>
      <c r="D280" s="239">
        <v>5.0951E-3</v>
      </c>
      <c r="E280" s="199">
        <v>12415889</v>
      </c>
      <c r="F280" s="199" t="s">
        <v>1930</v>
      </c>
      <c r="G280" s="237">
        <v>1915477</v>
      </c>
      <c r="H280" s="225">
        <v>1704333</v>
      </c>
      <c r="I280" s="237">
        <v>3294698</v>
      </c>
      <c r="J280" s="236">
        <v>237901</v>
      </c>
      <c r="K280" s="93">
        <f t="shared" si="15"/>
        <v>7152409</v>
      </c>
      <c r="L280" s="52"/>
      <c r="M280" s="237">
        <v>64274</v>
      </c>
      <c r="N280" s="237">
        <v>0</v>
      </c>
      <c r="O280" s="236">
        <v>0</v>
      </c>
      <c r="P280" s="93">
        <f t="shared" si="16"/>
        <v>64274</v>
      </c>
      <c r="Q280" s="52"/>
      <c r="R280" s="237">
        <v>3448801</v>
      </c>
      <c r="S280" s="236">
        <v>122866</v>
      </c>
      <c r="T280" s="238">
        <v>3571667</v>
      </c>
    </row>
    <row r="281" spans="1:20">
      <c r="A281" s="50">
        <v>92802</v>
      </c>
      <c r="B281" s="51" t="s">
        <v>986</v>
      </c>
      <c r="C281" s="239">
        <v>1.2799999999999999E-4</v>
      </c>
      <c r="D281" s="239">
        <v>1.2970000000000001E-4</v>
      </c>
      <c r="E281" s="199">
        <v>303660</v>
      </c>
      <c r="F281" s="199" t="s">
        <v>1930</v>
      </c>
      <c r="G281" s="237">
        <v>46847</v>
      </c>
      <c r="H281" s="225">
        <v>41684</v>
      </c>
      <c r="I281" s="237">
        <v>80580</v>
      </c>
      <c r="J281" s="236">
        <v>0</v>
      </c>
      <c r="K281" s="93">
        <f t="shared" si="15"/>
        <v>169111</v>
      </c>
      <c r="L281" s="52"/>
      <c r="M281" s="237">
        <v>1572</v>
      </c>
      <c r="N281" s="237">
        <v>0</v>
      </c>
      <c r="O281" s="236">
        <v>15754</v>
      </c>
      <c r="P281" s="93">
        <f t="shared" si="16"/>
        <v>17326</v>
      </c>
      <c r="Q281" s="52"/>
      <c r="R281" s="237">
        <v>84349</v>
      </c>
      <c r="S281" s="236">
        <v>-8217</v>
      </c>
      <c r="T281" s="238">
        <v>76132</v>
      </c>
    </row>
    <row r="282" spans="1:20">
      <c r="A282" s="50">
        <v>92804</v>
      </c>
      <c r="B282" s="51" t="s">
        <v>987</v>
      </c>
      <c r="C282" s="239">
        <v>1.4990000000000001E-4</v>
      </c>
      <c r="D282" s="239">
        <v>1.36E-4</v>
      </c>
      <c r="E282" s="199">
        <v>355614</v>
      </c>
      <c r="F282" s="199" t="s">
        <v>1930</v>
      </c>
      <c r="G282" s="237">
        <v>54863</v>
      </c>
      <c r="H282" s="225">
        <v>48815</v>
      </c>
      <c r="I282" s="237">
        <v>94366</v>
      </c>
      <c r="J282" s="236">
        <v>9289</v>
      </c>
      <c r="K282" s="93">
        <f t="shared" si="15"/>
        <v>207333</v>
      </c>
      <c r="L282" s="52"/>
      <c r="M282" s="237">
        <v>1841</v>
      </c>
      <c r="N282" s="237">
        <v>0</v>
      </c>
      <c r="O282" s="236">
        <v>8327</v>
      </c>
      <c r="P282" s="93">
        <f t="shared" si="16"/>
        <v>10168</v>
      </c>
      <c r="Q282" s="52"/>
      <c r="R282" s="237">
        <v>98780</v>
      </c>
      <c r="S282" s="236">
        <v>967</v>
      </c>
      <c r="T282" s="238">
        <v>99747</v>
      </c>
    </row>
    <row r="283" spans="1:20">
      <c r="A283" s="50">
        <v>92811</v>
      </c>
      <c r="B283" s="51" t="s">
        <v>2238</v>
      </c>
      <c r="C283" s="239">
        <v>9.6909999999999997E-4</v>
      </c>
      <c r="D283" s="239">
        <v>1.0036000000000001E-3</v>
      </c>
      <c r="E283" s="199">
        <v>2299037</v>
      </c>
      <c r="F283" s="199" t="s">
        <v>1930</v>
      </c>
      <c r="G283" s="237">
        <v>354687</v>
      </c>
      <c r="H283" s="225">
        <v>315589</v>
      </c>
      <c r="I283" s="237">
        <v>610076</v>
      </c>
      <c r="J283" s="236">
        <v>0</v>
      </c>
      <c r="K283" s="93">
        <f t="shared" si="15"/>
        <v>1280352</v>
      </c>
      <c r="L283" s="52"/>
      <c r="M283" s="237">
        <v>11902</v>
      </c>
      <c r="N283" s="237">
        <v>0</v>
      </c>
      <c r="O283" s="236">
        <v>69119</v>
      </c>
      <c r="P283" s="93">
        <f t="shared" si="16"/>
        <v>81021</v>
      </c>
      <c r="Q283" s="52"/>
      <c r="R283" s="237">
        <v>638611</v>
      </c>
      <c r="S283" s="236">
        <v>-41669</v>
      </c>
      <c r="T283" s="238">
        <v>596942</v>
      </c>
    </row>
    <row r="284" spans="1:20">
      <c r="A284" s="50">
        <v>92821</v>
      </c>
      <c r="B284" s="51" t="s">
        <v>2239</v>
      </c>
      <c r="C284" s="239">
        <v>1.0001999999999999E-3</v>
      </c>
      <c r="D284" s="239">
        <v>9.9400000000000009E-4</v>
      </c>
      <c r="E284" s="199">
        <v>2372816</v>
      </c>
      <c r="F284" s="199" t="s">
        <v>1930</v>
      </c>
      <c r="G284" s="237">
        <v>366069</v>
      </c>
      <c r="H284" s="225">
        <v>325717</v>
      </c>
      <c r="I284" s="237">
        <v>629654</v>
      </c>
      <c r="J284" s="236">
        <v>28694</v>
      </c>
      <c r="K284" s="93">
        <f t="shared" si="15"/>
        <v>1350134</v>
      </c>
      <c r="L284" s="52"/>
      <c r="M284" s="237">
        <v>12283</v>
      </c>
      <c r="N284" s="237">
        <v>0</v>
      </c>
      <c r="O284" s="236">
        <v>0</v>
      </c>
      <c r="P284" s="93">
        <f t="shared" si="16"/>
        <v>12283</v>
      </c>
      <c r="Q284" s="52"/>
      <c r="R284" s="237">
        <v>659105</v>
      </c>
      <c r="S284" s="236">
        <v>14053</v>
      </c>
      <c r="T284" s="238">
        <v>673158</v>
      </c>
    </row>
    <row r="285" spans="1:20">
      <c r="A285" s="50">
        <v>92831</v>
      </c>
      <c r="B285" s="51" t="s">
        <v>2240</v>
      </c>
      <c r="C285" s="239">
        <v>2.3580000000000001E-4</v>
      </c>
      <c r="D285" s="239">
        <v>2.1829999999999999E-4</v>
      </c>
      <c r="E285" s="199">
        <v>559398</v>
      </c>
      <c r="F285" s="199" t="s">
        <v>1930</v>
      </c>
      <c r="G285" s="237">
        <v>86302</v>
      </c>
      <c r="H285" s="225">
        <v>76789</v>
      </c>
      <c r="I285" s="237">
        <v>148443</v>
      </c>
      <c r="J285" s="236">
        <v>36641</v>
      </c>
      <c r="K285" s="93">
        <f t="shared" si="15"/>
        <v>348175</v>
      </c>
      <c r="L285" s="52"/>
      <c r="M285" s="237">
        <v>2896</v>
      </c>
      <c r="N285" s="237">
        <v>0</v>
      </c>
      <c r="O285" s="236">
        <v>1618</v>
      </c>
      <c r="P285" s="93">
        <f t="shared" si="16"/>
        <v>4514</v>
      </c>
      <c r="Q285" s="52"/>
      <c r="R285" s="237">
        <v>155386</v>
      </c>
      <c r="S285" s="236">
        <v>16332</v>
      </c>
      <c r="T285" s="238">
        <v>171718</v>
      </c>
    </row>
    <row r="286" spans="1:20">
      <c r="A286" s="50">
        <v>92841</v>
      </c>
      <c r="B286" s="51" t="s">
        <v>2241</v>
      </c>
      <c r="C286" s="239">
        <v>2.5769999999999998E-4</v>
      </c>
      <c r="D286" s="239">
        <v>2.7809999999999998E-4</v>
      </c>
      <c r="E286" s="199">
        <v>611353</v>
      </c>
      <c r="F286" s="199" t="s">
        <v>1930</v>
      </c>
      <c r="G286" s="237">
        <v>94317</v>
      </c>
      <c r="H286" s="225">
        <v>83921</v>
      </c>
      <c r="I286" s="237">
        <v>162229</v>
      </c>
      <c r="J286" s="236">
        <v>0</v>
      </c>
      <c r="K286" s="93">
        <f t="shared" si="15"/>
        <v>340467</v>
      </c>
      <c r="L286" s="52"/>
      <c r="M286" s="237">
        <v>3165</v>
      </c>
      <c r="N286" s="237">
        <v>0</v>
      </c>
      <c r="O286" s="236">
        <v>24975</v>
      </c>
      <c r="P286" s="93">
        <f t="shared" si="16"/>
        <v>28140</v>
      </c>
      <c r="Q286" s="52"/>
      <c r="R286" s="237">
        <v>169817</v>
      </c>
      <c r="S286" s="236">
        <v>-1626</v>
      </c>
      <c r="T286" s="238">
        <v>168191</v>
      </c>
    </row>
    <row r="287" spans="1:20">
      <c r="A287" s="50">
        <v>92851</v>
      </c>
      <c r="B287" s="51" t="s">
        <v>2242</v>
      </c>
      <c r="C287" s="239">
        <v>4.3899999999999999E-4</v>
      </c>
      <c r="D287" s="239">
        <v>4.6079999999999998E-4</v>
      </c>
      <c r="E287" s="199">
        <v>1041458</v>
      </c>
      <c r="F287" s="199" t="s">
        <v>1930</v>
      </c>
      <c r="G287" s="237">
        <v>160672</v>
      </c>
      <c r="H287" s="225">
        <v>142961</v>
      </c>
      <c r="I287" s="237">
        <v>276363</v>
      </c>
      <c r="J287" s="236">
        <v>0</v>
      </c>
      <c r="K287" s="93">
        <f t="shared" si="15"/>
        <v>579996</v>
      </c>
      <c r="L287" s="52"/>
      <c r="M287" s="237">
        <v>5391</v>
      </c>
      <c r="N287" s="237">
        <v>0</v>
      </c>
      <c r="O287" s="236">
        <v>61052</v>
      </c>
      <c r="P287" s="93">
        <f t="shared" si="16"/>
        <v>66443</v>
      </c>
      <c r="Q287" s="52"/>
      <c r="R287" s="237">
        <v>289289</v>
      </c>
      <c r="S287" s="236">
        <v>-43806</v>
      </c>
      <c r="T287" s="238">
        <v>245483</v>
      </c>
    </row>
    <row r="288" spans="1:20">
      <c r="A288" s="50">
        <v>92861</v>
      </c>
      <c r="B288" s="51" t="s">
        <v>2243</v>
      </c>
      <c r="C288" s="239">
        <v>3.7629999999999999E-4</v>
      </c>
      <c r="D288" s="239">
        <v>3.6010000000000003E-4</v>
      </c>
      <c r="E288" s="199">
        <v>892712</v>
      </c>
      <c r="F288" s="199" t="s">
        <v>1930</v>
      </c>
      <c r="G288" s="237">
        <v>137724</v>
      </c>
      <c r="H288" s="225">
        <v>122543</v>
      </c>
      <c r="I288" s="237">
        <v>236891</v>
      </c>
      <c r="J288" s="236">
        <v>0</v>
      </c>
      <c r="K288" s="93">
        <f t="shared" si="15"/>
        <v>497158</v>
      </c>
      <c r="L288" s="52"/>
      <c r="M288" s="237">
        <v>4621</v>
      </c>
      <c r="N288" s="237">
        <v>0</v>
      </c>
      <c r="O288" s="236">
        <v>73406</v>
      </c>
      <c r="P288" s="93">
        <f t="shared" si="16"/>
        <v>78027</v>
      </c>
      <c r="Q288" s="52"/>
      <c r="R288" s="237">
        <v>247972</v>
      </c>
      <c r="S288" s="236">
        <v>-43591</v>
      </c>
      <c r="T288" s="238">
        <v>204381</v>
      </c>
    </row>
    <row r="289" spans="1:20">
      <c r="A289" s="50">
        <v>92901</v>
      </c>
      <c r="B289" s="51" t="s">
        <v>994</v>
      </c>
      <c r="C289" s="239">
        <v>5.4257999999999997E-3</v>
      </c>
      <c r="D289" s="239">
        <v>5.5082999999999998E-3</v>
      </c>
      <c r="E289" s="199">
        <v>12871853</v>
      </c>
      <c r="F289" s="199" t="s">
        <v>1930</v>
      </c>
      <c r="G289" s="237">
        <v>1985821</v>
      </c>
      <c r="H289" s="225">
        <v>1766922</v>
      </c>
      <c r="I289" s="237">
        <v>3415693</v>
      </c>
      <c r="J289" s="236">
        <v>22983</v>
      </c>
      <c r="K289" s="93">
        <f t="shared" si="15"/>
        <v>7191419</v>
      </c>
      <c r="L289" s="52"/>
      <c r="M289" s="237">
        <v>66634</v>
      </c>
      <c r="N289" s="237">
        <v>0</v>
      </c>
      <c r="O289" s="236">
        <v>91593</v>
      </c>
      <c r="P289" s="93">
        <f t="shared" si="16"/>
        <v>158227</v>
      </c>
      <c r="Q289" s="52"/>
      <c r="R289" s="237">
        <v>3575456</v>
      </c>
      <c r="S289" s="236">
        <v>5628</v>
      </c>
      <c r="T289" s="238">
        <v>3581084</v>
      </c>
    </row>
    <row r="290" spans="1:20">
      <c r="A290" s="50">
        <v>92911</v>
      </c>
      <c r="B290" s="51" t="s">
        <v>995</v>
      </c>
      <c r="C290" s="239">
        <v>1.9322E-3</v>
      </c>
      <c r="D290" s="239">
        <v>1.9548999999999999E-3</v>
      </c>
      <c r="E290" s="199">
        <v>4583839</v>
      </c>
      <c r="F290" s="199" t="s">
        <v>1930</v>
      </c>
      <c r="G290" s="237">
        <v>707177</v>
      </c>
      <c r="H290" s="225">
        <v>629224</v>
      </c>
      <c r="I290" s="237">
        <v>1216374</v>
      </c>
      <c r="J290" s="236">
        <v>39110</v>
      </c>
      <c r="K290" s="93">
        <f t="shared" si="15"/>
        <v>2591885</v>
      </c>
      <c r="L290" s="52"/>
      <c r="M290" s="237">
        <v>23729</v>
      </c>
      <c r="N290" s="237">
        <v>0</v>
      </c>
      <c r="O290" s="236">
        <v>51551</v>
      </c>
      <c r="P290" s="93">
        <f t="shared" si="16"/>
        <v>75280</v>
      </c>
      <c r="Q290" s="52"/>
      <c r="R290" s="237">
        <v>1273268</v>
      </c>
      <c r="S290" s="236">
        <v>-50417</v>
      </c>
      <c r="T290" s="238">
        <v>1222851</v>
      </c>
    </row>
    <row r="291" spans="1:20">
      <c r="A291" s="50">
        <v>92913</v>
      </c>
      <c r="B291" s="51" t="s">
        <v>996</v>
      </c>
      <c r="C291" s="239">
        <v>2.1500000000000001E-5</v>
      </c>
      <c r="D291" s="239">
        <v>2.1999999999999999E-5</v>
      </c>
      <c r="E291" s="199">
        <v>51005</v>
      </c>
      <c r="F291" s="199" t="s">
        <v>1930</v>
      </c>
      <c r="G291" s="237">
        <v>7869</v>
      </c>
      <c r="H291" s="225">
        <v>7001</v>
      </c>
      <c r="I291" s="237">
        <v>13535</v>
      </c>
      <c r="J291" s="236">
        <v>88672</v>
      </c>
      <c r="K291" s="93">
        <f t="shared" si="15"/>
        <v>117077</v>
      </c>
      <c r="L291" s="52"/>
      <c r="M291" s="237">
        <v>264</v>
      </c>
      <c r="N291" s="237">
        <v>0</v>
      </c>
      <c r="O291" s="236">
        <v>0</v>
      </c>
      <c r="P291" s="93">
        <f t="shared" si="16"/>
        <v>264</v>
      </c>
      <c r="Q291" s="52"/>
      <c r="R291" s="237">
        <v>14168</v>
      </c>
      <c r="S291" s="236">
        <v>34736</v>
      </c>
      <c r="T291" s="238">
        <v>48904</v>
      </c>
    </row>
    <row r="292" spans="1:20">
      <c r="A292" s="50">
        <v>92914</v>
      </c>
      <c r="B292" s="51" t="s">
        <v>997</v>
      </c>
      <c r="C292" s="239">
        <v>2.4899999999999999E-5</v>
      </c>
      <c r="D292" s="239">
        <v>2.8900000000000001E-5</v>
      </c>
      <c r="E292" s="199">
        <v>59071</v>
      </c>
      <c r="F292" s="199" t="s">
        <v>1930</v>
      </c>
      <c r="G292" s="237">
        <v>9113</v>
      </c>
      <c r="H292" s="225">
        <v>8109</v>
      </c>
      <c r="I292" s="237">
        <v>15675</v>
      </c>
      <c r="J292" s="236">
        <v>12880</v>
      </c>
      <c r="K292" s="93">
        <f t="shared" si="15"/>
        <v>45777</v>
      </c>
      <c r="L292" s="52"/>
      <c r="M292" s="237">
        <v>306</v>
      </c>
      <c r="N292" s="237">
        <v>0</v>
      </c>
      <c r="O292" s="236">
        <v>1246</v>
      </c>
      <c r="P292" s="93">
        <f t="shared" si="16"/>
        <v>1552</v>
      </c>
      <c r="Q292" s="52"/>
      <c r="R292" s="237">
        <v>16408</v>
      </c>
      <c r="S292" s="236">
        <v>3981</v>
      </c>
      <c r="T292" s="238">
        <v>20389</v>
      </c>
    </row>
    <row r="293" spans="1:20">
      <c r="A293" s="50">
        <v>92917</v>
      </c>
      <c r="B293" s="51" t="s">
        <v>998</v>
      </c>
      <c r="C293" s="239">
        <v>1.6099999999999998E-5</v>
      </c>
      <c r="D293" s="239">
        <v>1.4800000000000001E-5</v>
      </c>
      <c r="E293" s="200">
        <v>38195</v>
      </c>
      <c r="F293" s="200" t="s">
        <v>1930</v>
      </c>
      <c r="G293" s="237">
        <v>5893</v>
      </c>
      <c r="H293" s="225">
        <v>5243</v>
      </c>
      <c r="I293" s="237">
        <v>10135</v>
      </c>
      <c r="J293" s="236">
        <v>14400</v>
      </c>
      <c r="K293" s="93">
        <f t="shared" si="15"/>
        <v>35671</v>
      </c>
      <c r="L293" s="52"/>
      <c r="M293" s="237">
        <v>198</v>
      </c>
      <c r="N293" s="237">
        <v>0</v>
      </c>
      <c r="O293" s="236">
        <v>0</v>
      </c>
      <c r="P293" s="93">
        <f t="shared" si="16"/>
        <v>198</v>
      </c>
      <c r="Q293" s="52"/>
      <c r="R293" s="237">
        <v>10609</v>
      </c>
      <c r="S293" s="236">
        <v>8201</v>
      </c>
      <c r="T293" s="238">
        <v>18810</v>
      </c>
    </row>
    <row r="294" spans="1:20">
      <c r="A294" s="50">
        <v>92921</v>
      </c>
      <c r="B294" s="51" t="s">
        <v>2244</v>
      </c>
      <c r="C294" s="239">
        <v>9.2499999999999999E-5</v>
      </c>
      <c r="D294" s="239">
        <v>7.4400000000000006E-5</v>
      </c>
      <c r="E294" s="200">
        <v>219442</v>
      </c>
      <c r="F294" s="200" t="s">
        <v>1930</v>
      </c>
      <c r="G294" s="237">
        <v>33855</v>
      </c>
      <c r="H294" s="225">
        <v>30123</v>
      </c>
      <c r="I294" s="237">
        <v>58231</v>
      </c>
      <c r="J294" s="236">
        <v>24651</v>
      </c>
      <c r="K294" s="93">
        <f t="shared" si="15"/>
        <v>146860</v>
      </c>
      <c r="L294" s="52"/>
      <c r="M294" s="237">
        <v>1136</v>
      </c>
      <c r="N294" s="237">
        <v>0</v>
      </c>
      <c r="O294" s="236">
        <v>1659</v>
      </c>
      <c r="P294" s="93">
        <f t="shared" si="16"/>
        <v>2795</v>
      </c>
      <c r="Q294" s="52"/>
      <c r="R294" s="237">
        <v>60955</v>
      </c>
      <c r="S294" s="236">
        <v>819</v>
      </c>
      <c r="T294" s="238">
        <v>61774</v>
      </c>
    </row>
    <row r="295" spans="1:20">
      <c r="A295" s="50">
        <v>92931</v>
      </c>
      <c r="B295" s="51" t="s">
        <v>1000</v>
      </c>
      <c r="C295" s="239">
        <v>2.4600999999999998E-3</v>
      </c>
      <c r="D295" s="239">
        <v>2.3996E-3</v>
      </c>
      <c r="E295" s="200">
        <v>5836199</v>
      </c>
      <c r="F295" s="200" t="s">
        <v>1930</v>
      </c>
      <c r="G295" s="237">
        <v>900387</v>
      </c>
      <c r="H295" s="225">
        <v>801137</v>
      </c>
      <c r="I295" s="237">
        <v>1548702</v>
      </c>
      <c r="J295" s="236">
        <v>28206</v>
      </c>
      <c r="K295" s="93">
        <f t="shared" si="15"/>
        <v>3278432</v>
      </c>
      <c r="L295" s="52"/>
      <c r="M295" s="237">
        <v>30212</v>
      </c>
      <c r="N295" s="237">
        <v>0</v>
      </c>
      <c r="O295" s="236">
        <v>98782</v>
      </c>
      <c r="P295" s="93">
        <f t="shared" si="16"/>
        <v>128994</v>
      </c>
      <c r="Q295" s="52"/>
      <c r="R295" s="237">
        <v>1621139</v>
      </c>
      <c r="S295" s="236">
        <v>-34302</v>
      </c>
      <c r="T295" s="238">
        <v>1586837</v>
      </c>
    </row>
    <row r="296" spans="1:20">
      <c r="A296" s="50">
        <v>92941</v>
      </c>
      <c r="B296" s="51" t="s">
        <v>2245</v>
      </c>
      <c r="C296" s="239">
        <v>4.3000000000000003E-6</v>
      </c>
      <c r="D296" s="239">
        <v>1.2300000000000001E-5</v>
      </c>
      <c r="E296" s="200">
        <v>10201</v>
      </c>
      <c r="F296" s="200" t="s">
        <v>1930</v>
      </c>
      <c r="G296" s="237">
        <v>1574</v>
      </c>
      <c r="H296" s="225">
        <v>1400</v>
      </c>
      <c r="I296" s="237">
        <v>2707</v>
      </c>
      <c r="J296" s="236">
        <v>3011</v>
      </c>
      <c r="K296" s="93">
        <f t="shared" si="15"/>
        <v>8692</v>
      </c>
      <c r="L296" s="52"/>
      <c r="M296" s="237">
        <v>53</v>
      </c>
      <c r="N296" s="237">
        <v>0</v>
      </c>
      <c r="O296" s="236">
        <v>4092</v>
      </c>
      <c r="P296" s="93">
        <f t="shared" si="16"/>
        <v>4145</v>
      </c>
      <c r="Q296" s="52"/>
      <c r="R296" s="237">
        <v>2834</v>
      </c>
      <c r="S296" s="236">
        <v>2468</v>
      </c>
      <c r="T296" s="238">
        <v>5302</v>
      </c>
    </row>
    <row r="297" spans="1:20">
      <c r="A297" s="50">
        <v>93001</v>
      </c>
      <c r="B297" s="51" t="s">
        <v>1001</v>
      </c>
      <c r="C297" s="239">
        <v>2.2772000000000001E-3</v>
      </c>
      <c r="D297" s="239">
        <v>2.2227000000000002E-3</v>
      </c>
      <c r="E297" s="200">
        <v>5402297</v>
      </c>
      <c r="F297" s="200" t="s">
        <v>1930</v>
      </c>
      <c r="G297" s="237">
        <v>833446</v>
      </c>
      <c r="H297" s="225">
        <v>741575</v>
      </c>
      <c r="I297" s="237">
        <v>1433561</v>
      </c>
      <c r="J297" s="236">
        <v>14691</v>
      </c>
      <c r="K297" s="93">
        <f t="shared" si="15"/>
        <v>3023273</v>
      </c>
      <c r="L297" s="52"/>
      <c r="M297" s="237">
        <v>27966</v>
      </c>
      <c r="N297" s="237">
        <v>0</v>
      </c>
      <c r="O297" s="236">
        <v>61962</v>
      </c>
      <c r="P297" s="93">
        <f t="shared" si="16"/>
        <v>89928</v>
      </c>
      <c r="Q297" s="52"/>
      <c r="R297" s="237">
        <v>1500613</v>
      </c>
      <c r="S297" s="236">
        <v>-54280</v>
      </c>
      <c r="T297" s="238">
        <v>1446333</v>
      </c>
    </row>
    <row r="298" spans="1:20">
      <c r="A298" s="50">
        <v>93009</v>
      </c>
      <c r="B298" s="51" t="s">
        <v>1002</v>
      </c>
      <c r="C298" s="239">
        <v>1.38E-5</v>
      </c>
      <c r="D298" s="239">
        <v>1.47E-5</v>
      </c>
      <c r="E298" s="200">
        <v>32738</v>
      </c>
      <c r="F298" s="200" t="s">
        <v>1930</v>
      </c>
      <c r="G298" s="237">
        <v>5051</v>
      </c>
      <c r="H298" s="225">
        <v>4494</v>
      </c>
      <c r="I298" s="237">
        <v>8687</v>
      </c>
      <c r="J298" s="236">
        <v>0</v>
      </c>
      <c r="K298" s="93">
        <f t="shared" si="15"/>
        <v>18232</v>
      </c>
      <c r="L298" s="52"/>
      <c r="M298" s="237">
        <v>169</v>
      </c>
      <c r="N298" s="237">
        <v>0</v>
      </c>
      <c r="O298" s="236">
        <v>3798</v>
      </c>
      <c r="P298" s="93">
        <f t="shared" si="16"/>
        <v>3967</v>
      </c>
      <c r="Q298" s="52"/>
      <c r="R298" s="237">
        <v>9094</v>
      </c>
      <c r="S298" s="236">
        <v>-2270</v>
      </c>
      <c r="T298" s="238">
        <v>6824</v>
      </c>
    </row>
    <row r="299" spans="1:20">
      <c r="A299" s="50">
        <v>93011</v>
      </c>
      <c r="B299" s="51" t="s">
        <v>2246</v>
      </c>
      <c r="C299" s="239">
        <v>2.7599999999999999E-4</v>
      </c>
      <c r="D299" s="239">
        <v>2.2699999999999999E-4</v>
      </c>
      <c r="E299" s="200">
        <v>654766</v>
      </c>
      <c r="F299" s="200" t="s">
        <v>1930</v>
      </c>
      <c r="G299" s="237">
        <v>101015</v>
      </c>
      <c r="H299" s="225">
        <v>89880</v>
      </c>
      <c r="I299" s="237">
        <v>173750</v>
      </c>
      <c r="J299" s="236">
        <v>51648</v>
      </c>
      <c r="K299" s="93">
        <f t="shared" si="15"/>
        <v>416293</v>
      </c>
      <c r="L299" s="52"/>
      <c r="M299" s="237">
        <v>3390</v>
      </c>
      <c r="N299" s="237">
        <v>0</v>
      </c>
      <c r="O299" s="236">
        <v>10320</v>
      </c>
      <c r="P299" s="93">
        <f t="shared" si="16"/>
        <v>13710</v>
      </c>
      <c r="Q299" s="52"/>
      <c r="R299" s="237">
        <v>181877</v>
      </c>
      <c r="S299" s="236">
        <v>8885</v>
      </c>
      <c r="T299" s="238">
        <v>190762</v>
      </c>
    </row>
    <row r="300" spans="1:20">
      <c r="A300" s="50">
        <v>93021</v>
      </c>
      <c r="B300" s="51" t="s">
        <v>2247</v>
      </c>
      <c r="C300" s="239">
        <v>3.3399999999999999E-5</v>
      </c>
      <c r="D300" s="239">
        <v>3.4199999999999998E-5</v>
      </c>
      <c r="E300" s="200">
        <v>79236</v>
      </c>
      <c r="F300" s="200" t="s">
        <v>1930</v>
      </c>
      <c r="G300" s="237">
        <v>12224</v>
      </c>
      <c r="H300" s="225">
        <v>10877</v>
      </c>
      <c r="I300" s="237">
        <v>21026</v>
      </c>
      <c r="J300" s="236">
        <v>1795</v>
      </c>
      <c r="K300" s="93">
        <f t="shared" si="15"/>
        <v>45922</v>
      </c>
      <c r="L300" s="52"/>
      <c r="M300" s="237">
        <v>410</v>
      </c>
      <c r="N300" s="237">
        <v>0</v>
      </c>
      <c r="O300" s="236">
        <v>5715</v>
      </c>
      <c r="P300" s="93">
        <f t="shared" si="16"/>
        <v>6125</v>
      </c>
      <c r="Q300" s="52"/>
      <c r="R300" s="237">
        <v>22010</v>
      </c>
      <c r="S300" s="236">
        <v>-366</v>
      </c>
      <c r="T300" s="238">
        <v>21644</v>
      </c>
    </row>
    <row r="301" spans="1:20">
      <c r="A301" s="50">
        <v>93027</v>
      </c>
      <c r="B301" s="51" t="s">
        <v>1005</v>
      </c>
      <c r="C301" s="239">
        <v>1.5E-5</v>
      </c>
      <c r="D301" s="239">
        <v>1.6699999999999999E-5</v>
      </c>
      <c r="E301" s="200">
        <v>35585</v>
      </c>
      <c r="F301" s="200" t="s">
        <v>1930</v>
      </c>
      <c r="G301" s="237">
        <v>5490</v>
      </c>
      <c r="H301" s="225">
        <v>4885</v>
      </c>
      <c r="I301" s="237">
        <v>9443</v>
      </c>
      <c r="J301" s="236">
        <v>796</v>
      </c>
      <c r="K301" s="93">
        <f t="shared" si="15"/>
        <v>20614</v>
      </c>
      <c r="L301" s="52"/>
      <c r="M301" s="237">
        <v>184</v>
      </c>
      <c r="N301" s="237">
        <v>0</v>
      </c>
      <c r="O301" s="236">
        <v>2296</v>
      </c>
      <c r="P301" s="93">
        <f t="shared" si="16"/>
        <v>2480</v>
      </c>
      <c r="Q301" s="52"/>
      <c r="R301" s="237">
        <v>9885</v>
      </c>
      <c r="S301" s="236">
        <v>-833</v>
      </c>
      <c r="T301" s="238">
        <v>9052</v>
      </c>
    </row>
    <row r="302" spans="1:20">
      <c r="A302" s="50">
        <v>93031</v>
      </c>
      <c r="B302" s="51" t="s">
        <v>2248</v>
      </c>
      <c r="C302" s="239">
        <v>1.26E-5</v>
      </c>
      <c r="D302" s="239">
        <v>2.1699999999999999E-5</v>
      </c>
      <c r="E302" s="200">
        <v>29892</v>
      </c>
      <c r="F302" s="200" t="s">
        <v>1930</v>
      </c>
      <c r="G302" s="237">
        <v>4612</v>
      </c>
      <c r="H302" s="225">
        <v>4103</v>
      </c>
      <c r="I302" s="237">
        <v>7932</v>
      </c>
      <c r="J302" s="236">
        <v>20350</v>
      </c>
      <c r="K302" s="93">
        <f t="shared" si="15"/>
        <v>36997</v>
      </c>
      <c r="L302" s="52"/>
      <c r="M302" s="237">
        <v>155</v>
      </c>
      <c r="N302" s="237">
        <v>0</v>
      </c>
      <c r="O302" s="236">
        <v>0</v>
      </c>
      <c r="P302" s="93">
        <f t="shared" si="16"/>
        <v>155</v>
      </c>
      <c r="Q302" s="52"/>
      <c r="R302" s="237">
        <v>8303</v>
      </c>
      <c r="S302" s="236">
        <v>7768</v>
      </c>
      <c r="T302" s="238">
        <v>16071</v>
      </c>
    </row>
    <row r="303" spans="1:20">
      <c r="A303" s="50">
        <v>93101</v>
      </c>
      <c r="B303" s="51" t="s">
        <v>1007</v>
      </c>
      <c r="C303" s="239">
        <v>3.2376000000000002E-3</v>
      </c>
      <c r="D303" s="239">
        <v>3.5159000000000002E-3</v>
      </c>
      <c r="E303" s="200">
        <v>7680694</v>
      </c>
      <c r="F303" s="200" t="s">
        <v>1930</v>
      </c>
      <c r="G303" s="237">
        <v>1184949</v>
      </c>
      <c r="H303" s="225">
        <v>1054330</v>
      </c>
      <c r="I303" s="237">
        <v>2038160</v>
      </c>
      <c r="J303" s="236">
        <v>36350</v>
      </c>
      <c r="K303" s="93">
        <f t="shared" si="15"/>
        <v>4313789</v>
      </c>
      <c r="L303" s="52"/>
      <c r="M303" s="237">
        <v>39761</v>
      </c>
      <c r="N303" s="237">
        <v>0</v>
      </c>
      <c r="O303" s="236">
        <v>306148</v>
      </c>
      <c r="P303" s="93">
        <f t="shared" si="16"/>
        <v>345909</v>
      </c>
      <c r="Q303" s="52"/>
      <c r="R303" s="237">
        <v>2133491</v>
      </c>
      <c r="S303" s="236">
        <v>-15838</v>
      </c>
      <c r="T303" s="238">
        <v>2117653</v>
      </c>
    </row>
    <row r="304" spans="1:20">
      <c r="A304" s="50">
        <v>93103</v>
      </c>
      <c r="B304" s="51" t="s">
        <v>260</v>
      </c>
      <c r="C304" s="239">
        <v>1.6699999999999999E-5</v>
      </c>
      <c r="D304" s="239">
        <v>1.7099999999999999E-5</v>
      </c>
      <c r="E304" s="200">
        <v>39618</v>
      </c>
      <c r="F304" s="200" t="s">
        <v>1930</v>
      </c>
      <c r="G304" s="237">
        <v>6112</v>
      </c>
      <c r="H304" s="225">
        <v>5439</v>
      </c>
      <c r="I304" s="237">
        <v>10513</v>
      </c>
      <c r="J304" s="236">
        <v>4185</v>
      </c>
      <c r="K304" s="93">
        <f t="shared" si="15"/>
        <v>26249</v>
      </c>
      <c r="L304" s="52"/>
      <c r="M304" s="237">
        <v>205</v>
      </c>
      <c r="N304" s="237">
        <v>0</v>
      </c>
      <c r="O304" s="236">
        <v>3362</v>
      </c>
      <c r="P304" s="93">
        <f t="shared" si="16"/>
        <v>3567</v>
      </c>
      <c r="Q304" s="52"/>
      <c r="R304" s="237">
        <v>11005</v>
      </c>
      <c r="S304" s="236">
        <v>1580</v>
      </c>
      <c r="T304" s="238">
        <v>12585</v>
      </c>
    </row>
    <row r="305" spans="1:20">
      <c r="A305" s="50">
        <v>93108</v>
      </c>
      <c r="B305" s="51" t="s">
        <v>1008</v>
      </c>
      <c r="C305" s="239">
        <v>2.4109999999999999E-3</v>
      </c>
      <c r="D305" s="239">
        <v>2.6624999999999999E-3</v>
      </c>
      <c r="E305" s="200">
        <v>5719717</v>
      </c>
      <c r="F305" s="200" t="s">
        <v>1930</v>
      </c>
      <c r="G305" s="237">
        <v>882416</v>
      </c>
      <c r="H305" s="225">
        <v>785147</v>
      </c>
      <c r="I305" s="237">
        <v>1517792</v>
      </c>
      <c r="J305" s="236">
        <v>86396</v>
      </c>
      <c r="K305" s="93">
        <f t="shared" si="15"/>
        <v>3271751</v>
      </c>
      <c r="L305" s="52"/>
      <c r="M305" s="237">
        <v>29609</v>
      </c>
      <c r="N305" s="237">
        <v>0</v>
      </c>
      <c r="O305" s="236">
        <v>181635</v>
      </c>
      <c r="P305" s="93">
        <f t="shared" si="16"/>
        <v>211244</v>
      </c>
      <c r="Q305" s="52"/>
      <c r="R305" s="237">
        <v>1588784</v>
      </c>
      <c r="S305" s="236">
        <v>143056</v>
      </c>
      <c r="T305" s="238">
        <v>1731840</v>
      </c>
    </row>
    <row r="306" spans="1:20">
      <c r="A306" s="50">
        <v>93111</v>
      </c>
      <c r="B306" s="51" t="s">
        <v>2249</v>
      </c>
      <c r="C306" s="239">
        <v>6.1500000000000004E-5</v>
      </c>
      <c r="D306" s="239">
        <v>5.8499999999999999E-5</v>
      </c>
      <c r="E306" s="200">
        <v>145899</v>
      </c>
      <c r="F306" s="200" t="s">
        <v>1930</v>
      </c>
      <c r="G306" s="237">
        <v>22509</v>
      </c>
      <c r="H306" s="225">
        <v>20027</v>
      </c>
      <c r="I306" s="237">
        <v>38716</v>
      </c>
      <c r="J306" s="236">
        <v>609</v>
      </c>
      <c r="K306" s="93">
        <f t="shared" si="15"/>
        <v>81861</v>
      </c>
      <c r="L306" s="52"/>
      <c r="M306" s="237">
        <v>755</v>
      </c>
      <c r="N306" s="237">
        <v>0</v>
      </c>
      <c r="O306" s="236">
        <v>9926</v>
      </c>
      <c r="P306" s="93">
        <f t="shared" si="16"/>
        <v>10681</v>
      </c>
      <c r="Q306" s="52"/>
      <c r="R306" s="237">
        <v>40527</v>
      </c>
      <c r="S306" s="236">
        <v>-5384</v>
      </c>
      <c r="T306" s="238">
        <v>35143</v>
      </c>
    </row>
    <row r="307" spans="1:20">
      <c r="A307" s="50">
        <v>93121</v>
      </c>
      <c r="B307" s="51" t="s">
        <v>2250</v>
      </c>
      <c r="C307" s="239">
        <v>5.3300000000000001E-5</v>
      </c>
      <c r="D307" s="239">
        <v>6.2299999999999996E-5</v>
      </c>
      <c r="E307" s="200">
        <v>126446</v>
      </c>
      <c r="F307" s="200" t="s">
        <v>1930</v>
      </c>
      <c r="G307" s="237">
        <v>19508</v>
      </c>
      <c r="H307" s="225">
        <v>17358</v>
      </c>
      <c r="I307" s="237">
        <v>33554</v>
      </c>
      <c r="J307" s="236">
        <v>1532</v>
      </c>
      <c r="K307" s="93">
        <f t="shared" si="15"/>
        <v>71952</v>
      </c>
      <c r="L307" s="52"/>
      <c r="M307" s="237">
        <v>655</v>
      </c>
      <c r="N307" s="237">
        <v>0</v>
      </c>
      <c r="O307" s="236">
        <v>7485</v>
      </c>
      <c r="P307" s="93">
        <f t="shared" si="16"/>
        <v>8140</v>
      </c>
      <c r="Q307" s="52"/>
      <c r="R307" s="237">
        <v>35123</v>
      </c>
      <c r="S307" s="236">
        <v>-4157</v>
      </c>
      <c r="T307" s="238">
        <v>30966</v>
      </c>
    </row>
    <row r="308" spans="1:20">
      <c r="A308" s="50">
        <v>93127</v>
      </c>
      <c r="B308" s="51" t="s">
        <v>1011</v>
      </c>
      <c r="C308" s="239">
        <v>6.8000000000000001E-6</v>
      </c>
      <c r="D308" s="239">
        <v>6.9E-6</v>
      </c>
      <c r="E308" s="200">
        <v>16132</v>
      </c>
      <c r="F308" s="200" t="s">
        <v>1930</v>
      </c>
      <c r="G308" s="237">
        <v>2489</v>
      </c>
      <c r="H308" s="225">
        <v>2215</v>
      </c>
      <c r="I308" s="237">
        <v>4281</v>
      </c>
      <c r="J308" s="236">
        <v>93</v>
      </c>
      <c r="K308" s="93">
        <f t="shared" si="15"/>
        <v>9078</v>
      </c>
      <c r="L308" s="52"/>
      <c r="M308" s="237">
        <v>84</v>
      </c>
      <c r="N308" s="237">
        <v>0</v>
      </c>
      <c r="O308" s="236">
        <v>482</v>
      </c>
      <c r="P308" s="93">
        <f t="shared" si="16"/>
        <v>566</v>
      </c>
      <c r="Q308" s="52"/>
      <c r="R308" s="237">
        <v>4481</v>
      </c>
      <c r="S308" s="236">
        <v>-405</v>
      </c>
      <c r="T308" s="238">
        <v>4076</v>
      </c>
    </row>
    <row r="309" spans="1:20">
      <c r="A309" s="50">
        <v>93131</v>
      </c>
      <c r="B309" s="51" t="s">
        <v>2251</v>
      </c>
      <c r="C309" s="239">
        <v>2.0129999999999999E-4</v>
      </c>
      <c r="D309" s="239">
        <v>2.218E-4</v>
      </c>
      <c r="E309" s="200">
        <v>477552</v>
      </c>
      <c r="F309" s="200" t="s">
        <v>1930</v>
      </c>
      <c r="G309" s="237">
        <v>73675</v>
      </c>
      <c r="H309" s="225">
        <v>65554</v>
      </c>
      <c r="I309" s="237">
        <v>126724</v>
      </c>
      <c r="J309" s="236">
        <v>2495</v>
      </c>
      <c r="K309" s="93">
        <f t="shared" si="15"/>
        <v>268448</v>
      </c>
      <c r="L309" s="52"/>
      <c r="M309" s="237">
        <v>2472</v>
      </c>
      <c r="N309" s="237">
        <v>0</v>
      </c>
      <c r="O309" s="236">
        <v>34365</v>
      </c>
      <c r="P309" s="93">
        <f t="shared" si="16"/>
        <v>36837</v>
      </c>
      <c r="Q309" s="52"/>
      <c r="R309" s="237">
        <v>132651</v>
      </c>
      <c r="S309" s="236">
        <v>-5155</v>
      </c>
      <c r="T309" s="238">
        <v>127496</v>
      </c>
    </row>
    <row r="310" spans="1:20">
      <c r="A310" s="50">
        <v>93137</v>
      </c>
      <c r="B310" s="51" t="s">
        <v>1013</v>
      </c>
      <c r="C310" s="239">
        <v>4.7999999999999998E-6</v>
      </c>
      <c r="D310" s="239">
        <v>3.3000000000000002E-6</v>
      </c>
      <c r="E310" s="200">
        <v>11387</v>
      </c>
      <c r="F310" s="200" t="s">
        <v>1930</v>
      </c>
      <c r="G310" s="237">
        <v>1757</v>
      </c>
      <c r="H310" s="225">
        <v>1563</v>
      </c>
      <c r="I310" s="237">
        <v>3022</v>
      </c>
      <c r="J310" s="236">
        <v>3426</v>
      </c>
      <c r="K310" s="93">
        <f t="shared" si="15"/>
        <v>9768</v>
      </c>
      <c r="L310" s="52"/>
      <c r="M310" s="237">
        <v>59</v>
      </c>
      <c r="N310" s="237">
        <v>0</v>
      </c>
      <c r="O310" s="236">
        <v>0</v>
      </c>
      <c r="P310" s="93">
        <f t="shared" si="16"/>
        <v>59</v>
      </c>
      <c r="Q310" s="52"/>
      <c r="R310" s="237">
        <v>3163</v>
      </c>
      <c r="S310" s="236">
        <v>1228</v>
      </c>
      <c r="T310" s="238">
        <v>4391</v>
      </c>
    </row>
    <row r="311" spans="1:20">
      <c r="A311" s="50">
        <v>93141</v>
      </c>
      <c r="B311" s="51" t="s">
        <v>2252</v>
      </c>
      <c r="C311" s="239">
        <v>3.2299999999999999E-5</v>
      </c>
      <c r="D311" s="239">
        <v>4.1100000000000003E-5</v>
      </c>
      <c r="E311" s="200">
        <v>76627</v>
      </c>
      <c r="F311" s="200" t="s">
        <v>1930</v>
      </c>
      <c r="G311" s="237">
        <v>11822</v>
      </c>
      <c r="H311" s="225">
        <v>10519</v>
      </c>
      <c r="I311" s="237">
        <v>20334</v>
      </c>
      <c r="J311" s="236">
        <v>0</v>
      </c>
      <c r="K311" s="93">
        <f t="shared" si="15"/>
        <v>42675</v>
      </c>
      <c r="L311" s="52"/>
      <c r="M311" s="237">
        <v>397</v>
      </c>
      <c r="N311" s="237">
        <v>0</v>
      </c>
      <c r="O311" s="236">
        <v>11022</v>
      </c>
      <c r="P311" s="93">
        <f t="shared" si="16"/>
        <v>11419</v>
      </c>
      <c r="Q311" s="52"/>
      <c r="R311" s="237">
        <v>21285</v>
      </c>
      <c r="S311" s="236">
        <v>-1889</v>
      </c>
      <c r="T311" s="238">
        <v>19396</v>
      </c>
    </row>
    <row r="312" spans="1:20">
      <c r="A312" s="50">
        <v>93151</v>
      </c>
      <c r="B312" s="51" t="s">
        <v>2253</v>
      </c>
      <c r="C312" s="239">
        <v>3.2410000000000002E-4</v>
      </c>
      <c r="D312" s="239">
        <v>3.4279999999999998E-4</v>
      </c>
      <c r="E312" s="200">
        <v>768876</v>
      </c>
      <c r="F312" s="200" t="s">
        <v>1930</v>
      </c>
      <c r="G312" s="237">
        <v>118619</v>
      </c>
      <c r="H312" s="225">
        <v>105543</v>
      </c>
      <c r="I312" s="237">
        <v>204030</v>
      </c>
      <c r="J312" s="236">
        <v>1711</v>
      </c>
      <c r="K312" s="93">
        <f t="shared" si="15"/>
        <v>429903</v>
      </c>
      <c r="L312" s="52"/>
      <c r="M312" s="237">
        <v>3980</v>
      </c>
      <c r="N312" s="237">
        <v>0</v>
      </c>
      <c r="O312" s="236">
        <v>25198</v>
      </c>
      <c r="P312" s="93">
        <f t="shared" si="16"/>
        <v>29178</v>
      </c>
      <c r="Q312" s="52"/>
      <c r="R312" s="237">
        <v>213573</v>
      </c>
      <c r="S312" s="236">
        <v>-7249</v>
      </c>
      <c r="T312" s="238">
        <v>206324</v>
      </c>
    </row>
    <row r="313" spans="1:20">
      <c r="A313" s="50">
        <v>93157</v>
      </c>
      <c r="B313" s="51" t="s">
        <v>1016</v>
      </c>
      <c r="C313" s="239">
        <v>3.4999999999999999E-6</v>
      </c>
      <c r="D313" s="239">
        <v>3.5999999999999998E-6</v>
      </c>
      <c r="E313" s="200">
        <v>8303</v>
      </c>
      <c r="F313" s="200" t="s">
        <v>1930</v>
      </c>
      <c r="G313" s="237">
        <v>1281</v>
      </c>
      <c r="H313" s="225">
        <v>1140</v>
      </c>
      <c r="I313" s="237">
        <v>2203</v>
      </c>
      <c r="J313" s="236">
        <v>7990</v>
      </c>
      <c r="K313" s="93">
        <f t="shared" si="15"/>
        <v>12614</v>
      </c>
      <c r="L313" s="52"/>
      <c r="M313" s="237">
        <v>43</v>
      </c>
      <c r="N313" s="237">
        <v>0</v>
      </c>
      <c r="O313" s="236">
        <v>152</v>
      </c>
      <c r="P313" s="93">
        <f t="shared" si="16"/>
        <v>195</v>
      </c>
      <c r="Q313" s="52"/>
      <c r="R313" s="237">
        <v>2306</v>
      </c>
      <c r="S313" s="236">
        <v>3773</v>
      </c>
      <c r="T313" s="238">
        <v>6079</v>
      </c>
    </row>
    <row r="314" spans="1:20">
      <c r="A314" s="50">
        <v>93161</v>
      </c>
      <c r="B314" s="51" t="s">
        <v>2254</v>
      </c>
      <c r="C314" s="239">
        <v>1.105E-4</v>
      </c>
      <c r="D314" s="239">
        <v>1.038E-4</v>
      </c>
      <c r="E314" s="200">
        <v>262144</v>
      </c>
      <c r="F314" s="200" t="s">
        <v>1930</v>
      </c>
      <c r="G314" s="237">
        <v>40443</v>
      </c>
      <c r="H314" s="225">
        <v>35984</v>
      </c>
      <c r="I314" s="237">
        <v>69563</v>
      </c>
      <c r="J314" s="236">
        <v>25987</v>
      </c>
      <c r="K314" s="93">
        <f t="shared" si="15"/>
        <v>171977</v>
      </c>
      <c r="L314" s="52"/>
      <c r="M314" s="237">
        <v>1357</v>
      </c>
      <c r="N314" s="237">
        <v>0</v>
      </c>
      <c r="O314" s="236">
        <v>0</v>
      </c>
      <c r="P314" s="93">
        <f t="shared" si="16"/>
        <v>1357</v>
      </c>
      <c r="Q314" s="52"/>
      <c r="R314" s="237">
        <v>72817</v>
      </c>
      <c r="S314" s="236">
        <v>13692</v>
      </c>
      <c r="T314" s="238">
        <v>86509</v>
      </c>
    </row>
    <row r="315" spans="1:20">
      <c r="A315" s="50">
        <v>93171</v>
      </c>
      <c r="B315" s="51" t="s">
        <v>2255</v>
      </c>
      <c r="C315" s="239">
        <v>2.7E-6</v>
      </c>
      <c r="D315" s="239">
        <v>5.2000000000000002E-6</v>
      </c>
      <c r="E315" s="200">
        <v>6405</v>
      </c>
      <c r="F315" s="200" t="s">
        <v>1930</v>
      </c>
      <c r="G315" s="237">
        <v>988</v>
      </c>
      <c r="H315" s="225">
        <v>879</v>
      </c>
      <c r="I315" s="237">
        <v>1700</v>
      </c>
      <c r="J315" s="236">
        <v>1171</v>
      </c>
      <c r="K315" s="93">
        <f t="shared" si="15"/>
        <v>4738</v>
      </c>
      <c r="L315" s="52"/>
      <c r="M315" s="237">
        <v>33</v>
      </c>
      <c r="N315" s="237">
        <v>0</v>
      </c>
      <c r="O315" s="236">
        <v>987</v>
      </c>
      <c r="P315" s="93">
        <f t="shared" si="16"/>
        <v>1020</v>
      </c>
      <c r="Q315" s="52"/>
      <c r="R315" s="237">
        <v>1779</v>
      </c>
      <c r="S315" s="236">
        <v>542</v>
      </c>
      <c r="T315" s="238">
        <v>2321</v>
      </c>
    </row>
    <row r="316" spans="1:20">
      <c r="A316" s="50">
        <v>93181</v>
      </c>
      <c r="B316" s="51" t="s">
        <v>2256</v>
      </c>
      <c r="C316" s="239">
        <v>1.1E-5</v>
      </c>
      <c r="D316" s="239">
        <v>1.13E-5</v>
      </c>
      <c r="E316" s="200">
        <v>26096</v>
      </c>
      <c r="F316" s="200" t="s">
        <v>1930</v>
      </c>
      <c r="G316" s="237">
        <v>4026</v>
      </c>
      <c r="H316" s="225">
        <v>3582</v>
      </c>
      <c r="I316" s="237">
        <v>6925</v>
      </c>
      <c r="J316" s="236">
        <v>457</v>
      </c>
      <c r="K316" s="93">
        <f t="shared" si="15"/>
        <v>14990</v>
      </c>
      <c r="L316" s="52"/>
      <c r="M316" s="237">
        <v>135</v>
      </c>
      <c r="N316" s="237">
        <v>0</v>
      </c>
      <c r="O316" s="236">
        <v>12</v>
      </c>
      <c r="P316" s="93">
        <f t="shared" si="16"/>
        <v>147</v>
      </c>
      <c r="Q316" s="52"/>
      <c r="R316" s="237">
        <v>7249</v>
      </c>
      <c r="S316" s="236">
        <v>435</v>
      </c>
      <c r="T316" s="238">
        <v>7684</v>
      </c>
    </row>
    <row r="317" spans="1:20">
      <c r="A317" s="50">
        <v>93191</v>
      </c>
      <c r="B317" s="51" t="s">
        <v>2257</v>
      </c>
      <c r="C317" s="239">
        <v>2.2500000000000001E-5</v>
      </c>
      <c r="D317" s="239">
        <v>2.4600000000000002E-5</v>
      </c>
      <c r="E317" s="200">
        <v>53378</v>
      </c>
      <c r="F317" s="200" t="s">
        <v>1930</v>
      </c>
      <c r="G317" s="237">
        <v>8235</v>
      </c>
      <c r="H317" s="225">
        <v>7328</v>
      </c>
      <c r="I317" s="237">
        <v>14164</v>
      </c>
      <c r="J317" s="236">
        <v>3738</v>
      </c>
      <c r="K317" s="93">
        <f t="shared" si="15"/>
        <v>33465</v>
      </c>
      <c r="L317" s="52"/>
      <c r="M317" s="237">
        <v>276</v>
      </c>
      <c r="N317" s="237">
        <v>0</v>
      </c>
      <c r="O317" s="236">
        <v>1346</v>
      </c>
      <c r="P317" s="93">
        <f t="shared" si="16"/>
        <v>1622</v>
      </c>
      <c r="Q317" s="52"/>
      <c r="R317" s="237">
        <v>14827</v>
      </c>
      <c r="S317" s="236">
        <v>577</v>
      </c>
      <c r="T317" s="238">
        <v>15404</v>
      </c>
    </row>
    <row r="318" spans="1:20">
      <c r="A318" s="50">
        <v>93201</v>
      </c>
      <c r="B318" s="51" t="s">
        <v>1021</v>
      </c>
      <c r="C318" s="239">
        <v>1.5763099999999999E-2</v>
      </c>
      <c r="D318" s="239">
        <v>1.5517E-2</v>
      </c>
      <c r="E318" s="200">
        <v>37395464</v>
      </c>
      <c r="F318" s="200" t="s">
        <v>1930</v>
      </c>
      <c r="G318" s="237">
        <v>5769232</v>
      </c>
      <c r="H318" s="225">
        <v>5133286</v>
      </c>
      <c r="I318" s="237">
        <v>9923313</v>
      </c>
      <c r="J318" s="236">
        <v>597239</v>
      </c>
      <c r="K318" s="93">
        <f t="shared" si="15"/>
        <v>21423070</v>
      </c>
      <c r="L318" s="52"/>
      <c r="M318" s="237">
        <v>193587</v>
      </c>
      <c r="N318" s="237">
        <v>0</v>
      </c>
      <c r="O318" s="236">
        <v>154811</v>
      </c>
      <c r="P318" s="93">
        <f t="shared" si="16"/>
        <v>348398</v>
      </c>
      <c r="Q318" s="52"/>
      <c r="R318" s="237">
        <v>10387457</v>
      </c>
      <c r="S318" s="236">
        <v>455365</v>
      </c>
      <c r="T318" s="238">
        <v>10842822</v>
      </c>
    </row>
    <row r="319" spans="1:20">
      <c r="A319" s="50">
        <v>93202</v>
      </c>
      <c r="B319" s="51" t="s">
        <v>1022</v>
      </c>
      <c r="C319" s="239">
        <v>0</v>
      </c>
      <c r="D319" s="239">
        <v>0</v>
      </c>
      <c r="E319" s="200">
        <v>0</v>
      </c>
      <c r="F319" s="200" t="s">
        <v>1930</v>
      </c>
      <c r="G319" s="237">
        <v>0</v>
      </c>
      <c r="H319" s="225">
        <v>0</v>
      </c>
      <c r="I319" s="237">
        <v>0</v>
      </c>
      <c r="J319" s="236">
        <v>0</v>
      </c>
      <c r="K319" s="93">
        <f t="shared" si="15"/>
        <v>0</v>
      </c>
      <c r="L319" s="52"/>
      <c r="M319" s="237">
        <v>0</v>
      </c>
      <c r="N319" s="237">
        <v>0</v>
      </c>
      <c r="O319" s="236">
        <v>103181</v>
      </c>
      <c r="P319" s="93">
        <f t="shared" si="16"/>
        <v>103181</v>
      </c>
      <c r="Q319" s="52"/>
      <c r="R319" s="237">
        <v>0</v>
      </c>
      <c r="S319" s="236">
        <v>-109337</v>
      </c>
      <c r="T319" s="238">
        <v>-109337</v>
      </c>
    </row>
    <row r="320" spans="1:20">
      <c r="A320" s="50">
        <v>93204</v>
      </c>
      <c r="B320" s="51" t="s">
        <v>1023</v>
      </c>
      <c r="C320" s="239">
        <v>3.28E-4</v>
      </c>
      <c r="D320" s="239">
        <v>3.0279999999999999E-4</v>
      </c>
      <c r="E320" s="200">
        <v>778128</v>
      </c>
      <c r="F320" s="200" t="s">
        <v>1930</v>
      </c>
      <c r="G320" s="237">
        <v>120047</v>
      </c>
      <c r="H320" s="225">
        <v>106813</v>
      </c>
      <c r="I320" s="237">
        <v>206485</v>
      </c>
      <c r="J320" s="236">
        <v>42387</v>
      </c>
      <c r="K320" s="93">
        <f t="shared" si="15"/>
        <v>475732</v>
      </c>
      <c r="L320" s="52"/>
      <c r="M320" s="237">
        <v>4028</v>
      </c>
      <c r="N320" s="237">
        <v>0</v>
      </c>
      <c r="O320" s="236">
        <v>3051</v>
      </c>
      <c r="P320" s="93">
        <f t="shared" si="16"/>
        <v>7079</v>
      </c>
      <c r="Q320" s="52"/>
      <c r="R320" s="237">
        <v>216143</v>
      </c>
      <c r="S320" s="236">
        <v>7193</v>
      </c>
      <c r="T320" s="238">
        <v>223336</v>
      </c>
    </row>
    <row r="321" spans="1:20">
      <c r="A321" s="50">
        <v>93209</v>
      </c>
      <c r="B321" s="51" t="s">
        <v>1024</v>
      </c>
      <c r="C321" s="239">
        <v>5.1598E-3</v>
      </c>
      <c r="D321" s="239">
        <v>4.6693999999999998E-3</v>
      </c>
      <c r="E321" s="200">
        <v>12240810</v>
      </c>
      <c r="F321" s="200" t="s">
        <v>1930</v>
      </c>
      <c r="G321" s="237">
        <v>1888466</v>
      </c>
      <c r="H321" s="225">
        <v>1680299</v>
      </c>
      <c r="I321" s="237">
        <v>3248239</v>
      </c>
      <c r="J321" s="236">
        <v>484024</v>
      </c>
      <c r="K321" s="93">
        <f t="shared" si="15"/>
        <v>7301028</v>
      </c>
      <c r="L321" s="52"/>
      <c r="M321" s="237">
        <v>63368</v>
      </c>
      <c r="N321" s="237">
        <v>0</v>
      </c>
      <c r="O321" s="236">
        <v>0</v>
      </c>
      <c r="P321" s="93">
        <f t="shared" si="16"/>
        <v>63368</v>
      </c>
      <c r="Q321" s="52"/>
      <c r="R321" s="237">
        <v>3400169</v>
      </c>
      <c r="S321" s="236">
        <v>595668</v>
      </c>
      <c r="T321" s="238">
        <v>3995837</v>
      </c>
    </row>
    <row r="322" spans="1:20">
      <c r="A322" s="50">
        <v>93211</v>
      </c>
      <c r="B322" s="51" t="s">
        <v>1025</v>
      </c>
      <c r="C322" s="239">
        <v>2.1090299999999999E-2</v>
      </c>
      <c r="D322" s="239">
        <v>2.0374099999999999E-2</v>
      </c>
      <c r="E322" s="200">
        <v>50033404</v>
      </c>
      <c r="F322" s="200" t="s">
        <v>1930</v>
      </c>
      <c r="G322" s="237">
        <v>7718965</v>
      </c>
      <c r="H322" s="225">
        <v>6868098</v>
      </c>
      <c r="I322" s="237">
        <v>13276934</v>
      </c>
      <c r="J322" s="236">
        <v>418893</v>
      </c>
      <c r="K322" s="93">
        <f t="shared" si="15"/>
        <v>28282890</v>
      </c>
      <c r="L322" s="52"/>
      <c r="M322" s="237">
        <v>259010</v>
      </c>
      <c r="N322" s="237">
        <v>0</v>
      </c>
      <c r="O322" s="236">
        <v>485736</v>
      </c>
      <c r="P322" s="93">
        <f t="shared" si="16"/>
        <v>744746</v>
      </c>
      <c r="Q322" s="52"/>
      <c r="R322" s="237">
        <v>13897938</v>
      </c>
      <c r="S322" s="236">
        <v>-400564</v>
      </c>
      <c r="T322" s="238">
        <v>13497374</v>
      </c>
    </row>
    <row r="323" spans="1:20">
      <c r="A323" s="50">
        <v>93212</v>
      </c>
      <c r="B323" s="51" t="s">
        <v>1026</v>
      </c>
      <c r="C323" s="239">
        <v>2.7540000000000003E-4</v>
      </c>
      <c r="D323" s="239">
        <v>2.2130000000000001E-4</v>
      </c>
      <c r="E323" s="200">
        <v>653343</v>
      </c>
      <c r="F323" s="200" t="s">
        <v>1930</v>
      </c>
      <c r="G323" s="237">
        <v>100795</v>
      </c>
      <c r="H323" s="225">
        <v>89685</v>
      </c>
      <c r="I323" s="237">
        <v>173372</v>
      </c>
      <c r="J323" s="236">
        <v>231765</v>
      </c>
      <c r="K323" s="93">
        <f t="shared" si="15"/>
        <v>595617</v>
      </c>
      <c r="L323" s="52"/>
      <c r="M323" s="237">
        <v>3382</v>
      </c>
      <c r="N323" s="237">
        <v>0</v>
      </c>
      <c r="O323" s="236">
        <v>0</v>
      </c>
      <c r="P323" s="93">
        <f t="shared" si="16"/>
        <v>3382</v>
      </c>
      <c r="Q323" s="52"/>
      <c r="R323" s="237">
        <v>181481</v>
      </c>
      <c r="S323" s="236">
        <v>85113</v>
      </c>
      <c r="T323" s="238">
        <v>266594</v>
      </c>
    </row>
    <row r="324" spans="1:20">
      <c r="A324" s="50">
        <v>93219</v>
      </c>
      <c r="B324" s="51" t="s">
        <v>1027</v>
      </c>
      <c r="C324" s="239">
        <v>2.5329999999999998E-4</v>
      </c>
      <c r="D324" s="239">
        <v>2.6289999999999999E-4</v>
      </c>
      <c r="E324" s="200">
        <v>600914</v>
      </c>
      <c r="F324" s="200" t="s">
        <v>1930</v>
      </c>
      <c r="G324" s="237">
        <v>92707</v>
      </c>
      <c r="H324" s="225">
        <v>82487</v>
      </c>
      <c r="I324" s="237">
        <v>159459</v>
      </c>
      <c r="J324" s="236">
        <v>16940</v>
      </c>
      <c r="K324" s="93">
        <f t="shared" si="15"/>
        <v>351593</v>
      </c>
      <c r="L324" s="52"/>
      <c r="M324" s="237">
        <v>3111</v>
      </c>
      <c r="N324" s="237">
        <v>0</v>
      </c>
      <c r="O324" s="236">
        <v>7235</v>
      </c>
      <c r="P324" s="93">
        <f t="shared" si="16"/>
        <v>10346</v>
      </c>
      <c r="Q324" s="52"/>
      <c r="R324" s="237">
        <v>166918</v>
      </c>
      <c r="S324" s="236">
        <v>841</v>
      </c>
      <c r="T324" s="238">
        <v>167759</v>
      </c>
    </row>
    <row r="325" spans="1:20">
      <c r="A325" s="50">
        <v>93301</v>
      </c>
      <c r="B325" s="51" t="s">
        <v>1028</v>
      </c>
      <c r="C325" s="239">
        <v>2.3299000000000002E-3</v>
      </c>
      <c r="D325" s="239">
        <v>2.5243000000000002E-3</v>
      </c>
      <c r="E325" s="200">
        <v>5527320</v>
      </c>
      <c r="F325" s="200" t="s">
        <v>1930</v>
      </c>
      <c r="G325" s="237">
        <v>852734</v>
      </c>
      <c r="H325" s="225">
        <v>758737</v>
      </c>
      <c r="I325" s="237">
        <v>1466737</v>
      </c>
      <c r="J325" s="236">
        <v>30807</v>
      </c>
      <c r="K325" s="93">
        <f t="shared" si="15"/>
        <v>3109015</v>
      </c>
      <c r="L325" s="52"/>
      <c r="M325" s="237">
        <v>28614</v>
      </c>
      <c r="N325" s="237">
        <v>0</v>
      </c>
      <c r="O325" s="236">
        <v>198572</v>
      </c>
      <c r="P325" s="93">
        <f t="shared" si="16"/>
        <v>227186</v>
      </c>
      <c r="Q325" s="52"/>
      <c r="R325" s="237">
        <v>1535341</v>
      </c>
      <c r="S325" s="236">
        <v>-62950</v>
      </c>
      <c r="T325" s="238">
        <v>1472391</v>
      </c>
    </row>
    <row r="326" spans="1:20">
      <c r="A326" s="50">
        <v>93304</v>
      </c>
      <c r="B326" s="51" t="s">
        <v>1029</v>
      </c>
      <c r="C326" s="239">
        <v>3.3399999999999999E-5</v>
      </c>
      <c r="D326" s="239">
        <v>3.0300000000000001E-5</v>
      </c>
      <c r="E326" s="200">
        <v>79236</v>
      </c>
      <c r="F326" s="200" t="s">
        <v>1930</v>
      </c>
      <c r="G326" s="237">
        <v>12224</v>
      </c>
      <c r="H326" s="225">
        <v>10877</v>
      </c>
      <c r="I326" s="237">
        <v>21026</v>
      </c>
      <c r="J326" s="236">
        <v>10139</v>
      </c>
      <c r="K326" s="93">
        <f t="shared" si="15"/>
        <v>54266</v>
      </c>
      <c r="L326" s="52"/>
      <c r="M326" s="237">
        <v>410</v>
      </c>
      <c r="N326" s="237">
        <v>0</v>
      </c>
      <c r="O326" s="236">
        <v>0</v>
      </c>
      <c r="P326" s="93">
        <f t="shared" si="16"/>
        <v>410</v>
      </c>
      <c r="Q326" s="52"/>
      <c r="R326" s="237">
        <v>22010</v>
      </c>
      <c r="S326" s="236">
        <v>6577</v>
      </c>
      <c r="T326" s="238">
        <v>28587</v>
      </c>
    </row>
    <row r="327" spans="1:20">
      <c r="A327" s="50">
        <v>93305</v>
      </c>
      <c r="B327" s="51" t="s">
        <v>1030</v>
      </c>
      <c r="C327" s="239">
        <v>4.4799999999999998E-5</v>
      </c>
      <c r="D327" s="239">
        <v>4.6999999999999997E-5</v>
      </c>
      <c r="E327" s="200">
        <v>106281</v>
      </c>
      <c r="F327" s="200" t="s">
        <v>1930</v>
      </c>
      <c r="G327" s="237">
        <v>16397</v>
      </c>
      <c r="H327" s="225">
        <v>14590</v>
      </c>
      <c r="I327" s="237">
        <v>28203</v>
      </c>
      <c r="J327" s="236">
        <v>0</v>
      </c>
      <c r="K327" s="93">
        <f t="shared" si="15"/>
        <v>59190</v>
      </c>
      <c r="L327" s="52"/>
      <c r="M327" s="237">
        <v>550</v>
      </c>
      <c r="N327" s="237">
        <v>0</v>
      </c>
      <c r="O327" s="236">
        <v>6061</v>
      </c>
      <c r="P327" s="93">
        <f t="shared" si="16"/>
        <v>6611</v>
      </c>
      <c r="Q327" s="52"/>
      <c r="R327" s="237">
        <v>29522</v>
      </c>
      <c r="S327" s="236">
        <v>-2514</v>
      </c>
      <c r="T327" s="238">
        <v>27008</v>
      </c>
    </row>
    <row r="328" spans="1:20">
      <c r="A328" s="50">
        <v>93309</v>
      </c>
      <c r="B328" s="51" t="s">
        <v>1031</v>
      </c>
      <c r="C328" s="239">
        <v>1.6430000000000001E-4</v>
      </c>
      <c r="D328" s="239">
        <v>1.63E-4</v>
      </c>
      <c r="E328" s="205">
        <v>389776</v>
      </c>
      <c r="F328" s="205" t="s">
        <v>1930</v>
      </c>
      <c r="G328" s="237">
        <v>60133</v>
      </c>
      <c r="H328" s="225">
        <v>53504</v>
      </c>
      <c r="I328" s="237">
        <v>103431</v>
      </c>
      <c r="J328" s="236">
        <v>30559</v>
      </c>
      <c r="K328" s="93">
        <f t="shared" si="15"/>
        <v>247627</v>
      </c>
      <c r="L328" s="52"/>
      <c r="M328" s="237">
        <v>2018</v>
      </c>
      <c r="N328" s="237">
        <v>0</v>
      </c>
      <c r="O328" s="236">
        <v>0</v>
      </c>
      <c r="P328" s="93">
        <f t="shared" si="16"/>
        <v>2018</v>
      </c>
      <c r="Q328" s="52"/>
      <c r="R328" s="237">
        <v>108269</v>
      </c>
      <c r="S328" s="236">
        <v>11215</v>
      </c>
      <c r="T328" s="238">
        <v>119484</v>
      </c>
    </row>
    <row r="329" spans="1:20">
      <c r="A329" s="50">
        <v>93311</v>
      </c>
      <c r="B329" s="51" t="s">
        <v>2258</v>
      </c>
      <c r="C329" s="239">
        <v>1.2439E-3</v>
      </c>
      <c r="D329" s="239">
        <v>1.1665E-3</v>
      </c>
      <c r="E329" s="205">
        <v>2950956</v>
      </c>
      <c r="F329" s="205" t="s">
        <v>1930</v>
      </c>
      <c r="G329" s="237">
        <v>455262</v>
      </c>
      <c r="H329" s="225">
        <v>405079</v>
      </c>
      <c r="I329" s="237">
        <v>783070</v>
      </c>
      <c r="J329" s="236">
        <v>22773</v>
      </c>
      <c r="K329" s="93">
        <f t="shared" si="15"/>
        <v>1666184</v>
      </c>
      <c r="L329" s="52"/>
      <c r="M329" s="237">
        <v>15276</v>
      </c>
      <c r="N329" s="237">
        <v>0</v>
      </c>
      <c r="O329" s="236">
        <v>45734</v>
      </c>
      <c r="P329" s="93">
        <f t="shared" si="16"/>
        <v>61010</v>
      </c>
      <c r="Q329" s="52"/>
      <c r="R329" s="237">
        <v>819697</v>
      </c>
      <c r="S329" s="236">
        <v>-32212</v>
      </c>
      <c r="T329" s="238">
        <v>787485</v>
      </c>
    </row>
    <row r="330" spans="1:20">
      <c r="A330" s="50">
        <v>93317</v>
      </c>
      <c r="B330" s="51" t="s">
        <v>1033</v>
      </c>
      <c r="C330" s="239">
        <v>4.8300000000000002E-5</v>
      </c>
      <c r="D330" s="239">
        <v>5.0099999999999998E-5</v>
      </c>
      <c r="E330" s="205">
        <v>114584</v>
      </c>
      <c r="F330" s="205" t="s">
        <v>1930</v>
      </c>
      <c r="G330" s="237">
        <v>17678</v>
      </c>
      <c r="H330" s="225">
        <v>15729</v>
      </c>
      <c r="I330" s="237">
        <v>30406</v>
      </c>
      <c r="J330" s="236">
        <v>550</v>
      </c>
      <c r="K330" s="93">
        <f t="shared" si="15"/>
        <v>64363</v>
      </c>
      <c r="L330" s="52"/>
      <c r="M330" s="237">
        <v>593</v>
      </c>
      <c r="N330" s="237">
        <v>0</v>
      </c>
      <c r="O330" s="236">
        <v>2758</v>
      </c>
      <c r="P330" s="93">
        <f t="shared" si="16"/>
        <v>3351</v>
      </c>
      <c r="Q330" s="52"/>
      <c r="R330" s="237">
        <v>31828</v>
      </c>
      <c r="S330" s="236">
        <v>-711</v>
      </c>
      <c r="T330" s="238">
        <v>31117</v>
      </c>
    </row>
    <row r="331" spans="1:20">
      <c r="A331" s="50">
        <v>93321</v>
      </c>
      <c r="B331" s="51" t="s">
        <v>1034</v>
      </c>
      <c r="C331" s="239">
        <v>7.0657000000000003E-3</v>
      </c>
      <c r="D331" s="239">
        <v>7.3600000000000002E-3</v>
      </c>
      <c r="E331" s="205">
        <v>16762257</v>
      </c>
      <c r="F331" s="205" t="s">
        <v>1930</v>
      </c>
      <c r="G331" s="237">
        <v>2586018</v>
      </c>
      <c r="H331" s="225">
        <v>2300960</v>
      </c>
      <c r="I331" s="237">
        <v>4448056</v>
      </c>
      <c r="J331" s="236">
        <v>0</v>
      </c>
      <c r="K331" s="93">
        <f t="shared" si="15"/>
        <v>9335034</v>
      </c>
      <c r="L331" s="52"/>
      <c r="M331" s="237">
        <v>86774</v>
      </c>
      <c r="N331" s="237">
        <v>0</v>
      </c>
      <c r="O331" s="236">
        <v>623798</v>
      </c>
      <c r="P331" s="93">
        <f t="shared" si="16"/>
        <v>710572</v>
      </c>
      <c r="Q331" s="52"/>
      <c r="R331" s="237">
        <v>4656106</v>
      </c>
      <c r="S331" s="236">
        <v>-396274</v>
      </c>
      <c r="T331" s="238">
        <v>4259832</v>
      </c>
    </row>
    <row r="332" spans="1:20">
      <c r="A332" s="50">
        <v>93323</v>
      </c>
      <c r="B332" s="51" t="s">
        <v>1035</v>
      </c>
      <c r="C332" s="239">
        <v>1.9300000000000002E-5</v>
      </c>
      <c r="D332" s="239">
        <v>2.19E-5</v>
      </c>
      <c r="E332" s="205">
        <v>45786</v>
      </c>
      <c r="F332" s="205" t="s">
        <v>1930</v>
      </c>
      <c r="G332" s="237">
        <v>7064</v>
      </c>
      <c r="H332" s="225">
        <v>6286</v>
      </c>
      <c r="I332" s="237">
        <v>12150</v>
      </c>
      <c r="J332" s="236">
        <v>5709</v>
      </c>
      <c r="K332" s="93">
        <f t="shared" si="15"/>
        <v>31209</v>
      </c>
      <c r="L332" s="52"/>
      <c r="M332" s="237">
        <v>237</v>
      </c>
      <c r="N332" s="237">
        <v>0</v>
      </c>
      <c r="O332" s="236">
        <v>2583</v>
      </c>
      <c r="P332" s="93">
        <f t="shared" si="16"/>
        <v>2820</v>
      </c>
      <c r="Q332" s="52"/>
      <c r="R332" s="237">
        <v>12718</v>
      </c>
      <c r="S332" s="236">
        <v>2046</v>
      </c>
      <c r="T332" s="238">
        <v>14764</v>
      </c>
    </row>
    <row r="333" spans="1:20">
      <c r="A333" s="50">
        <v>93331</v>
      </c>
      <c r="B333" s="51" t="s">
        <v>2259</v>
      </c>
      <c r="C333" s="239">
        <v>1.22E-4</v>
      </c>
      <c r="D333" s="239">
        <v>1.208E-4</v>
      </c>
      <c r="E333" s="205">
        <v>289426</v>
      </c>
      <c r="F333" s="205" t="s">
        <v>1930</v>
      </c>
      <c r="G333" s="237">
        <v>44652</v>
      </c>
      <c r="H333" s="225">
        <v>39730</v>
      </c>
      <c r="I333" s="237">
        <v>76802</v>
      </c>
      <c r="J333" s="236">
        <v>5671</v>
      </c>
      <c r="K333" s="93">
        <f t="shared" si="15"/>
        <v>166855</v>
      </c>
      <c r="L333" s="52"/>
      <c r="M333" s="237">
        <v>1498</v>
      </c>
      <c r="N333" s="237">
        <v>0</v>
      </c>
      <c r="O333" s="236">
        <v>6870</v>
      </c>
      <c r="P333" s="93">
        <f t="shared" si="16"/>
        <v>8368</v>
      </c>
      <c r="Q333" s="52"/>
      <c r="R333" s="237">
        <v>80395</v>
      </c>
      <c r="S333" s="236">
        <v>-1201</v>
      </c>
      <c r="T333" s="238">
        <v>79194</v>
      </c>
    </row>
    <row r="334" spans="1:20">
      <c r="A334" s="50">
        <v>93333</v>
      </c>
      <c r="B334" s="51" t="s">
        <v>1037</v>
      </c>
      <c r="C334" s="239">
        <v>1.685E-4</v>
      </c>
      <c r="D334" s="239">
        <v>1.796E-4</v>
      </c>
      <c r="E334" s="205">
        <v>399740</v>
      </c>
      <c r="F334" s="205" t="s">
        <v>1930</v>
      </c>
      <c r="G334" s="237">
        <v>61670</v>
      </c>
      <c r="H334" s="225">
        <v>54872</v>
      </c>
      <c r="I334" s="237">
        <v>106075</v>
      </c>
      <c r="J334" s="236">
        <v>128475</v>
      </c>
      <c r="K334" s="93">
        <f t="shared" si="15"/>
        <v>351092</v>
      </c>
      <c r="L334" s="52"/>
      <c r="M334" s="237">
        <v>2069</v>
      </c>
      <c r="N334" s="237">
        <v>0</v>
      </c>
      <c r="O334" s="236">
        <v>0</v>
      </c>
      <c r="P334" s="93">
        <f t="shared" si="16"/>
        <v>2069</v>
      </c>
      <c r="Q334" s="52"/>
      <c r="R334" s="237">
        <v>111037</v>
      </c>
      <c r="S334" s="236">
        <v>76738</v>
      </c>
      <c r="T334" s="238">
        <v>187775</v>
      </c>
    </row>
    <row r="335" spans="1:20">
      <c r="A335" s="50">
        <v>93341</v>
      </c>
      <c r="B335" s="51" t="s">
        <v>2260</v>
      </c>
      <c r="C335" s="239">
        <v>2.7500000000000001E-5</v>
      </c>
      <c r="D335" s="239">
        <v>2.34E-5</v>
      </c>
      <c r="E335" s="205">
        <v>65239</v>
      </c>
      <c r="F335" s="205" t="s">
        <v>1930</v>
      </c>
      <c r="G335" s="237">
        <v>10065</v>
      </c>
      <c r="H335" s="225">
        <v>8955</v>
      </c>
      <c r="I335" s="237">
        <v>17312</v>
      </c>
      <c r="J335" s="236">
        <v>4514</v>
      </c>
      <c r="K335" s="93">
        <f t="shared" si="15"/>
        <v>40846</v>
      </c>
      <c r="L335" s="52"/>
      <c r="M335" s="237">
        <v>338</v>
      </c>
      <c r="N335" s="237">
        <v>0</v>
      </c>
      <c r="O335" s="236">
        <v>647</v>
      </c>
      <c r="P335" s="93">
        <f t="shared" si="16"/>
        <v>985</v>
      </c>
      <c r="Q335" s="52"/>
      <c r="R335" s="237">
        <v>18122</v>
      </c>
      <c r="S335" s="236">
        <v>1598</v>
      </c>
      <c r="T335" s="238">
        <v>19720</v>
      </c>
    </row>
    <row r="336" spans="1:20">
      <c r="A336" s="50">
        <v>93351</v>
      </c>
      <c r="B336" s="51" t="s">
        <v>2261</v>
      </c>
      <c r="C336" s="239">
        <v>1.7600000000000001E-5</v>
      </c>
      <c r="D336" s="239">
        <v>3.4E-5</v>
      </c>
      <c r="E336" s="205">
        <v>41753</v>
      </c>
      <c r="F336" s="205" t="s">
        <v>1930</v>
      </c>
      <c r="G336" s="237">
        <v>6442</v>
      </c>
      <c r="H336" s="225">
        <v>5731</v>
      </c>
      <c r="I336" s="237">
        <v>11080</v>
      </c>
      <c r="J336" s="236">
        <v>13531</v>
      </c>
      <c r="K336" s="93">
        <f t="shared" si="15"/>
        <v>36784</v>
      </c>
      <c r="L336" s="52"/>
      <c r="M336" s="237">
        <v>216</v>
      </c>
      <c r="N336" s="237">
        <v>0</v>
      </c>
      <c r="O336" s="236">
        <v>12460</v>
      </c>
      <c r="P336" s="93">
        <f t="shared" si="16"/>
        <v>12676</v>
      </c>
      <c r="Q336" s="52"/>
      <c r="R336" s="237">
        <v>11598</v>
      </c>
      <c r="S336" s="236">
        <v>228</v>
      </c>
      <c r="T336" s="238">
        <v>11826</v>
      </c>
    </row>
    <row r="337" spans="1:20">
      <c r="A337" s="50">
        <v>93401</v>
      </c>
      <c r="B337" s="51" t="s">
        <v>1040</v>
      </c>
      <c r="C337" s="239">
        <v>1.40187E-2</v>
      </c>
      <c r="D337" s="239">
        <v>1.3834900000000001E-2</v>
      </c>
      <c r="E337" s="205">
        <v>33257151</v>
      </c>
      <c r="F337" s="205" t="s">
        <v>1930</v>
      </c>
      <c r="G337" s="237">
        <v>5130788</v>
      </c>
      <c r="H337" s="225">
        <v>4565217</v>
      </c>
      <c r="I337" s="237">
        <v>8825164</v>
      </c>
      <c r="J337" s="236">
        <v>179357</v>
      </c>
      <c r="K337" s="93">
        <f t="shared" ref="K337:K401" si="17">G337+H337+I337+J337</f>
        <v>18700526</v>
      </c>
      <c r="L337" s="52"/>
      <c r="M337" s="237">
        <v>172164</v>
      </c>
      <c r="N337" s="237">
        <v>0</v>
      </c>
      <c r="O337" s="236">
        <v>63750</v>
      </c>
      <c r="P337" s="93">
        <f t="shared" ref="P337:P401" si="18">M337+N337+O337</f>
        <v>235914</v>
      </c>
      <c r="Q337" s="52"/>
      <c r="R337" s="237">
        <v>9237945</v>
      </c>
      <c r="S337" s="236">
        <v>-44240</v>
      </c>
      <c r="T337" s="238">
        <v>9193705</v>
      </c>
    </row>
    <row r="338" spans="1:20">
      <c r="A338" s="50">
        <v>93402</v>
      </c>
      <c r="B338" s="51" t="s">
        <v>1041</v>
      </c>
      <c r="C338" s="239">
        <v>9.6399999999999999E-5</v>
      </c>
      <c r="D338" s="239">
        <v>9.8800000000000003E-5</v>
      </c>
      <c r="E338" s="205">
        <v>228694</v>
      </c>
      <c r="F338" s="205" t="s">
        <v>1930</v>
      </c>
      <c r="G338" s="237">
        <v>35282</v>
      </c>
      <c r="H338" s="225">
        <v>31393</v>
      </c>
      <c r="I338" s="237">
        <v>60686</v>
      </c>
      <c r="J338" s="236">
        <v>1484</v>
      </c>
      <c r="K338" s="93">
        <f t="shared" si="17"/>
        <v>128845</v>
      </c>
      <c r="L338" s="52"/>
      <c r="M338" s="237">
        <v>1184</v>
      </c>
      <c r="N338" s="237">
        <v>0</v>
      </c>
      <c r="O338" s="236">
        <v>10261</v>
      </c>
      <c r="P338" s="93">
        <f t="shared" si="18"/>
        <v>11445</v>
      </c>
      <c r="Q338" s="52"/>
      <c r="R338" s="237">
        <v>63525</v>
      </c>
      <c r="S338" s="236">
        <v>1040</v>
      </c>
      <c r="T338" s="238">
        <v>64565</v>
      </c>
    </row>
    <row r="339" spans="1:20">
      <c r="A339" s="50">
        <v>93406</v>
      </c>
      <c r="B339" s="51" t="s">
        <v>1042</v>
      </c>
      <c r="C339" s="239">
        <v>5.0830000000000005E-4</v>
      </c>
      <c r="D339" s="239">
        <v>6.5059999999999998E-4</v>
      </c>
      <c r="E339" s="205">
        <v>1205861</v>
      </c>
      <c r="F339" s="205" t="s">
        <v>1930</v>
      </c>
      <c r="G339" s="237">
        <v>186036</v>
      </c>
      <c r="H339" s="225">
        <v>165529</v>
      </c>
      <c r="I339" s="237">
        <v>319989</v>
      </c>
      <c r="J339" s="236">
        <v>7137</v>
      </c>
      <c r="K339" s="93">
        <f t="shared" si="17"/>
        <v>678691</v>
      </c>
      <c r="L339" s="52"/>
      <c r="M339" s="237">
        <v>6242</v>
      </c>
      <c r="N339" s="237">
        <v>0</v>
      </c>
      <c r="O339" s="236">
        <v>129835</v>
      </c>
      <c r="P339" s="93">
        <f t="shared" si="18"/>
        <v>136077</v>
      </c>
      <c r="Q339" s="52"/>
      <c r="R339" s="237">
        <v>334956</v>
      </c>
      <c r="S339" s="236">
        <v>-16548</v>
      </c>
      <c r="T339" s="238">
        <v>318408</v>
      </c>
    </row>
    <row r="340" spans="1:20">
      <c r="A340" s="50">
        <v>93408</v>
      </c>
      <c r="B340" s="51" t="s">
        <v>1043</v>
      </c>
      <c r="C340" s="239">
        <v>0</v>
      </c>
      <c r="D340" s="239">
        <v>0</v>
      </c>
      <c r="E340" s="205">
        <v>0</v>
      </c>
      <c r="F340" s="205" t="s">
        <v>1930</v>
      </c>
      <c r="G340" s="237">
        <v>0</v>
      </c>
      <c r="H340" s="225">
        <v>0</v>
      </c>
      <c r="I340" s="237">
        <v>0</v>
      </c>
      <c r="J340" s="236">
        <v>26519</v>
      </c>
      <c r="K340" s="93">
        <f t="shared" si="17"/>
        <v>26519</v>
      </c>
      <c r="L340" s="52"/>
      <c r="M340" s="237">
        <v>0</v>
      </c>
      <c r="N340" s="237">
        <v>0</v>
      </c>
      <c r="O340" s="236">
        <v>1164660</v>
      </c>
      <c r="P340" s="93">
        <f t="shared" si="18"/>
        <v>1164660</v>
      </c>
      <c r="Q340" s="52"/>
      <c r="R340" s="237">
        <v>0</v>
      </c>
      <c r="S340" s="236">
        <v>-293308</v>
      </c>
      <c r="T340" s="238">
        <v>-293308</v>
      </c>
    </row>
    <row r="341" spans="1:20">
      <c r="A341" s="50">
        <v>93411</v>
      </c>
      <c r="B341" s="51" t="s">
        <v>1044</v>
      </c>
      <c r="C341" s="239">
        <v>1.8113199999999999E-2</v>
      </c>
      <c r="D341" s="239">
        <v>1.7454999999999998E-2</v>
      </c>
      <c r="E341" s="205">
        <v>42970705</v>
      </c>
      <c r="F341" s="205" t="s">
        <v>1930</v>
      </c>
      <c r="G341" s="237">
        <v>6629359</v>
      </c>
      <c r="H341" s="225">
        <v>5898600</v>
      </c>
      <c r="I341" s="237">
        <v>11402767</v>
      </c>
      <c r="J341" s="236">
        <v>739661</v>
      </c>
      <c r="K341" s="93">
        <f t="shared" si="17"/>
        <v>24670387</v>
      </c>
      <c r="L341" s="52"/>
      <c r="M341" s="237">
        <v>222448</v>
      </c>
      <c r="N341" s="237">
        <v>0</v>
      </c>
      <c r="O341" s="236">
        <v>227877</v>
      </c>
      <c r="P341" s="93">
        <f t="shared" si="18"/>
        <v>450325</v>
      </c>
      <c r="Q341" s="52"/>
      <c r="R341" s="237">
        <v>11936110</v>
      </c>
      <c r="S341" s="236">
        <v>-166296</v>
      </c>
      <c r="T341" s="238">
        <v>11769814</v>
      </c>
    </row>
    <row r="342" spans="1:20">
      <c r="A342" s="50">
        <v>93413</v>
      </c>
      <c r="B342" s="51" t="s">
        <v>1045</v>
      </c>
      <c r="C342" s="239">
        <v>7.1969999999999998E-4</v>
      </c>
      <c r="D342" s="239">
        <v>7.7070000000000003E-4</v>
      </c>
      <c r="E342" s="205">
        <v>1707375</v>
      </c>
      <c r="F342" s="205" t="s">
        <v>1930</v>
      </c>
      <c r="G342" s="237">
        <v>263407</v>
      </c>
      <c r="H342" s="225">
        <v>234372</v>
      </c>
      <c r="I342" s="237">
        <v>453071</v>
      </c>
      <c r="J342" s="236">
        <v>0</v>
      </c>
      <c r="K342" s="93">
        <f t="shared" si="17"/>
        <v>950850</v>
      </c>
      <c r="L342" s="52"/>
      <c r="M342" s="237">
        <v>8839</v>
      </c>
      <c r="N342" s="237">
        <v>0</v>
      </c>
      <c r="O342" s="236">
        <v>32288</v>
      </c>
      <c r="P342" s="93">
        <f t="shared" si="18"/>
        <v>41127</v>
      </c>
      <c r="Q342" s="52"/>
      <c r="R342" s="237">
        <v>474263</v>
      </c>
      <c r="S342" s="236">
        <v>-21077</v>
      </c>
      <c r="T342" s="238">
        <v>453186</v>
      </c>
    </row>
    <row r="343" spans="1:20">
      <c r="A343" s="50">
        <v>93417</v>
      </c>
      <c r="B343" s="51" t="s">
        <v>1046</v>
      </c>
      <c r="C343" s="239">
        <v>3.279E-4</v>
      </c>
      <c r="D343" s="239">
        <v>3.4430000000000002E-4</v>
      </c>
      <c r="E343" s="205">
        <v>777891</v>
      </c>
      <c r="F343" s="205" t="s">
        <v>1930</v>
      </c>
      <c r="G343" s="237">
        <v>120010</v>
      </c>
      <c r="H343" s="225">
        <v>106782</v>
      </c>
      <c r="I343" s="237">
        <v>206422</v>
      </c>
      <c r="J343" s="236">
        <v>10888</v>
      </c>
      <c r="K343" s="93">
        <f t="shared" si="17"/>
        <v>444102</v>
      </c>
      <c r="L343" s="52"/>
      <c r="M343" s="237">
        <v>4027</v>
      </c>
      <c r="N343" s="237">
        <v>0</v>
      </c>
      <c r="O343" s="236">
        <v>24803</v>
      </c>
      <c r="P343" s="93">
        <f t="shared" si="18"/>
        <v>28830</v>
      </c>
      <c r="Q343" s="52"/>
      <c r="R343" s="237">
        <v>216077</v>
      </c>
      <c r="S343" s="236">
        <v>8121</v>
      </c>
      <c r="T343" s="238">
        <v>224198</v>
      </c>
    </row>
    <row r="344" spans="1:20">
      <c r="A344" s="50">
        <v>93421</v>
      </c>
      <c r="B344" s="51" t="s">
        <v>2262</v>
      </c>
      <c r="C344" s="239">
        <v>2.1354999999999998E-3</v>
      </c>
      <c r="D344" s="239">
        <v>2.1294999999999999E-3</v>
      </c>
      <c r="E344" s="205">
        <v>5066136</v>
      </c>
      <c r="F344" s="205" t="s">
        <v>1930</v>
      </c>
      <c r="G344" s="237">
        <v>781584</v>
      </c>
      <c r="H344" s="225">
        <v>695430</v>
      </c>
      <c r="I344" s="237">
        <v>1344357</v>
      </c>
      <c r="J344" s="236">
        <v>0</v>
      </c>
      <c r="K344" s="93">
        <f t="shared" si="17"/>
        <v>2821371</v>
      </c>
      <c r="L344" s="52"/>
      <c r="M344" s="237">
        <v>26226</v>
      </c>
      <c r="N344" s="237">
        <v>0</v>
      </c>
      <c r="O344" s="236">
        <v>215571</v>
      </c>
      <c r="P344" s="93">
        <f t="shared" si="18"/>
        <v>241797</v>
      </c>
      <c r="Q344" s="52"/>
      <c r="R344" s="237">
        <v>1407237</v>
      </c>
      <c r="S344" s="236">
        <v>-143206</v>
      </c>
      <c r="T344" s="238">
        <v>1264031</v>
      </c>
    </row>
    <row r="345" spans="1:20">
      <c r="A345" s="50">
        <v>93431</v>
      </c>
      <c r="B345" s="51" t="s">
        <v>2263</v>
      </c>
      <c r="C345" s="239">
        <v>1.393E-4</v>
      </c>
      <c r="D345" s="239">
        <v>1.2689999999999999E-4</v>
      </c>
      <c r="E345" s="205">
        <v>330467</v>
      </c>
      <c r="F345" s="205" t="s">
        <v>1930</v>
      </c>
      <c r="G345" s="237">
        <v>50983</v>
      </c>
      <c r="H345" s="225">
        <v>45363</v>
      </c>
      <c r="I345" s="237">
        <v>87693</v>
      </c>
      <c r="J345" s="236">
        <v>17651</v>
      </c>
      <c r="K345" s="93">
        <f t="shared" si="17"/>
        <v>201690</v>
      </c>
      <c r="L345" s="52"/>
      <c r="M345" s="237">
        <v>1711</v>
      </c>
      <c r="N345" s="237">
        <v>0</v>
      </c>
      <c r="O345" s="236">
        <v>3344</v>
      </c>
      <c r="P345" s="93">
        <f t="shared" si="18"/>
        <v>5055</v>
      </c>
      <c r="Q345" s="52"/>
      <c r="R345" s="237">
        <v>91795</v>
      </c>
      <c r="S345" s="236">
        <v>3930</v>
      </c>
      <c r="T345" s="238">
        <v>95725</v>
      </c>
    </row>
    <row r="346" spans="1:20">
      <c r="A346" s="50">
        <v>93441</v>
      </c>
      <c r="B346" s="51" t="s">
        <v>2486</v>
      </c>
      <c r="C346" s="239">
        <v>1.651E-4</v>
      </c>
      <c r="D346" s="239">
        <v>1.54E-4</v>
      </c>
      <c r="E346" s="205">
        <v>391674</v>
      </c>
      <c r="F346" s="205" t="s">
        <v>1930</v>
      </c>
      <c r="G346" s="237">
        <v>60426</v>
      </c>
      <c r="H346" s="225">
        <v>53765</v>
      </c>
      <c r="I346" s="237">
        <v>103935</v>
      </c>
      <c r="J346" s="236">
        <v>21962</v>
      </c>
      <c r="K346" s="93">
        <f t="shared" si="17"/>
        <v>240088</v>
      </c>
      <c r="L346" s="52"/>
      <c r="M346" s="237">
        <v>2028</v>
      </c>
      <c r="N346" s="237">
        <v>0</v>
      </c>
      <c r="O346" s="236">
        <v>0</v>
      </c>
      <c r="P346" s="93">
        <f t="shared" si="18"/>
        <v>2028</v>
      </c>
      <c r="Q346" s="52"/>
      <c r="R346" s="237">
        <v>108796</v>
      </c>
      <c r="S346" s="236">
        <v>16238</v>
      </c>
      <c r="T346" s="238">
        <v>125034</v>
      </c>
    </row>
    <row r="347" spans="1:20">
      <c r="A347" s="50">
        <v>93442</v>
      </c>
      <c r="B347" s="51" t="s">
        <v>1050</v>
      </c>
      <c r="C347" s="239">
        <v>1.5139999999999999E-4</v>
      </c>
      <c r="D347" s="239">
        <v>1.505E-4</v>
      </c>
      <c r="E347" s="205">
        <v>359173</v>
      </c>
      <c r="F347" s="205" t="s">
        <v>1930</v>
      </c>
      <c r="G347" s="237">
        <v>55412</v>
      </c>
      <c r="H347" s="225">
        <v>49304</v>
      </c>
      <c r="I347" s="237">
        <v>95311</v>
      </c>
      <c r="J347" s="236">
        <v>2596</v>
      </c>
      <c r="K347" s="93">
        <f t="shared" si="17"/>
        <v>202623</v>
      </c>
      <c r="L347" s="52"/>
      <c r="M347" s="237">
        <v>1859</v>
      </c>
      <c r="N347" s="237">
        <v>0</v>
      </c>
      <c r="O347" s="236">
        <v>18150</v>
      </c>
      <c r="P347" s="93">
        <f t="shared" si="18"/>
        <v>20009</v>
      </c>
      <c r="Q347" s="52"/>
      <c r="R347" s="237">
        <v>99769</v>
      </c>
      <c r="S347" s="236">
        <v>-7850</v>
      </c>
      <c r="T347" s="238">
        <v>91919</v>
      </c>
    </row>
    <row r="348" spans="1:20">
      <c r="A348" s="50">
        <v>93451</v>
      </c>
      <c r="B348" s="51" t="s">
        <v>2264</v>
      </c>
      <c r="C348" s="239">
        <v>7.9599999999999997E-5</v>
      </c>
      <c r="D348" s="239">
        <v>7.0900000000000002E-5</v>
      </c>
      <c r="E348" s="205">
        <v>188838</v>
      </c>
      <c r="F348" s="205" t="s">
        <v>1930</v>
      </c>
      <c r="G348" s="237">
        <v>29133</v>
      </c>
      <c r="H348" s="225">
        <v>25922</v>
      </c>
      <c r="I348" s="237">
        <v>50110</v>
      </c>
      <c r="J348" s="236">
        <v>21182</v>
      </c>
      <c r="K348" s="93">
        <f t="shared" si="17"/>
        <v>126347</v>
      </c>
      <c r="L348" s="52"/>
      <c r="M348" s="237">
        <v>978</v>
      </c>
      <c r="N348" s="237">
        <v>0</v>
      </c>
      <c r="O348" s="236">
        <v>0</v>
      </c>
      <c r="P348" s="93">
        <f t="shared" si="18"/>
        <v>978</v>
      </c>
      <c r="Q348" s="52"/>
      <c r="R348" s="237">
        <v>52454</v>
      </c>
      <c r="S348" s="236">
        <v>8104</v>
      </c>
      <c r="T348" s="238">
        <v>60558</v>
      </c>
    </row>
    <row r="349" spans="1:20">
      <c r="A349" s="50">
        <v>93461</v>
      </c>
      <c r="B349" s="51" t="s">
        <v>2722</v>
      </c>
      <c r="C349" s="239">
        <v>1.6200000000000001E-5</v>
      </c>
      <c r="D349" s="239">
        <v>1.66E-5</v>
      </c>
      <c r="E349" s="205">
        <v>38432</v>
      </c>
      <c r="F349" s="205" t="s">
        <v>1930</v>
      </c>
      <c r="G349" s="237">
        <v>5929</v>
      </c>
      <c r="H349" s="225">
        <v>5275</v>
      </c>
      <c r="I349" s="237">
        <v>10198</v>
      </c>
      <c r="J349" s="236">
        <v>707</v>
      </c>
      <c r="K349" s="93">
        <f t="shared" si="17"/>
        <v>22109</v>
      </c>
      <c r="L349" s="52"/>
      <c r="M349" s="237">
        <v>199</v>
      </c>
      <c r="N349" s="237">
        <v>0</v>
      </c>
      <c r="O349" s="236">
        <v>0</v>
      </c>
      <c r="P349" s="93">
        <f t="shared" si="18"/>
        <v>199</v>
      </c>
      <c r="Q349" s="52"/>
      <c r="R349" s="237">
        <v>10675</v>
      </c>
      <c r="S349" s="236">
        <v>351</v>
      </c>
      <c r="T349" s="238">
        <v>11026</v>
      </c>
    </row>
    <row r="350" spans="1:20">
      <c r="A350" s="50">
        <v>93471</v>
      </c>
      <c r="B350" s="51" t="s">
        <v>2707</v>
      </c>
      <c r="C350" s="239">
        <v>1.15E-5</v>
      </c>
      <c r="D350" s="239">
        <v>1.31E-5</v>
      </c>
      <c r="E350" s="205">
        <v>27282</v>
      </c>
      <c r="F350" s="205" t="s">
        <v>1930</v>
      </c>
      <c r="G350" s="237">
        <v>4209</v>
      </c>
      <c r="H350" s="225">
        <v>3745</v>
      </c>
      <c r="I350" s="237">
        <v>7240</v>
      </c>
      <c r="J350" s="236">
        <v>4442</v>
      </c>
      <c r="K350" s="93">
        <f t="shared" si="17"/>
        <v>19636</v>
      </c>
      <c r="L350" s="52"/>
      <c r="M350" s="237">
        <v>141</v>
      </c>
      <c r="N350" s="237">
        <v>0</v>
      </c>
      <c r="O350" s="236">
        <v>0</v>
      </c>
      <c r="P350" s="93">
        <f t="shared" si="18"/>
        <v>141</v>
      </c>
      <c r="Q350" s="52"/>
      <c r="R350" s="237">
        <v>7578</v>
      </c>
      <c r="S350" s="236">
        <v>1610</v>
      </c>
      <c r="T350" s="238">
        <v>9188</v>
      </c>
    </row>
    <row r="351" spans="1:20">
      <c r="A351" s="50">
        <v>93501</v>
      </c>
      <c r="B351" s="51" t="s">
        <v>1054</v>
      </c>
      <c r="C351" s="239">
        <v>3.6803000000000001E-3</v>
      </c>
      <c r="D351" s="239">
        <v>3.6113999999999999E-3</v>
      </c>
      <c r="E351" s="205">
        <v>8730930</v>
      </c>
      <c r="F351" s="205" t="s">
        <v>1930</v>
      </c>
      <c r="G351" s="237">
        <v>1346975</v>
      </c>
      <c r="H351" s="225">
        <v>1198497</v>
      </c>
      <c r="I351" s="237">
        <v>2316852</v>
      </c>
      <c r="J351" s="236">
        <v>177586</v>
      </c>
      <c r="K351" s="93">
        <f t="shared" si="17"/>
        <v>5039910</v>
      </c>
      <c r="L351" s="52"/>
      <c r="M351" s="237">
        <v>45198</v>
      </c>
      <c r="N351" s="237">
        <v>0</v>
      </c>
      <c r="O351" s="236">
        <v>37454</v>
      </c>
      <c r="P351" s="93">
        <f t="shared" si="18"/>
        <v>82652</v>
      </c>
      <c r="Q351" s="52"/>
      <c r="R351" s="237">
        <v>2425218</v>
      </c>
      <c r="S351" s="236">
        <v>100778</v>
      </c>
      <c r="T351" s="238">
        <v>2525996</v>
      </c>
    </row>
    <row r="352" spans="1:20">
      <c r="A352" s="50">
        <v>93511</v>
      </c>
      <c r="B352" s="51" t="s">
        <v>2265</v>
      </c>
      <c r="C352" s="239">
        <v>8.8800000000000004E-5</v>
      </c>
      <c r="D352" s="239">
        <v>8.8300000000000005E-5</v>
      </c>
      <c r="E352" s="205">
        <v>210664</v>
      </c>
      <c r="F352" s="205" t="s">
        <v>1930</v>
      </c>
      <c r="G352" s="237">
        <v>32500</v>
      </c>
      <c r="H352" s="225">
        <v>28917</v>
      </c>
      <c r="I352" s="237">
        <v>55902</v>
      </c>
      <c r="J352" s="236">
        <v>5601</v>
      </c>
      <c r="K352" s="93">
        <f t="shared" si="17"/>
        <v>122920</v>
      </c>
      <c r="L352" s="52"/>
      <c r="M352" s="237">
        <v>1091</v>
      </c>
      <c r="N352" s="237">
        <v>0</v>
      </c>
      <c r="O352" s="236">
        <v>8503</v>
      </c>
      <c r="P352" s="93">
        <f t="shared" si="18"/>
        <v>9594</v>
      </c>
      <c r="Q352" s="52"/>
      <c r="R352" s="237">
        <v>58517</v>
      </c>
      <c r="S352" s="236">
        <v>-1309</v>
      </c>
      <c r="T352" s="238">
        <v>57208</v>
      </c>
    </row>
    <row r="353" spans="1:20">
      <c r="A353" s="50">
        <v>93517</v>
      </c>
      <c r="B353" s="51" t="s">
        <v>1056</v>
      </c>
      <c r="C353" s="239">
        <v>5.0000000000000004E-6</v>
      </c>
      <c r="D353" s="239">
        <v>6.0000000000000002E-6</v>
      </c>
      <c r="E353" s="205">
        <v>11862</v>
      </c>
      <c r="F353" s="205" t="s">
        <v>1930</v>
      </c>
      <c r="G353" s="237">
        <v>1830</v>
      </c>
      <c r="H353" s="225">
        <v>1628</v>
      </c>
      <c r="I353" s="237">
        <v>3148</v>
      </c>
      <c r="J353" s="236">
        <v>2812</v>
      </c>
      <c r="K353" s="93">
        <f t="shared" si="17"/>
        <v>9418</v>
      </c>
      <c r="L353" s="52"/>
      <c r="M353" s="237">
        <v>61</v>
      </c>
      <c r="N353" s="237">
        <v>0</v>
      </c>
      <c r="O353" s="236">
        <v>0</v>
      </c>
      <c r="P353" s="93">
        <f t="shared" si="18"/>
        <v>61</v>
      </c>
      <c r="Q353" s="52"/>
      <c r="R353" s="237">
        <v>3295</v>
      </c>
      <c r="S353" s="236">
        <v>1016</v>
      </c>
      <c r="T353" s="238">
        <v>4311</v>
      </c>
    </row>
    <row r="354" spans="1:20">
      <c r="A354" s="50">
        <v>93521</v>
      </c>
      <c r="B354" s="51" t="s">
        <v>2266</v>
      </c>
      <c r="C354" s="239">
        <v>4.639E-4</v>
      </c>
      <c r="D354" s="239">
        <v>4.5649999999999998E-4</v>
      </c>
      <c r="E354" s="205">
        <v>1100529</v>
      </c>
      <c r="F354" s="205" t="s">
        <v>1930</v>
      </c>
      <c r="G354" s="237">
        <v>169786</v>
      </c>
      <c r="H354" s="225">
        <v>151070</v>
      </c>
      <c r="I354" s="237">
        <v>292038</v>
      </c>
      <c r="J354" s="236">
        <v>6931</v>
      </c>
      <c r="K354" s="93">
        <f t="shared" si="17"/>
        <v>619825</v>
      </c>
      <c r="L354" s="52"/>
      <c r="M354" s="237">
        <v>5697</v>
      </c>
      <c r="N354" s="237">
        <v>0</v>
      </c>
      <c r="O354" s="236">
        <v>52279</v>
      </c>
      <c r="P354" s="93">
        <f t="shared" si="18"/>
        <v>57976</v>
      </c>
      <c r="Q354" s="52"/>
      <c r="R354" s="237">
        <v>305698</v>
      </c>
      <c r="S354" s="236">
        <v>-19233</v>
      </c>
      <c r="T354" s="238">
        <v>286465</v>
      </c>
    </row>
    <row r="355" spans="1:20">
      <c r="A355" s="50">
        <v>93527</v>
      </c>
      <c r="B355" s="51" t="s">
        <v>1058</v>
      </c>
      <c r="C355" s="239">
        <v>1.2799999999999999E-5</v>
      </c>
      <c r="D355" s="239">
        <v>1.2099999999999999E-5</v>
      </c>
      <c r="E355" s="205">
        <v>30366</v>
      </c>
      <c r="F355" s="205" t="s">
        <v>1930</v>
      </c>
      <c r="G355" s="237">
        <v>4685</v>
      </c>
      <c r="H355" s="225">
        <v>4168</v>
      </c>
      <c r="I355" s="237">
        <v>8058</v>
      </c>
      <c r="J355" s="236">
        <v>13477</v>
      </c>
      <c r="K355" s="93">
        <f t="shared" si="17"/>
        <v>30388</v>
      </c>
      <c r="L355" s="52"/>
      <c r="M355" s="237">
        <v>157</v>
      </c>
      <c r="N355" s="237">
        <v>0</v>
      </c>
      <c r="O355" s="236">
        <v>0</v>
      </c>
      <c r="P355" s="93">
        <f t="shared" si="18"/>
        <v>157</v>
      </c>
      <c r="Q355" s="52"/>
      <c r="R355" s="237">
        <v>8435</v>
      </c>
      <c r="S355" s="236">
        <v>6937</v>
      </c>
      <c r="T355" s="238">
        <v>15372</v>
      </c>
    </row>
    <row r="356" spans="1:20">
      <c r="A356" s="50">
        <v>93531</v>
      </c>
      <c r="B356" s="51" t="s">
        <v>2068</v>
      </c>
      <c r="C356" s="239">
        <v>3.0700000000000001E-5</v>
      </c>
      <c r="D356" s="239">
        <v>1.7E-5</v>
      </c>
      <c r="E356" s="205">
        <v>72831</v>
      </c>
      <c r="F356" s="205" t="s">
        <v>1930</v>
      </c>
      <c r="G356" s="237">
        <v>11236</v>
      </c>
      <c r="H356" s="225">
        <v>9997</v>
      </c>
      <c r="I356" s="237">
        <v>19327</v>
      </c>
      <c r="J356" s="236">
        <v>7722</v>
      </c>
      <c r="K356" s="93">
        <f t="shared" si="17"/>
        <v>48282</v>
      </c>
      <c r="L356" s="52"/>
      <c r="M356" s="237">
        <v>377</v>
      </c>
      <c r="N356" s="237">
        <v>0</v>
      </c>
      <c r="O356" s="236">
        <v>1264</v>
      </c>
      <c r="P356" s="93">
        <f t="shared" si="18"/>
        <v>1641</v>
      </c>
      <c r="Q356" s="52"/>
      <c r="R356" s="237">
        <v>20230</v>
      </c>
      <c r="S356" s="236">
        <v>601</v>
      </c>
      <c r="T356" s="238">
        <v>20831</v>
      </c>
    </row>
    <row r="357" spans="1:20">
      <c r="A357" s="50">
        <v>93537</v>
      </c>
      <c r="B357" s="51" t="s">
        <v>2267</v>
      </c>
      <c r="C357" s="239">
        <v>1.1E-5</v>
      </c>
      <c r="D357" s="239">
        <v>1.1199999999999999E-5</v>
      </c>
      <c r="E357" s="205">
        <v>26096</v>
      </c>
      <c r="F357" s="205" t="s">
        <v>1930</v>
      </c>
      <c r="G357" s="237">
        <v>4026</v>
      </c>
      <c r="H357" s="225">
        <v>3582</v>
      </c>
      <c r="I357" s="237">
        <v>6925</v>
      </c>
      <c r="J357" s="236">
        <v>0</v>
      </c>
      <c r="K357" s="93">
        <f t="shared" si="17"/>
        <v>14533</v>
      </c>
      <c r="L357" s="52"/>
      <c r="M357" s="237">
        <v>135</v>
      </c>
      <c r="N357" s="237">
        <v>0</v>
      </c>
      <c r="O357" s="236">
        <v>2378</v>
      </c>
      <c r="P357" s="93">
        <f t="shared" si="18"/>
        <v>2513</v>
      </c>
      <c r="Q357" s="52"/>
      <c r="R357" s="237">
        <v>7249</v>
      </c>
      <c r="S357" s="236">
        <v>-840</v>
      </c>
      <c r="T357" s="238">
        <v>6409</v>
      </c>
    </row>
    <row r="358" spans="1:20">
      <c r="A358" s="50">
        <v>93541</v>
      </c>
      <c r="B358" s="51" t="s">
        <v>2268</v>
      </c>
      <c r="C358" s="239">
        <v>8.9800000000000001E-5</v>
      </c>
      <c r="D358" s="239">
        <v>1.0560000000000001E-4</v>
      </c>
      <c r="E358" s="205">
        <v>213036</v>
      </c>
      <c r="F358" s="205" t="s">
        <v>1930</v>
      </c>
      <c r="G358" s="237">
        <v>32866</v>
      </c>
      <c r="H358" s="225">
        <v>29244</v>
      </c>
      <c r="I358" s="237">
        <v>56532</v>
      </c>
      <c r="J358" s="236">
        <v>226</v>
      </c>
      <c r="K358" s="93">
        <f t="shared" si="17"/>
        <v>118868</v>
      </c>
      <c r="L358" s="52"/>
      <c r="M358" s="237">
        <v>1103</v>
      </c>
      <c r="N358" s="237">
        <v>0</v>
      </c>
      <c r="O358" s="236">
        <v>5147</v>
      </c>
      <c r="P358" s="93">
        <f t="shared" si="18"/>
        <v>6250</v>
      </c>
      <c r="Q358" s="52"/>
      <c r="R358" s="237">
        <v>59176</v>
      </c>
      <c r="S358" s="236">
        <v>2777</v>
      </c>
      <c r="T358" s="238">
        <v>61953</v>
      </c>
    </row>
    <row r="359" spans="1:20">
      <c r="A359" s="50">
        <v>93601</v>
      </c>
      <c r="B359" s="51" t="s">
        <v>1062</v>
      </c>
      <c r="C359" s="239">
        <v>1.11494E-2</v>
      </c>
      <c r="D359" s="239">
        <v>1.0721400000000001E-2</v>
      </c>
      <c r="E359" s="205">
        <v>26450190</v>
      </c>
      <c r="F359" s="205" t="s">
        <v>1930</v>
      </c>
      <c r="G359" s="237">
        <v>4080636</v>
      </c>
      <c r="H359" s="225">
        <v>3630824</v>
      </c>
      <c r="I359" s="237">
        <v>7018859</v>
      </c>
      <c r="J359" s="236">
        <v>430627</v>
      </c>
      <c r="K359" s="93">
        <f t="shared" si="17"/>
        <v>15160946</v>
      </c>
      <c r="L359" s="52"/>
      <c r="M359" s="237">
        <v>136926</v>
      </c>
      <c r="N359" s="237">
        <v>0</v>
      </c>
      <c r="O359" s="236">
        <v>172766</v>
      </c>
      <c r="P359" s="93">
        <f t="shared" si="18"/>
        <v>309692</v>
      </c>
      <c r="Q359" s="52"/>
      <c r="R359" s="237">
        <v>7347154</v>
      </c>
      <c r="S359" s="236">
        <v>9789</v>
      </c>
      <c r="T359" s="238">
        <v>7356943</v>
      </c>
    </row>
    <row r="360" spans="1:20">
      <c r="A360" s="50">
        <v>93602</v>
      </c>
      <c r="B360" s="51" t="s">
        <v>2689</v>
      </c>
      <c r="C360" s="239">
        <v>1.8340000000000001E-4</v>
      </c>
      <c r="D360" s="239">
        <v>1.7540000000000001E-4</v>
      </c>
      <c r="E360" s="205">
        <v>435088</v>
      </c>
      <c r="F360" s="205" t="s">
        <v>1930</v>
      </c>
      <c r="G360" s="237">
        <v>67124</v>
      </c>
      <c r="H360" s="225">
        <v>59724</v>
      </c>
      <c r="I360" s="237">
        <v>115455</v>
      </c>
      <c r="J360" s="236">
        <v>10138</v>
      </c>
      <c r="K360" s="93">
        <f t="shared" si="17"/>
        <v>252441</v>
      </c>
      <c r="L360" s="52"/>
      <c r="M360" s="237">
        <v>2252</v>
      </c>
      <c r="N360" s="237">
        <v>0</v>
      </c>
      <c r="O360" s="236">
        <v>6076</v>
      </c>
      <c r="P360" s="93">
        <f t="shared" si="18"/>
        <v>8328</v>
      </c>
      <c r="Q360" s="52"/>
      <c r="R360" s="237">
        <v>120856</v>
      </c>
      <c r="S360" s="236">
        <v>-1090</v>
      </c>
      <c r="T360" s="238">
        <v>119766</v>
      </c>
    </row>
    <row r="361" spans="1:20" s="202" customFormat="1">
      <c r="A361" s="204">
        <v>93604</v>
      </c>
      <c r="B361" s="203" t="s">
        <v>1932</v>
      </c>
      <c r="C361" s="239">
        <v>2.0100000000000001E-5</v>
      </c>
      <c r="D361" s="239">
        <v>0</v>
      </c>
      <c r="E361" s="205">
        <v>47684</v>
      </c>
      <c r="F361" s="205" t="s">
        <v>1930</v>
      </c>
      <c r="G361" s="237">
        <v>7357</v>
      </c>
      <c r="H361" s="225">
        <v>6545</v>
      </c>
      <c r="I361" s="237">
        <v>12654</v>
      </c>
      <c r="J361" s="236">
        <v>19602</v>
      </c>
      <c r="K361" s="93">
        <f t="shared" si="17"/>
        <v>46158</v>
      </c>
      <c r="L361" s="201"/>
      <c r="M361" s="237">
        <v>247</v>
      </c>
      <c r="N361" s="237">
        <v>0</v>
      </c>
      <c r="O361" s="236">
        <v>0</v>
      </c>
      <c r="P361" s="93">
        <f t="shared" si="18"/>
        <v>247</v>
      </c>
      <c r="Q361" s="201"/>
      <c r="R361" s="237">
        <v>13245</v>
      </c>
      <c r="S361" s="236">
        <v>4900</v>
      </c>
      <c r="T361" s="238">
        <v>18145</v>
      </c>
    </row>
    <row r="362" spans="1:20">
      <c r="A362" s="50">
        <v>93609</v>
      </c>
      <c r="B362" s="51" t="s">
        <v>1064</v>
      </c>
      <c r="C362" s="239">
        <v>3.9097000000000003E-3</v>
      </c>
      <c r="D362" s="239">
        <v>3.7629999999999999E-3</v>
      </c>
      <c r="E362" s="205">
        <v>9275146</v>
      </c>
      <c r="F362" s="205" t="s">
        <v>1930</v>
      </c>
      <c r="G362" s="237">
        <v>1430935</v>
      </c>
      <c r="H362" s="225">
        <v>1273202</v>
      </c>
      <c r="I362" s="237">
        <v>2461266</v>
      </c>
      <c r="J362" s="236">
        <v>502120</v>
      </c>
      <c r="K362" s="93">
        <f t="shared" si="17"/>
        <v>5667523</v>
      </c>
      <c r="L362" s="52"/>
      <c r="M362" s="237">
        <v>48015</v>
      </c>
      <c r="N362" s="237">
        <v>0</v>
      </c>
      <c r="O362" s="236">
        <v>0</v>
      </c>
      <c r="P362" s="93">
        <f t="shared" si="18"/>
        <v>48015</v>
      </c>
      <c r="Q362" s="52"/>
      <c r="R362" s="237">
        <v>2576387</v>
      </c>
      <c r="S362" s="236">
        <v>367709</v>
      </c>
      <c r="T362" s="238">
        <v>2944096</v>
      </c>
    </row>
    <row r="363" spans="1:20">
      <c r="A363" s="50">
        <v>93610</v>
      </c>
      <c r="B363" s="51" t="s">
        <v>2587</v>
      </c>
      <c r="C363" s="239">
        <v>1.5500000000000001E-5</v>
      </c>
      <c r="D363" s="239">
        <v>1.33E-5</v>
      </c>
      <c r="E363" s="206">
        <v>36771</v>
      </c>
      <c r="F363" s="206" t="s">
        <v>1930</v>
      </c>
      <c r="G363" s="237">
        <v>5673</v>
      </c>
      <c r="H363" s="225">
        <v>5047</v>
      </c>
      <c r="I363" s="237">
        <v>9758</v>
      </c>
      <c r="J363" s="236">
        <v>4558</v>
      </c>
      <c r="K363" s="93">
        <f t="shared" si="17"/>
        <v>25036</v>
      </c>
      <c r="L363" s="52"/>
      <c r="M363" s="237">
        <v>190</v>
      </c>
      <c r="N363" s="237">
        <v>0</v>
      </c>
      <c r="O363" s="236">
        <v>2193</v>
      </c>
      <c r="P363" s="93">
        <f t="shared" si="18"/>
        <v>2383</v>
      </c>
      <c r="Q363" s="52"/>
      <c r="R363" s="237">
        <v>10214</v>
      </c>
      <c r="S363" s="236">
        <v>1404</v>
      </c>
      <c r="T363" s="238">
        <v>11618</v>
      </c>
    </row>
    <row r="364" spans="1:20">
      <c r="A364" s="50">
        <v>93611</v>
      </c>
      <c r="B364" s="51" t="s">
        <v>1066</v>
      </c>
      <c r="C364" s="239">
        <v>6.9170000000000004E-3</v>
      </c>
      <c r="D364" s="239">
        <v>6.9544000000000003E-3</v>
      </c>
      <c r="E364" s="206">
        <v>16409490</v>
      </c>
      <c r="F364" s="206" t="s">
        <v>1930</v>
      </c>
      <c r="G364" s="237">
        <v>2531594</v>
      </c>
      <c r="H364" s="225">
        <v>2252535</v>
      </c>
      <c r="I364" s="237">
        <v>4354445</v>
      </c>
      <c r="J364" s="236">
        <v>45861</v>
      </c>
      <c r="K364" s="93">
        <f t="shared" si="17"/>
        <v>9184435</v>
      </c>
      <c r="L364" s="52"/>
      <c r="M364" s="237">
        <v>84948</v>
      </c>
      <c r="N364" s="237">
        <v>0</v>
      </c>
      <c r="O364" s="236">
        <v>74749</v>
      </c>
      <c r="P364" s="93">
        <f t="shared" si="18"/>
        <v>159697</v>
      </c>
      <c r="Q364" s="52"/>
      <c r="R364" s="237">
        <v>4558116</v>
      </c>
      <c r="S364" s="236">
        <v>-105909</v>
      </c>
      <c r="T364" s="238">
        <v>4452207</v>
      </c>
    </row>
    <row r="365" spans="1:20">
      <c r="A365" s="50">
        <v>93617</v>
      </c>
      <c r="B365" s="51" t="s">
        <v>1067</v>
      </c>
      <c r="C365" s="239">
        <v>8.7499999999999999E-5</v>
      </c>
      <c r="D365" s="239">
        <v>8.2799999999999993E-5</v>
      </c>
      <c r="E365" s="206">
        <v>207580</v>
      </c>
      <c r="F365" s="206" t="s">
        <v>1930</v>
      </c>
      <c r="G365" s="237">
        <v>32025</v>
      </c>
      <c r="H365" s="225">
        <v>28494</v>
      </c>
      <c r="I365" s="237">
        <v>55084</v>
      </c>
      <c r="J365" s="236">
        <v>21712</v>
      </c>
      <c r="K365" s="93">
        <f t="shared" si="17"/>
        <v>137315</v>
      </c>
      <c r="L365" s="52"/>
      <c r="M365" s="237">
        <v>1075</v>
      </c>
      <c r="N365" s="237">
        <v>0</v>
      </c>
      <c r="O365" s="236">
        <v>0</v>
      </c>
      <c r="P365" s="93">
        <f t="shared" si="18"/>
        <v>1075</v>
      </c>
      <c r="Q365" s="52"/>
      <c r="R365" s="237">
        <v>57660</v>
      </c>
      <c r="S365" s="236">
        <v>13203</v>
      </c>
      <c r="T365" s="238">
        <v>70863</v>
      </c>
    </row>
    <row r="366" spans="1:20">
      <c r="A366" s="50">
        <v>93618</v>
      </c>
      <c r="B366" s="51" t="s">
        <v>1068</v>
      </c>
      <c r="C366" s="239">
        <v>1.03E-5</v>
      </c>
      <c r="D366" s="239">
        <v>1.11E-5</v>
      </c>
      <c r="E366" s="206">
        <v>24435</v>
      </c>
      <c r="F366" s="206" t="s">
        <v>1930</v>
      </c>
      <c r="G366" s="237">
        <v>3770</v>
      </c>
      <c r="H366" s="225">
        <v>3354</v>
      </c>
      <c r="I366" s="237">
        <v>6484</v>
      </c>
      <c r="J366" s="236">
        <v>36884</v>
      </c>
      <c r="K366" s="93">
        <f t="shared" si="17"/>
        <v>50492</v>
      </c>
      <c r="L366" s="52"/>
      <c r="M366" s="237">
        <v>126</v>
      </c>
      <c r="N366" s="237">
        <v>0</v>
      </c>
      <c r="O366" s="236">
        <v>0</v>
      </c>
      <c r="P366" s="93">
        <f t="shared" si="18"/>
        <v>126</v>
      </c>
      <c r="Q366" s="52"/>
      <c r="R366" s="237">
        <v>6787</v>
      </c>
      <c r="S366" s="236">
        <v>16035</v>
      </c>
      <c r="T366" s="238">
        <v>22822</v>
      </c>
    </row>
    <row r="367" spans="1:20">
      <c r="A367" s="50">
        <v>93621</v>
      </c>
      <c r="B367" s="51" t="s">
        <v>1069</v>
      </c>
      <c r="C367" s="239">
        <v>1.0273000000000001E-3</v>
      </c>
      <c r="D367" s="239">
        <v>9.5719999999999996E-4</v>
      </c>
      <c r="E367" s="206">
        <v>2437107</v>
      </c>
      <c r="F367" s="206" t="s">
        <v>1930</v>
      </c>
      <c r="G367" s="237">
        <v>375988</v>
      </c>
      <c r="H367" s="225">
        <v>334542</v>
      </c>
      <c r="I367" s="237">
        <v>646714</v>
      </c>
      <c r="J367" s="236">
        <v>51082</v>
      </c>
      <c r="K367" s="93">
        <f t="shared" si="17"/>
        <v>1408326</v>
      </c>
      <c r="L367" s="52"/>
      <c r="M367" s="237">
        <v>12616</v>
      </c>
      <c r="N367" s="237">
        <v>0</v>
      </c>
      <c r="O367" s="236">
        <v>41250</v>
      </c>
      <c r="P367" s="93">
        <f t="shared" si="18"/>
        <v>53866</v>
      </c>
      <c r="Q367" s="52"/>
      <c r="R367" s="237">
        <v>676963</v>
      </c>
      <c r="S367" s="236">
        <v>-22728</v>
      </c>
      <c r="T367" s="238">
        <v>654235</v>
      </c>
    </row>
    <row r="368" spans="1:20">
      <c r="A368" s="50">
        <v>93623</v>
      </c>
      <c r="B368" s="51" t="s">
        <v>1070</v>
      </c>
      <c r="C368" s="239">
        <v>1.2E-5</v>
      </c>
      <c r="D368" s="239">
        <v>1.2799999999999999E-5</v>
      </c>
      <c r="E368" s="206">
        <v>28468</v>
      </c>
      <c r="F368" s="206" t="s">
        <v>1930</v>
      </c>
      <c r="G368" s="237">
        <v>4392</v>
      </c>
      <c r="H368" s="225">
        <v>3908</v>
      </c>
      <c r="I368" s="237">
        <v>7554</v>
      </c>
      <c r="J368" s="236">
        <v>5015</v>
      </c>
      <c r="K368" s="93">
        <f t="shared" si="17"/>
        <v>20869</v>
      </c>
      <c r="L368" s="52"/>
      <c r="M368" s="237">
        <v>147</v>
      </c>
      <c r="N368" s="237">
        <v>0</v>
      </c>
      <c r="O368" s="236">
        <v>0</v>
      </c>
      <c r="P368" s="93">
        <f t="shared" si="18"/>
        <v>147</v>
      </c>
      <c r="Q368" s="52"/>
      <c r="R368" s="237">
        <v>7908</v>
      </c>
      <c r="S368" s="236">
        <v>2264</v>
      </c>
      <c r="T368" s="238">
        <v>10172</v>
      </c>
    </row>
    <row r="369" spans="1:20">
      <c r="A369" s="50">
        <v>93631</v>
      </c>
      <c r="B369" s="51" t="s">
        <v>2269</v>
      </c>
      <c r="C369" s="239">
        <v>2.232E-4</v>
      </c>
      <c r="D369" s="239">
        <v>2.252E-4</v>
      </c>
      <c r="E369" s="206">
        <v>529507</v>
      </c>
      <c r="F369" s="206" t="s">
        <v>1930</v>
      </c>
      <c r="G369" s="237">
        <v>81690</v>
      </c>
      <c r="H369" s="225">
        <v>72685</v>
      </c>
      <c r="I369" s="237">
        <v>140511</v>
      </c>
      <c r="J369" s="236">
        <v>0</v>
      </c>
      <c r="K369" s="93">
        <f t="shared" si="17"/>
        <v>294886</v>
      </c>
      <c r="L369" s="52"/>
      <c r="M369" s="237">
        <v>2741</v>
      </c>
      <c r="N369" s="237">
        <v>0</v>
      </c>
      <c r="O369" s="236">
        <v>17227</v>
      </c>
      <c r="P369" s="93">
        <f t="shared" si="18"/>
        <v>19968</v>
      </c>
      <c r="Q369" s="52"/>
      <c r="R369" s="237">
        <v>147083</v>
      </c>
      <c r="S369" s="236">
        <v>-8056</v>
      </c>
      <c r="T369" s="238">
        <v>139027</v>
      </c>
    </row>
    <row r="370" spans="1:20">
      <c r="A370" s="50">
        <v>93641</v>
      </c>
      <c r="B370" s="51" t="s">
        <v>1072</v>
      </c>
      <c r="C370" s="239">
        <v>3.724E-4</v>
      </c>
      <c r="D370" s="239">
        <v>4.0450000000000002E-4</v>
      </c>
      <c r="E370" s="206">
        <v>883460</v>
      </c>
      <c r="F370" s="206" t="s">
        <v>1930</v>
      </c>
      <c r="G370" s="237">
        <v>136297</v>
      </c>
      <c r="H370" s="225">
        <v>121273</v>
      </c>
      <c r="I370" s="237">
        <v>234436</v>
      </c>
      <c r="J370" s="236">
        <v>6510</v>
      </c>
      <c r="K370" s="93">
        <f t="shared" si="17"/>
        <v>498516</v>
      </c>
      <c r="L370" s="52"/>
      <c r="M370" s="237">
        <v>4573</v>
      </c>
      <c r="N370" s="237">
        <v>0</v>
      </c>
      <c r="O370" s="236">
        <v>10470</v>
      </c>
      <c r="P370" s="93">
        <f t="shared" si="18"/>
        <v>15043</v>
      </c>
      <c r="Q370" s="52"/>
      <c r="R370" s="237">
        <v>245402</v>
      </c>
      <c r="S370" s="236">
        <v>4214</v>
      </c>
      <c r="T370" s="238">
        <v>249616</v>
      </c>
    </row>
    <row r="371" spans="1:20">
      <c r="A371" s="50">
        <v>93647</v>
      </c>
      <c r="B371" s="51" t="s">
        <v>1073</v>
      </c>
      <c r="C371" s="239">
        <v>6.1E-6</v>
      </c>
      <c r="D371" s="239">
        <v>6.0000000000000002E-6</v>
      </c>
      <c r="E371" s="206">
        <v>14471</v>
      </c>
      <c r="F371" s="206" t="s">
        <v>1930</v>
      </c>
      <c r="G371" s="237">
        <v>2233</v>
      </c>
      <c r="H371" s="225">
        <v>1987</v>
      </c>
      <c r="I371" s="237">
        <v>3840</v>
      </c>
      <c r="J371" s="236">
        <v>12946</v>
      </c>
      <c r="K371" s="93">
        <f t="shared" si="17"/>
        <v>21006</v>
      </c>
      <c r="L371" s="52"/>
      <c r="M371" s="237">
        <v>75</v>
      </c>
      <c r="N371" s="237">
        <v>0</v>
      </c>
      <c r="O371" s="236">
        <v>0</v>
      </c>
      <c r="P371" s="93">
        <f t="shared" si="18"/>
        <v>75</v>
      </c>
      <c r="Q371" s="52"/>
      <c r="R371" s="237">
        <v>4020</v>
      </c>
      <c r="S371" s="236">
        <v>6024</v>
      </c>
      <c r="T371" s="238">
        <v>10044</v>
      </c>
    </row>
    <row r="372" spans="1:20">
      <c r="A372" s="50">
        <v>93651</v>
      </c>
      <c r="B372" s="51" t="s">
        <v>2270</v>
      </c>
      <c r="C372" s="239">
        <v>4.507E-4</v>
      </c>
      <c r="D372" s="239">
        <v>4.3800000000000002E-4</v>
      </c>
      <c r="E372" s="206">
        <v>1069215</v>
      </c>
      <c r="F372" s="206" t="s">
        <v>1930</v>
      </c>
      <c r="G372" s="237">
        <v>164954</v>
      </c>
      <c r="H372" s="225">
        <v>146771</v>
      </c>
      <c r="I372" s="237">
        <v>283728</v>
      </c>
      <c r="J372" s="236">
        <v>2626</v>
      </c>
      <c r="K372" s="93">
        <f t="shared" si="17"/>
        <v>598079</v>
      </c>
      <c r="L372" s="52"/>
      <c r="M372" s="237">
        <v>5535</v>
      </c>
      <c r="N372" s="237">
        <v>0</v>
      </c>
      <c r="O372" s="236">
        <v>13366</v>
      </c>
      <c r="P372" s="93">
        <f t="shared" si="18"/>
        <v>18901</v>
      </c>
      <c r="Q372" s="52"/>
      <c r="R372" s="237">
        <v>296999</v>
      </c>
      <c r="S372" s="236">
        <v>-2560</v>
      </c>
      <c r="T372" s="238">
        <v>294439</v>
      </c>
    </row>
    <row r="373" spans="1:20">
      <c r="A373" s="50">
        <v>93661</v>
      </c>
      <c r="B373" s="51" t="s">
        <v>1075</v>
      </c>
      <c r="C373" s="239">
        <v>1.4449999999999999E-4</v>
      </c>
      <c r="D373" s="239">
        <v>1.3410000000000001E-4</v>
      </c>
      <c r="E373" s="206">
        <v>342803</v>
      </c>
      <c r="F373" s="206" t="s">
        <v>1930</v>
      </c>
      <c r="G373" s="237">
        <v>52886</v>
      </c>
      <c r="H373" s="225">
        <v>47056</v>
      </c>
      <c r="I373" s="237">
        <v>90967</v>
      </c>
      <c r="J373" s="236">
        <v>11364</v>
      </c>
      <c r="K373" s="93">
        <f t="shared" si="17"/>
        <v>202273</v>
      </c>
      <c r="L373" s="52"/>
      <c r="M373" s="237">
        <v>1775</v>
      </c>
      <c r="N373" s="237">
        <v>0</v>
      </c>
      <c r="O373" s="236">
        <v>0</v>
      </c>
      <c r="P373" s="93">
        <f t="shared" si="18"/>
        <v>1775</v>
      </c>
      <c r="Q373" s="52"/>
      <c r="R373" s="237">
        <v>95222</v>
      </c>
      <c r="S373" s="236">
        <v>5935</v>
      </c>
      <c r="T373" s="238">
        <v>101157</v>
      </c>
    </row>
    <row r="374" spans="1:20">
      <c r="A374" s="50">
        <v>93671</v>
      </c>
      <c r="B374" s="51" t="s">
        <v>1076</v>
      </c>
      <c r="C374" s="239">
        <v>3.3950000000000001E-4</v>
      </c>
      <c r="D374" s="239">
        <v>3.5530000000000002E-4</v>
      </c>
      <c r="E374" s="206">
        <v>805410</v>
      </c>
      <c r="F374" s="206" t="s">
        <v>1930</v>
      </c>
      <c r="G374" s="237">
        <v>124256</v>
      </c>
      <c r="H374" s="225">
        <v>110559</v>
      </c>
      <c r="I374" s="237">
        <v>213725</v>
      </c>
      <c r="J374" s="236">
        <v>15579</v>
      </c>
      <c r="K374" s="93">
        <f t="shared" si="17"/>
        <v>464119</v>
      </c>
      <c r="L374" s="52"/>
      <c r="M374" s="237">
        <v>4169</v>
      </c>
      <c r="N374" s="237">
        <v>0</v>
      </c>
      <c r="O374" s="236">
        <v>2038</v>
      </c>
      <c r="P374" s="93">
        <f t="shared" si="18"/>
        <v>6207</v>
      </c>
      <c r="Q374" s="52"/>
      <c r="R374" s="237">
        <v>223721</v>
      </c>
      <c r="S374" s="236">
        <v>29805</v>
      </c>
      <c r="T374" s="238">
        <v>253526</v>
      </c>
    </row>
    <row r="375" spans="1:20">
      <c r="A375" s="50">
        <v>93677</v>
      </c>
      <c r="B375" s="51" t="s">
        <v>98</v>
      </c>
      <c r="C375" s="239">
        <v>0</v>
      </c>
      <c r="D375" s="239">
        <v>0</v>
      </c>
      <c r="E375" s="206">
        <v>0</v>
      </c>
      <c r="F375" s="206" t="s">
        <v>1930</v>
      </c>
      <c r="G375" s="237">
        <v>0</v>
      </c>
      <c r="H375" s="225">
        <v>0</v>
      </c>
      <c r="I375" s="237">
        <v>0</v>
      </c>
      <c r="J375" s="236">
        <v>0</v>
      </c>
      <c r="K375" s="93">
        <f t="shared" si="17"/>
        <v>0</v>
      </c>
      <c r="L375" s="52"/>
      <c r="M375" s="237">
        <v>0</v>
      </c>
      <c r="N375" s="237">
        <v>0</v>
      </c>
      <c r="O375" s="236">
        <v>0</v>
      </c>
      <c r="P375" s="93">
        <f t="shared" si="18"/>
        <v>0</v>
      </c>
      <c r="Q375" s="52"/>
      <c r="R375" s="237">
        <v>0</v>
      </c>
      <c r="S375" s="236">
        <v>-718</v>
      </c>
      <c r="T375" s="238">
        <v>-718</v>
      </c>
    </row>
    <row r="376" spans="1:20">
      <c r="A376" s="50">
        <v>93681</v>
      </c>
      <c r="B376" s="51" t="s">
        <v>2271</v>
      </c>
      <c r="C376" s="239">
        <v>1.211E-4</v>
      </c>
      <c r="D376" s="239">
        <v>1.1179999999999999E-4</v>
      </c>
      <c r="E376" s="206">
        <v>287291</v>
      </c>
      <c r="F376" s="206" t="s">
        <v>1930</v>
      </c>
      <c r="G376" s="237">
        <v>44322</v>
      </c>
      <c r="H376" s="225">
        <v>39436</v>
      </c>
      <c r="I376" s="237">
        <v>76236</v>
      </c>
      <c r="J376" s="236">
        <v>6600</v>
      </c>
      <c r="K376" s="93">
        <f t="shared" si="17"/>
        <v>166594</v>
      </c>
      <c r="L376" s="52"/>
      <c r="M376" s="237">
        <v>1487</v>
      </c>
      <c r="N376" s="237">
        <v>0</v>
      </c>
      <c r="O376" s="236">
        <v>6023</v>
      </c>
      <c r="P376" s="93">
        <f t="shared" si="18"/>
        <v>7510</v>
      </c>
      <c r="Q376" s="52"/>
      <c r="R376" s="237">
        <v>79802</v>
      </c>
      <c r="S376" s="236">
        <v>-4842</v>
      </c>
      <c r="T376" s="238">
        <v>74960</v>
      </c>
    </row>
    <row r="377" spans="1:20">
      <c r="A377" s="50">
        <v>93691</v>
      </c>
      <c r="B377" s="51" t="s">
        <v>1078</v>
      </c>
      <c r="C377" s="239">
        <v>1.0357999999999999E-3</v>
      </c>
      <c r="D377" s="239">
        <v>1.0858E-3</v>
      </c>
      <c r="E377" s="206">
        <v>2457272</v>
      </c>
      <c r="F377" s="206" t="s">
        <v>1930</v>
      </c>
      <c r="G377" s="237">
        <v>379099</v>
      </c>
      <c r="H377" s="225">
        <v>337310</v>
      </c>
      <c r="I377" s="237">
        <v>652065</v>
      </c>
      <c r="J377" s="236">
        <v>0</v>
      </c>
      <c r="K377" s="93">
        <f t="shared" si="17"/>
        <v>1368474</v>
      </c>
      <c r="L377" s="52"/>
      <c r="M377" s="237">
        <v>12721</v>
      </c>
      <c r="N377" s="237">
        <v>0</v>
      </c>
      <c r="O377" s="236">
        <v>115243</v>
      </c>
      <c r="P377" s="93">
        <f t="shared" si="18"/>
        <v>127964</v>
      </c>
      <c r="Q377" s="52"/>
      <c r="R377" s="237">
        <v>682564</v>
      </c>
      <c r="S377" s="236">
        <v>-52906</v>
      </c>
      <c r="T377" s="238">
        <v>629658</v>
      </c>
    </row>
    <row r="378" spans="1:20">
      <c r="A378" s="50">
        <v>93701</v>
      </c>
      <c r="B378" s="51" t="s">
        <v>1079</v>
      </c>
      <c r="C378" s="239">
        <v>4.6779999999999999E-4</v>
      </c>
      <c r="D378" s="239">
        <v>4.5800000000000002E-4</v>
      </c>
      <c r="E378" s="206">
        <v>1109782</v>
      </c>
      <c r="F378" s="206" t="s">
        <v>1930</v>
      </c>
      <c r="G378" s="237">
        <v>171213</v>
      </c>
      <c r="H378" s="225">
        <v>152340</v>
      </c>
      <c r="I378" s="237">
        <v>294493</v>
      </c>
      <c r="J378" s="236">
        <v>2163</v>
      </c>
      <c r="K378" s="93">
        <f t="shared" si="17"/>
        <v>620209</v>
      </c>
      <c r="L378" s="52"/>
      <c r="M378" s="237">
        <v>5745</v>
      </c>
      <c r="N378" s="237">
        <v>0</v>
      </c>
      <c r="O378" s="236">
        <v>13331</v>
      </c>
      <c r="P378" s="93">
        <f t="shared" si="18"/>
        <v>19076</v>
      </c>
      <c r="Q378" s="52"/>
      <c r="R378" s="237">
        <v>308268</v>
      </c>
      <c r="S378" s="236">
        <v>304</v>
      </c>
      <c r="T378" s="238">
        <v>308572</v>
      </c>
    </row>
    <row r="379" spans="1:20">
      <c r="A379" s="50">
        <v>93704</v>
      </c>
      <c r="B379" s="51" t="s">
        <v>1080</v>
      </c>
      <c r="C379" s="239">
        <v>2.7E-6</v>
      </c>
      <c r="D379" s="239">
        <v>3.0000000000000001E-6</v>
      </c>
      <c r="E379" s="206">
        <v>6405</v>
      </c>
      <c r="F379" s="206" t="s">
        <v>1930</v>
      </c>
      <c r="G379" s="237">
        <v>988</v>
      </c>
      <c r="H379" s="225">
        <v>879</v>
      </c>
      <c r="I379" s="237">
        <v>1700</v>
      </c>
      <c r="J379" s="236">
        <v>747</v>
      </c>
      <c r="K379" s="93">
        <f t="shared" si="17"/>
        <v>4314</v>
      </c>
      <c r="L379" s="52"/>
      <c r="M379" s="237">
        <v>33</v>
      </c>
      <c r="N379" s="237">
        <v>0</v>
      </c>
      <c r="O379" s="236">
        <v>0</v>
      </c>
      <c r="P379" s="93">
        <f t="shared" si="18"/>
        <v>33</v>
      </c>
      <c r="Q379" s="52"/>
      <c r="R379" s="237">
        <v>1779</v>
      </c>
      <c r="S379" s="236">
        <v>224</v>
      </c>
      <c r="T379" s="238">
        <v>2003</v>
      </c>
    </row>
    <row r="380" spans="1:20">
      <c r="A380" s="50">
        <v>93801</v>
      </c>
      <c r="B380" s="51" t="s">
        <v>1081</v>
      </c>
      <c r="C380" s="239">
        <v>4.3570000000000002E-4</v>
      </c>
      <c r="D380" s="239">
        <v>4.7889999999999999E-4</v>
      </c>
      <c r="E380" s="206">
        <v>1033629</v>
      </c>
      <c r="F380" s="206" t="s">
        <v>1930</v>
      </c>
      <c r="G380" s="237">
        <v>159464</v>
      </c>
      <c r="H380" s="225">
        <v>141886</v>
      </c>
      <c r="I380" s="237">
        <v>274285</v>
      </c>
      <c r="J380" s="236">
        <v>70779</v>
      </c>
      <c r="K380" s="93">
        <f t="shared" si="17"/>
        <v>646414</v>
      </c>
      <c r="L380" s="52"/>
      <c r="M380" s="237">
        <v>5351</v>
      </c>
      <c r="N380" s="237">
        <v>0</v>
      </c>
      <c r="O380" s="236">
        <v>76863</v>
      </c>
      <c r="P380" s="93">
        <f t="shared" si="18"/>
        <v>82214</v>
      </c>
      <c r="Q380" s="52"/>
      <c r="R380" s="237">
        <v>287115</v>
      </c>
      <c r="S380" s="236">
        <v>18841</v>
      </c>
      <c r="T380" s="238">
        <v>305956</v>
      </c>
    </row>
    <row r="381" spans="1:20">
      <c r="A381" s="50">
        <v>93803</v>
      </c>
      <c r="B381" s="51" t="s">
        <v>1082</v>
      </c>
      <c r="C381" s="239">
        <v>1.122E-4</v>
      </c>
      <c r="D381" s="239">
        <v>1.1900000000000001E-4</v>
      </c>
      <c r="E381" s="206">
        <v>266177</v>
      </c>
      <c r="F381" s="206" t="s">
        <v>1930</v>
      </c>
      <c r="G381" s="237">
        <v>41065</v>
      </c>
      <c r="H381" s="225">
        <v>36538</v>
      </c>
      <c r="I381" s="237">
        <v>70633</v>
      </c>
      <c r="J381" s="236">
        <v>0</v>
      </c>
      <c r="K381" s="93">
        <f t="shared" si="17"/>
        <v>148236</v>
      </c>
      <c r="L381" s="52"/>
      <c r="M381" s="237">
        <v>1378</v>
      </c>
      <c r="N381" s="237">
        <v>0</v>
      </c>
      <c r="O381" s="236">
        <v>35149</v>
      </c>
      <c r="P381" s="93">
        <f t="shared" si="18"/>
        <v>36527</v>
      </c>
      <c r="Q381" s="52"/>
      <c r="R381" s="237">
        <v>73937</v>
      </c>
      <c r="S381" s="236">
        <v>-19959</v>
      </c>
      <c r="T381" s="238">
        <v>53978</v>
      </c>
    </row>
    <row r="382" spans="1:20">
      <c r="A382" s="50">
        <v>93806</v>
      </c>
      <c r="B382" s="51" t="s">
        <v>1083</v>
      </c>
      <c r="C382" s="239">
        <v>7.6100000000000007E-5</v>
      </c>
      <c r="D382" s="239">
        <v>9.3900000000000006E-5</v>
      </c>
      <c r="E382" s="206">
        <v>180535</v>
      </c>
      <c r="F382" s="206" t="s">
        <v>1930</v>
      </c>
      <c r="G382" s="237">
        <v>27852</v>
      </c>
      <c r="H382" s="225">
        <v>24782</v>
      </c>
      <c r="I382" s="237">
        <v>47907</v>
      </c>
      <c r="J382" s="236">
        <v>9616</v>
      </c>
      <c r="K382" s="93">
        <f t="shared" si="17"/>
        <v>110157</v>
      </c>
      <c r="L382" s="52"/>
      <c r="M382" s="237">
        <v>935</v>
      </c>
      <c r="N382" s="237">
        <v>0</v>
      </c>
      <c r="O382" s="236">
        <v>8835</v>
      </c>
      <c r="P382" s="93">
        <f t="shared" si="18"/>
        <v>9770</v>
      </c>
      <c r="Q382" s="52"/>
      <c r="R382" s="237">
        <v>50148</v>
      </c>
      <c r="S382" s="236">
        <v>-8146</v>
      </c>
      <c r="T382" s="238">
        <v>42002</v>
      </c>
    </row>
    <row r="383" spans="1:20">
      <c r="A383" s="50">
        <v>93821</v>
      </c>
      <c r="B383" s="51" t="s">
        <v>2272</v>
      </c>
      <c r="C383" s="239">
        <v>5.6799999999999998E-5</v>
      </c>
      <c r="D383" s="239">
        <v>2.9899999999999998E-5</v>
      </c>
      <c r="E383" s="206">
        <v>134749</v>
      </c>
      <c r="F383" s="206" t="s">
        <v>1930</v>
      </c>
      <c r="G383" s="237">
        <v>20789</v>
      </c>
      <c r="H383" s="225">
        <v>18497</v>
      </c>
      <c r="I383" s="237">
        <v>35757</v>
      </c>
      <c r="J383" s="236">
        <v>51463</v>
      </c>
      <c r="K383" s="93">
        <f t="shared" si="17"/>
        <v>126506</v>
      </c>
      <c r="L383" s="52"/>
      <c r="M383" s="237">
        <v>698</v>
      </c>
      <c r="N383" s="237">
        <v>0</v>
      </c>
      <c r="O383" s="236">
        <v>258</v>
      </c>
      <c r="P383" s="93">
        <f t="shared" si="18"/>
        <v>956</v>
      </c>
      <c r="Q383" s="52"/>
      <c r="R383" s="237">
        <v>37430</v>
      </c>
      <c r="S383" s="236">
        <v>17809</v>
      </c>
      <c r="T383" s="238">
        <v>55239</v>
      </c>
    </row>
    <row r="384" spans="1:20">
      <c r="A384" s="50">
        <v>93901</v>
      </c>
      <c r="B384" s="51" t="s">
        <v>1085</v>
      </c>
      <c r="C384" s="239">
        <v>1.7718E-3</v>
      </c>
      <c r="D384" s="239">
        <v>1.7974E-3</v>
      </c>
      <c r="E384" s="206">
        <v>4203316</v>
      </c>
      <c r="F384" s="206" t="s">
        <v>1930</v>
      </c>
      <c r="G384" s="237">
        <v>648472</v>
      </c>
      <c r="H384" s="225">
        <v>576990</v>
      </c>
      <c r="I384" s="237">
        <v>1115398</v>
      </c>
      <c r="J384" s="236">
        <v>112021</v>
      </c>
      <c r="K384" s="93">
        <f t="shared" si="17"/>
        <v>2452881</v>
      </c>
      <c r="L384" s="52"/>
      <c r="M384" s="237">
        <v>21759</v>
      </c>
      <c r="N384" s="237">
        <v>0</v>
      </c>
      <c r="O384" s="236">
        <v>0</v>
      </c>
      <c r="P384" s="93">
        <f t="shared" si="18"/>
        <v>21759</v>
      </c>
      <c r="Q384" s="52"/>
      <c r="R384" s="237">
        <v>1167568</v>
      </c>
      <c r="S384" s="236">
        <v>46506</v>
      </c>
      <c r="T384" s="238">
        <v>1214074</v>
      </c>
    </row>
    <row r="385" spans="1:20">
      <c r="A385" s="50">
        <v>93904</v>
      </c>
      <c r="B385" s="51" t="s">
        <v>1086</v>
      </c>
      <c r="C385" s="239">
        <v>3.3099999999999998E-5</v>
      </c>
      <c r="D385" s="239">
        <v>3.0000000000000001E-5</v>
      </c>
      <c r="E385" s="206">
        <v>78525</v>
      </c>
      <c r="F385" s="206" t="s">
        <v>1930</v>
      </c>
      <c r="G385" s="237">
        <v>12114</v>
      </c>
      <c r="H385" s="225">
        <v>10779</v>
      </c>
      <c r="I385" s="237">
        <v>20837</v>
      </c>
      <c r="J385" s="236">
        <v>12315</v>
      </c>
      <c r="K385" s="93">
        <f t="shared" si="17"/>
        <v>56045</v>
      </c>
      <c r="L385" s="52"/>
      <c r="M385" s="237">
        <v>407</v>
      </c>
      <c r="N385" s="237">
        <v>0</v>
      </c>
      <c r="O385" s="236">
        <v>0</v>
      </c>
      <c r="P385" s="93">
        <f t="shared" si="18"/>
        <v>407</v>
      </c>
      <c r="Q385" s="52"/>
      <c r="R385" s="237">
        <v>21812</v>
      </c>
      <c r="S385" s="236">
        <v>4588</v>
      </c>
      <c r="T385" s="238">
        <v>26400</v>
      </c>
    </row>
    <row r="386" spans="1:20">
      <c r="A386" s="50">
        <v>93906</v>
      </c>
      <c r="B386" s="51" t="s">
        <v>1087</v>
      </c>
      <c r="C386" s="239">
        <v>3.1683000000000002E-3</v>
      </c>
      <c r="D386" s="239">
        <v>3.3882000000000001E-3</v>
      </c>
      <c r="E386" s="206">
        <v>7516291</v>
      </c>
      <c r="F386" s="206" t="s">
        <v>1930</v>
      </c>
      <c r="G386" s="237">
        <v>1159585</v>
      </c>
      <c r="H386" s="225">
        <v>1031763</v>
      </c>
      <c r="I386" s="237">
        <v>1994534</v>
      </c>
      <c r="J386" s="236">
        <v>0</v>
      </c>
      <c r="K386" s="93">
        <f t="shared" si="17"/>
        <v>4185882</v>
      </c>
      <c r="L386" s="52"/>
      <c r="M386" s="237">
        <v>38910</v>
      </c>
      <c r="N386" s="237">
        <v>0</v>
      </c>
      <c r="O386" s="236">
        <v>309182</v>
      </c>
      <c r="P386" s="93">
        <f t="shared" si="18"/>
        <v>348092</v>
      </c>
      <c r="Q386" s="52"/>
      <c r="R386" s="237">
        <v>2087824</v>
      </c>
      <c r="S386" s="236">
        <v>-113805</v>
      </c>
      <c r="T386" s="238">
        <v>1974019</v>
      </c>
    </row>
    <row r="387" spans="1:20">
      <c r="A387" s="50">
        <v>93908</v>
      </c>
      <c r="B387" s="51" t="s">
        <v>1088</v>
      </c>
      <c r="C387" s="239">
        <v>4.6920000000000002E-4</v>
      </c>
      <c r="D387" s="239">
        <v>5.1219999999999998E-4</v>
      </c>
      <c r="E387" s="206">
        <v>1113103</v>
      </c>
      <c r="F387" s="206" t="s">
        <v>1930</v>
      </c>
      <c r="G387" s="237">
        <v>171725</v>
      </c>
      <c r="H387" s="225">
        <v>152796</v>
      </c>
      <c r="I387" s="237">
        <v>295375</v>
      </c>
      <c r="J387" s="236">
        <v>6110</v>
      </c>
      <c r="K387" s="93">
        <f t="shared" si="17"/>
        <v>626006</v>
      </c>
      <c r="L387" s="52"/>
      <c r="M387" s="237">
        <v>5762</v>
      </c>
      <c r="N387" s="237">
        <v>0</v>
      </c>
      <c r="O387" s="236">
        <v>27396</v>
      </c>
      <c r="P387" s="93">
        <f t="shared" si="18"/>
        <v>33158</v>
      </c>
      <c r="Q387" s="52"/>
      <c r="R387" s="237">
        <v>309190</v>
      </c>
      <c r="S387" s="236">
        <v>-7217</v>
      </c>
      <c r="T387" s="238">
        <v>301973</v>
      </c>
    </row>
    <row r="388" spans="1:20">
      <c r="A388" s="50">
        <v>93910</v>
      </c>
      <c r="B388" s="51" t="s">
        <v>1089</v>
      </c>
      <c r="C388" s="239">
        <v>2.5769999999999998E-4</v>
      </c>
      <c r="D388" s="239">
        <v>2.786E-4</v>
      </c>
      <c r="E388" s="206">
        <v>611353</v>
      </c>
      <c r="F388" s="206" t="s">
        <v>1930</v>
      </c>
      <c r="G388" s="237">
        <v>94317</v>
      </c>
      <c r="H388" s="225">
        <v>83921</v>
      </c>
      <c r="I388" s="237">
        <v>162229</v>
      </c>
      <c r="J388" s="236">
        <v>0</v>
      </c>
      <c r="K388" s="93">
        <f t="shared" si="17"/>
        <v>340467</v>
      </c>
      <c r="L388" s="52"/>
      <c r="M388" s="237">
        <v>3165</v>
      </c>
      <c r="N388" s="237">
        <v>0</v>
      </c>
      <c r="O388" s="236">
        <v>35418</v>
      </c>
      <c r="P388" s="93">
        <f t="shared" si="18"/>
        <v>38583</v>
      </c>
      <c r="Q388" s="52"/>
      <c r="R388" s="237">
        <v>169817</v>
      </c>
      <c r="S388" s="236">
        <v>-18432</v>
      </c>
      <c r="T388" s="238">
        <v>151385</v>
      </c>
    </row>
    <row r="389" spans="1:20">
      <c r="A389" s="50">
        <v>93911</v>
      </c>
      <c r="B389" s="51" t="s">
        <v>1090</v>
      </c>
      <c r="C389" s="239">
        <v>6.5010000000000003E-4</v>
      </c>
      <c r="D389" s="239">
        <v>6.3429999999999997E-4</v>
      </c>
      <c r="E389" s="206">
        <v>1542260</v>
      </c>
      <c r="F389" s="206" t="s">
        <v>1930</v>
      </c>
      <c r="G389" s="237">
        <v>237934</v>
      </c>
      <c r="H389" s="225">
        <v>211706</v>
      </c>
      <c r="I389" s="237">
        <v>409256</v>
      </c>
      <c r="J389" s="236">
        <v>18849</v>
      </c>
      <c r="K389" s="93">
        <f t="shared" si="17"/>
        <v>877745</v>
      </c>
      <c r="L389" s="52"/>
      <c r="M389" s="237">
        <v>7984</v>
      </c>
      <c r="N389" s="237">
        <v>0</v>
      </c>
      <c r="O389" s="236">
        <v>38804</v>
      </c>
      <c r="P389" s="93">
        <f t="shared" si="18"/>
        <v>46788</v>
      </c>
      <c r="Q389" s="52"/>
      <c r="R389" s="237">
        <v>428398</v>
      </c>
      <c r="S389" s="236">
        <v>-3385</v>
      </c>
      <c r="T389" s="238">
        <v>425013</v>
      </c>
    </row>
    <row r="390" spans="1:20">
      <c r="A390" s="50">
        <v>93913</v>
      </c>
      <c r="B390" s="51" t="s">
        <v>1091</v>
      </c>
      <c r="C390" s="239">
        <v>5.8799999999999999E-5</v>
      </c>
      <c r="D390" s="239">
        <v>5.8799999999999999E-5</v>
      </c>
      <c r="E390" s="206">
        <v>139494</v>
      </c>
      <c r="F390" s="206" t="s">
        <v>1930</v>
      </c>
      <c r="G390" s="237">
        <v>21521</v>
      </c>
      <c r="H390" s="225">
        <v>19148</v>
      </c>
      <c r="I390" s="237">
        <v>37016</v>
      </c>
      <c r="J390" s="236">
        <v>4809</v>
      </c>
      <c r="K390" s="93">
        <f t="shared" si="17"/>
        <v>82494</v>
      </c>
      <c r="L390" s="52"/>
      <c r="M390" s="237">
        <v>722</v>
      </c>
      <c r="N390" s="237">
        <v>0</v>
      </c>
      <c r="O390" s="236">
        <v>526</v>
      </c>
      <c r="P390" s="93">
        <f t="shared" si="18"/>
        <v>1248</v>
      </c>
      <c r="Q390" s="52"/>
      <c r="R390" s="237">
        <v>38748</v>
      </c>
      <c r="S390" s="236">
        <v>1207</v>
      </c>
      <c r="T390" s="238">
        <v>39955</v>
      </c>
    </row>
    <row r="391" spans="1:20">
      <c r="A391" s="50">
        <v>93914</v>
      </c>
      <c r="B391" s="51" t="s">
        <v>2273</v>
      </c>
      <c r="C391" s="239">
        <v>7.1999999999999997E-6</v>
      </c>
      <c r="D391" s="239">
        <v>8.1000000000000004E-6</v>
      </c>
      <c r="E391" s="206">
        <v>17081</v>
      </c>
      <c r="F391" s="206" t="s">
        <v>1930</v>
      </c>
      <c r="G391" s="237">
        <v>2635</v>
      </c>
      <c r="H391" s="225">
        <v>2345</v>
      </c>
      <c r="I391" s="237">
        <v>4533</v>
      </c>
      <c r="J391" s="236">
        <v>4000</v>
      </c>
      <c r="K391" s="93">
        <f t="shared" si="17"/>
        <v>13513</v>
      </c>
      <c r="L391" s="52"/>
      <c r="M391" s="237">
        <v>88</v>
      </c>
      <c r="N391" s="237">
        <v>0</v>
      </c>
      <c r="O391" s="236">
        <v>0</v>
      </c>
      <c r="P391" s="93">
        <f t="shared" si="18"/>
        <v>88</v>
      </c>
      <c r="Q391" s="52"/>
      <c r="R391" s="237">
        <v>4745</v>
      </c>
      <c r="S391" s="236">
        <v>2002</v>
      </c>
      <c r="T391" s="238">
        <v>6747</v>
      </c>
    </row>
    <row r="392" spans="1:20">
      <c r="A392" s="50">
        <v>93921</v>
      </c>
      <c r="B392" s="51" t="s">
        <v>1093</v>
      </c>
      <c r="C392" s="239">
        <v>2.8259999999999998E-4</v>
      </c>
      <c r="D392" s="239">
        <v>2.9020000000000001E-4</v>
      </c>
      <c r="E392" s="206">
        <v>670424</v>
      </c>
      <c r="F392" s="206" t="s">
        <v>1930</v>
      </c>
      <c r="G392" s="237">
        <v>103430</v>
      </c>
      <c r="H392" s="225">
        <v>92030</v>
      </c>
      <c r="I392" s="237">
        <v>177905</v>
      </c>
      <c r="J392" s="236">
        <v>8166</v>
      </c>
      <c r="K392" s="93">
        <f t="shared" si="17"/>
        <v>381531</v>
      </c>
      <c r="L392" s="52"/>
      <c r="M392" s="237">
        <v>3471</v>
      </c>
      <c r="N392" s="237">
        <v>0</v>
      </c>
      <c r="O392" s="236">
        <v>9312</v>
      </c>
      <c r="P392" s="93">
        <f t="shared" si="18"/>
        <v>12783</v>
      </c>
      <c r="Q392" s="52"/>
      <c r="R392" s="237">
        <v>186226</v>
      </c>
      <c r="S392" s="236">
        <v>4786</v>
      </c>
      <c r="T392" s="238">
        <v>191012</v>
      </c>
    </row>
    <row r="393" spans="1:20">
      <c r="A393" s="50">
        <v>93931</v>
      </c>
      <c r="B393" s="51" t="s">
        <v>2274</v>
      </c>
      <c r="C393" s="239">
        <v>5.4460000000000001E-4</v>
      </c>
      <c r="D393" s="239">
        <v>5.0029999999999996E-4</v>
      </c>
      <c r="E393" s="206">
        <v>1291977</v>
      </c>
      <c r="F393" s="206" t="s">
        <v>1930</v>
      </c>
      <c r="G393" s="237">
        <v>199321</v>
      </c>
      <c r="H393" s="225">
        <v>177350</v>
      </c>
      <c r="I393" s="237">
        <v>342841</v>
      </c>
      <c r="J393" s="236">
        <v>27595</v>
      </c>
      <c r="K393" s="93">
        <f t="shared" si="17"/>
        <v>747107</v>
      </c>
      <c r="L393" s="52"/>
      <c r="M393" s="237">
        <v>6688</v>
      </c>
      <c r="N393" s="237">
        <v>0</v>
      </c>
      <c r="O393" s="236">
        <v>28225</v>
      </c>
      <c r="P393" s="93">
        <f t="shared" si="18"/>
        <v>34913</v>
      </c>
      <c r="Q393" s="52"/>
      <c r="R393" s="237">
        <v>358877</v>
      </c>
      <c r="S393" s="236">
        <v>80772</v>
      </c>
      <c r="T393" s="238">
        <v>439649</v>
      </c>
    </row>
    <row r="394" spans="1:20">
      <c r="A394" s="50">
        <v>94001</v>
      </c>
      <c r="B394" s="51" t="s">
        <v>1095</v>
      </c>
      <c r="C394" s="239">
        <v>9.366E-4</v>
      </c>
      <c r="D394" s="239">
        <v>9.209E-4</v>
      </c>
      <c r="E394" s="206">
        <v>2221936</v>
      </c>
      <c r="F394" s="206" t="s">
        <v>1930</v>
      </c>
      <c r="G394" s="237">
        <v>342792</v>
      </c>
      <c r="H394" s="225">
        <v>305006</v>
      </c>
      <c r="I394" s="237">
        <v>589616</v>
      </c>
      <c r="J394" s="236">
        <v>45071</v>
      </c>
      <c r="K394" s="93">
        <f t="shared" si="17"/>
        <v>1282485</v>
      </c>
      <c r="L394" s="52"/>
      <c r="M394" s="237">
        <v>11502</v>
      </c>
      <c r="N394" s="237">
        <v>0</v>
      </c>
      <c r="O394" s="236">
        <v>944</v>
      </c>
      <c r="P394" s="93">
        <f t="shared" si="18"/>
        <v>12446</v>
      </c>
      <c r="Q394" s="52"/>
      <c r="R394" s="237">
        <v>617194</v>
      </c>
      <c r="S394" s="236">
        <v>-8755</v>
      </c>
      <c r="T394" s="238">
        <v>608439</v>
      </c>
    </row>
    <row r="395" spans="1:20">
      <c r="A395" s="50">
        <v>94002</v>
      </c>
      <c r="B395" s="51" t="s">
        <v>1096</v>
      </c>
      <c r="C395" s="239">
        <v>5.9000000000000003E-6</v>
      </c>
      <c r="D395" s="239">
        <v>7.0999999999999998E-6</v>
      </c>
      <c r="E395" s="206">
        <v>13997</v>
      </c>
      <c r="F395" s="206" t="s">
        <v>1930</v>
      </c>
      <c r="G395" s="237">
        <v>2159</v>
      </c>
      <c r="H395" s="225">
        <v>1921</v>
      </c>
      <c r="I395" s="237">
        <v>3714</v>
      </c>
      <c r="J395" s="236">
        <v>1637</v>
      </c>
      <c r="K395" s="93">
        <f t="shared" si="17"/>
        <v>9431</v>
      </c>
      <c r="L395" s="52"/>
      <c r="M395" s="237">
        <v>72</v>
      </c>
      <c r="N395" s="237">
        <v>0</v>
      </c>
      <c r="O395" s="236">
        <v>0</v>
      </c>
      <c r="P395" s="93">
        <f t="shared" si="18"/>
        <v>72</v>
      </c>
      <c r="Q395" s="52"/>
      <c r="R395" s="237">
        <v>3888</v>
      </c>
      <c r="S395" s="236">
        <v>404</v>
      </c>
      <c r="T395" s="238">
        <v>4292</v>
      </c>
    </row>
    <row r="396" spans="1:20">
      <c r="A396" s="50">
        <v>94004</v>
      </c>
      <c r="B396" s="51" t="s">
        <v>1097</v>
      </c>
      <c r="C396" s="239">
        <v>7.3000000000000004E-6</v>
      </c>
      <c r="D396" s="239">
        <v>7.3000000000000004E-6</v>
      </c>
      <c r="E396" s="206">
        <v>17318</v>
      </c>
      <c r="F396" s="206" t="s">
        <v>1930</v>
      </c>
      <c r="G396" s="237">
        <v>2672</v>
      </c>
      <c r="H396" s="225">
        <v>2377</v>
      </c>
      <c r="I396" s="237">
        <v>4596</v>
      </c>
      <c r="J396" s="236">
        <v>4289</v>
      </c>
      <c r="K396" s="93">
        <f t="shared" si="17"/>
        <v>13934</v>
      </c>
      <c r="L396" s="52"/>
      <c r="M396" s="237">
        <v>90</v>
      </c>
      <c r="N396" s="237">
        <v>0</v>
      </c>
      <c r="O396" s="236">
        <v>35</v>
      </c>
      <c r="P396" s="93">
        <f t="shared" si="18"/>
        <v>125</v>
      </c>
      <c r="Q396" s="52"/>
      <c r="R396" s="237">
        <v>4811</v>
      </c>
      <c r="S396" s="236">
        <v>918</v>
      </c>
      <c r="T396" s="238">
        <v>5729</v>
      </c>
    </row>
    <row r="397" spans="1:20">
      <c r="A397" s="50">
        <v>94005</v>
      </c>
      <c r="B397" s="51" t="s">
        <v>1098</v>
      </c>
      <c r="C397" s="239">
        <v>4.6999999999999999E-6</v>
      </c>
      <c r="D397" s="239">
        <v>0</v>
      </c>
      <c r="E397" s="206">
        <v>11150</v>
      </c>
      <c r="F397" s="206" t="s">
        <v>1930</v>
      </c>
      <c r="G397" s="237">
        <v>1720</v>
      </c>
      <c r="H397" s="225">
        <v>1531</v>
      </c>
      <c r="I397" s="237">
        <v>2959</v>
      </c>
      <c r="J397" s="236">
        <v>3483</v>
      </c>
      <c r="K397" s="93">
        <f t="shared" si="17"/>
        <v>9693</v>
      </c>
      <c r="L397" s="52"/>
      <c r="M397" s="237">
        <v>58</v>
      </c>
      <c r="N397" s="237">
        <v>0</v>
      </c>
      <c r="O397" s="236">
        <v>3881</v>
      </c>
      <c r="P397" s="93">
        <f t="shared" si="18"/>
        <v>3939</v>
      </c>
      <c r="Q397" s="52"/>
      <c r="R397" s="237">
        <v>3097</v>
      </c>
      <c r="S397" s="236">
        <v>-1112</v>
      </c>
      <c r="T397" s="238">
        <v>1985</v>
      </c>
    </row>
    <row r="398" spans="1:20">
      <c r="A398" s="50">
        <v>94011</v>
      </c>
      <c r="B398" s="51" t="s">
        <v>2275</v>
      </c>
      <c r="C398" s="239">
        <v>2.8399999999999999E-5</v>
      </c>
      <c r="D398" s="239">
        <v>2.3600000000000001E-5</v>
      </c>
      <c r="E398" s="207">
        <v>67375</v>
      </c>
      <c r="F398" s="207" t="s">
        <v>1930</v>
      </c>
      <c r="G398" s="237">
        <v>10394</v>
      </c>
      <c r="H398" s="225">
        <v>9249</v>
      </c>
      <c r="I398" s="237">
        <v>17879</v>
      </c>
      <c r="J398" s="236">
        <v>3892</v>
      </c>
      <c r="K398" s="93">
        <f t="shared" si="17"/>
        <v>41414</v>
      </c>
      <c r="L398" s="52"/>
      <c r="M398" s="237">
        <v>349</v>
      </c>
      <c r="N398" s="237">
        <v>0</v>
      </c>
      <c r="O398" s="236">
        <v>2020</v>
      </c>
      <c r="P398" s="93">
        <f t="shared" si="18"/>
        <v>2369</v>
      </c>
      <c r="Q398" s="52"/>
      <c r="R398" s="237">
        <v>18715</v>
      </c>
      <c r="S398" s="236">
        <v>438</v>
      </c>
      <c r="T398" s="238">
        <v>19153</v>
      </c>
    </row>
    <row r="399" spans="1:20">
      <c r="A399" s="50">
        <v>94021</v>
      </c>
      <c r="B399" s="51" t="s">
        <v>2276</v>
      </c>
      <c r="C399" s="239">
        <v>8.8800000000000004E-5</v>
      </c>
      <c r="D399" s="239">
        <v>9.3399999999999993E-5</v>
      </c>
      <c r="E399" s="207">
        <v>210664</v>
      </c>
      <c r="F399" s="207" t="s">
        <v>1930</v>
      </c>
      <c r="G399" s="237">
        <v>32500</v>
      </c>
      <c r="H399" s="225">
        <v>28917</v>
      </c>
      <c r="I399" s="237">
        <v>55902</v>
      </c>
      <c r="J399" s="236">
        <v>11919</v>
      </c>
      <c r="K399" s="93">
        <f t="shared" si="17"/>
        <v>129238</v>
      </c>
      <c r="L399" s="52"/>
      <c r="M399" s="237">
        <v>1091</v>
      </c>
      <c r="N399" s="237">
        <v>0</v>
      </c>
      <c r="O399" s="236">
        <v>0</v>
      </c>
      <c r="P399" s="93">
        <f t="shared" si="18"/>
        <v>1091</v>
      </c>
      <c r="Q399" s="52"/>
      <c r="R399" s="237">
        <v>58517</v>
      </c>
      <c r="S399" s="236">
        <v>8639</v>
      </c>
      <c r="T399" s="238">
        <v>67156</v>
      </c>
    </row>
    <row r="400" spans="1:20">
      <c r="A400" s="50">
        <v>94031</v>
      </c>
      <c r="B400" s="51" t="s">
        <v>2277</v>
      </c>
      <c r="C400" s="239">
        <v>4.8999999999999997E-6</v>
      </c>
      <c r="D400" s="239">
        <v>5.4E-6</v>
      </c>
      <c r="E400" s="207">
        <v>11624</v>
      </c>
      <c r="F400" s="207" t="s">
        <v>1930</v>
      </c>
      <c r="G400" s="237">
        <v>1793</v>
      </c>
      <c r="H400" s="225">
        <v>1596</v>
      </c>
      <c r="I400" s="237">
        <v>3085</v>
      </c>
      <c r="J400" s="236">
        <v>7753</v>
      </c>
      <c r="K400" s="93">
        <f t="shared" si="17"/>
        <v>14227</v>
      </c>
      <c r="L400" s="52"/>
      <c r="M400" s="237">
        <v>60</v>
      </c>
      <c r="N400" s="237">
        <v>0</v>
      </c>
      <c r="O400" s="236">
        <v>0</v>
      </c>
      <c r="P400" s="93">
        <f t="shared" si="18"/>
        <v>60</v>
      </c>
      <c r="Q400" s="52"/>
      <c r="R400" s="237">
        <v>3229</v>
      </c>
      <c r="S400" s="236">
        <v>3678</v>
      </c>
      <c r="T400" s="238">
        <v>6907</v>
      </c>
    </row>
    <row r="401" spans="1:20">
      <c r="A401" s="50">
        <v>94101</v>
      </c>
      <c r="B401" s="51" t="s">
        <v>1102</v>
      </c>
      <c r="C401" s="239">
        <v>1.8137199999999999E-2</v>
      </c>
      <c r="D401" s="239">
        <v>1.8321799999999999E-2</v>
      </c>
      <c r="E401" s="207">
        <v>43027641</v>
      </c>
      <c r="F401" s="207" t="s">
        <v>1930</v>
      </c>
      <c r="G401" s="237">
        <v>6638143</v>
      </c>
      <c r="H401" s="225">
        <v>5906416</v>
      </c>
      <c r="I401" s="237">
        <v>11417875</v>
      </c>
      <c r="J401" s="236">
        <v>156015</v>
      </c>
      <c r="K401" s="93">
        <f t="shared" si="17"/>
        <v>24118449</v>
      </c>
      <c r="L401" s="52"/>
      <c r="M401" s="237">
        <v>222743</v>
      </c>
      <c r="N401" s="237">
        <v>0</v>
      </c>
      <c r="O401" s="236">
        <v>304690</v>
      </c>
      <c r="P401" s="93">
        <f t="shared" si="18"/>
        <v>527433</v>
      </c>
      <c r="Q401" s="52"/>
      <c r="R401" s="237">
        <v>11951925</v>
      </c>
      <c r="S401" s="236">
        <v>-259645</v>
      </c>
      <c r="T401" s="238">
        <v>11692280</v>
      </c>
    </row>
    <row r="402" spans="1:20">
      <c r="A402" s="50">
        <v>94102</v>
      </c>
      <c r="B402" s="51" t="s">
        <v>1103</v>
      </c>
      <c r="C402" s="239">
        <v>2.8909999999999998E-4</v>
      </c>
      <c r="D402" s="239">
        <v>2.965E-4</v>
      </c>
      <c r="E402" s="207">
        <v>685844</v>
      </c>
      <c r="F402" s="207" t="s">
        <v>1930</v>
      </c>
      <c r="G402" s="237">
        <v>105809</v>
      </c>
      <c r="H402" s="225">
        <v>94146</v>
      </c>
      <c r="I402" s="237">
        <v>181997</v>
      </c>
      <c r="J402" s="236">
        <v>0</v>
      </c>
      <c r="K402" s="93">
        <f t="shared" ref="K402:K465" si="19">G402+H402+I402+J402</f>
        <v>381952</v>
      </c>
      <c r="L402" s="52"/>
      <c r="M402" s="237">
        <v>3550</v>
      </c>
      <c r="N402" s="237">
        <v>0</v>
      </c>
      <c r="O402" s="236">
        <v>53559</v>
      </c>
      <c r="P402" s="93">
        <f t="shared" ref="P402:P465" si="20">M402+N402+O402</f>
        <v>57109</v>
      </c>
      <c r="Q402" s="52"/>
      <c r="R402" s="237">
        <v>190509</v>
      </c>
      <c r="S402" s="236">
        <v>-18988</v>
      </c>
      <c r="T402" s="238">
        <v>171521</v>
      </c>
    </row>
    <row r="403" spans="1:20">
      <c r="A403" s="50">
        <v>94108</v>
      </c>
      <c r="B403" s="51" t="s">
        <v>1104</v>
      </c>
      <c r="C403" s="239">
        <v>3.8549999999999999E-4</v>
      </c>
      <c r="D403" s="239">
        <v>3.1389999999999999E-4</v>
      </c>
      <c r="E403" s="207">
        <v>914538</v>
      </c>
      <c r="F403" s="207" t="s">
        <v>1930</v>
      </c>
      <c r="G403" s="237">
        <v>141091</v>
      </c>
      <c r="H403" s="225">
        <v>125539</v>
      </c>
      <c r="I403" s="237">
        <v>242683</v>
      </c>
      <c r="J403" s="236">
        <v>13586</v>
      </c>
      <c r="K403" s="93">
        <f t="shared" si="19"/>
        <v>522899</v>
      </c>
      <c r="L403" s="52"/>
      <c r="M403" s="237">
        <v>4734</v>
      </c>
      <c r="N403" s="237">
        <v>0</v>
      </c>
      <c r="O403" s="236">
        <v>61281</v>
      </c>
      <c r="P403" s="93">
        <f t="shared" si="20"/>
        <v>66015</v>
      </c>
      <c r="Q403" s="52"/>
      <c r="R403" s="237">
        <v>254034</v>
      </c>
      <c r="S403" s="236">
        <v>-43929</v>
      </c>
      <c r="T403" s="238">
        <v>210105</v>
      </c>
    </row>
    <row r="404" spans="1:20">
      <c r="A404" s="50">
        <v>94109</v>
      </c>
      <c r="B404" s="51" t="s">
        <v>1105</v>
      </c>
      <c r="C404" s="239">
        <v>9.8200000000000002E-5</v>
      </c>
      <c r="D404" s="239">
        <v>9.09E-5</v>
      </c>
      <c r="E404" s="207">
        <v>232964</v>
      </c>
      <c r="F404" s="207" t="s">
        <v>1930</v>
      </c>
      <c r="G404" s="237">
        <v>35941</v>
      </c>
      <c r="H404" s="225">
        <v>31979</v>
      </c>
      <c r="I404" s="237">
        <v>61820</v>
      </c>
      <c r="J404" s="236">
        <v>0</v>
      </c>
      <c r="K404" s="93">
        <f t="shared" si="19"/>
        <v>129740</v>
      </c>
      <c r="L404" s="52"/>
      <c r="M404" s="237">
        <v>1206</v>
      </c>
      <c r="N404" s="237">
        <v>0</v>
      </c>
      <c r="O404" s="236">
        <v>33379</v>
      </c>
      <c r="P404" s="93">
        <f t="shared" si="20"/>
        <v>34585</v>
      </c>
      <c r="Q404" s="52"/>
      <c r="R404" s="237">
        <v>64711</v>
      </c>
      <c r="S404" s="236">
        <v>-14342</v>
      </c>
      <c r="T404" s="238">
        <v>50369</v>
      </c>
    </row>
    <row r="405" spans="1:20">
      <c r="A405" s="50">
        <v>94111</v>
      </c>
      <c r="B405" s="51" t="s">
        <v>1106</v>
      </c>
      <c r="C405" s="239">
        <v>2.4882899999999999E-2</v>
      </c>
      <c r="D405" s="239">
        <v>2.5682300000000002E-2</v>
      </c>
      <c r="E405" s="207">
        <v>59030749</v>
      </c>
      <c r="F405" s="207" t="s">
        <v>1930</v>
      </c>
      <c r="G405" s="237">
        <v>9107042</v>
      </c>
      <c r="H405" s="225">
        <v>8103166</v>
      </c>
      <c r="I405" s="237">
        <v>15664482</v>
      </c>
      <c r="J405" s="236">
        <v>0</v>
      </c>
      <c r="K405" s="93">
        <f t="shared" si="19"/>
        <v>32874690</v>
      </c>
      <c r="L405" s="52"/>
      <c r="M405" s="237">
        <v>305587</v>
      </c>
      <c r="N405" s="237">
        <v>0</v>
      </c>
      <c r="O405" s="236">
        <v>1628449</v>
      </c>
      <c r="P405" s="93">
        <f t="shared" si="20"/>
        <v>1934036</v>
      </c>
      <c r="Q405" s="52"/>
      <c r="R405" s="237">
        <v>16397159</v>
      </c>
      <c r="S405" s="236">
        <v>-691916</v>
      </c>
      <c r="T405" s="238">
        <v>15705243</v>
      </c>
    </row>
    <row r="406" spans="1:20">
      <c r="A406" s="50">
        <v>94112</v>
      </c>
      <c r="B406" s="51" t="s">
        <v>2762</v>
      </c>
      <c r="C406" s="239">
        <v>1.684E-4</v>
      </c>
      <c r="D406" s="239">
        <v>1.6699999999999999E-4</v>
      </c>
      <c r="E406" s="207">
        <v>399502</v>
      </c>
      <c r="F406" s="207" t="s">
        <v>1930</v>
      </c>
      <c r="G406" s="237">
        <v>61634</v>
      </c>
      <c r="H406" s="225">
        <v>54840</v>
      </c>
      <c r="I406" s="237">
        <v>106013</v>
      </c>
      <c r="J406" s="236">
        <v>0</v>
      </c>
      <c r="K406" s="93">
        <f t="shared" si="19"/>
        <v>222487</v>
      </c>
      <c r="L406" s="52"/>
      <c r="M406" s="237">
        <v>2068</v>
      </c>
      <c r="N406" s="237">
        <v>0</v>
      </c>
      <c r="O406" s="236">
        <v>14012</v>
      </c>
      <c r="P406" s="93">
        <f t="shared" si="20"/>
        <v>16080</v>
      </c>
      <c r="Q406" s="52"/>
      <c r="R406" s="237">
        <v>110971</v>
      </c>
      <c r="S406" s="236">
        <v>-9395</v>
      </c>
      <c r="T406" s="238">
        <v>101576</v>
      </c>
    </row>
    <row r="407" spans="1:20">
      <c r="A407" s="50">
        <v>94117</v>
      </c>
      <c r="B407" s="51" t="s">
        <v>1108</v>
      </c>
      <c r="C407" s="239">
        <v>3.5429999999999999E-4</v>
      </c>
      <c r="D407" s="239">
        <v>3.9809999999999997E-4</v>
      </c>
      <c r="E407" s="207">
        <v>840521</v>
      </c>
      <c r="F407" s="207" t="s">
        <v>1930</v>
      </c>
      <c r="G407" s="237">
        <v>129672</v>
      </c>
      <c r="H407" s="225">
        <v>115378</v>
      </c>
      <c r="I407" s="237">
        <v>223042</v>
      </c>
      <c r="J407" s="236">
        <v>3605</v>
      </c>
      <c r="K407" s="93">
        <f t="shared" si="19"/>
        <v>471697</v>
      </c>
      <c r="L407" s="52"/>
      <c r="M407" s="237">
        <v>4351</v>
      </c>
      <c r="N407" s="237">
        <v>0</v>
      </c>
      <c r="O407" s="236">
        <v>34793</v>
      </c>
      <c r="P407" s="93">
        <f t="shared" si="20"/>
        <v>39144</v>
      </c>
      <c r="Q407" s="52"/>
      <c r="R407" s="237">
        <v>233474</v>
      </c>
      <c r="S407" s="236">
        <v>-6033</v>
      </c>
      <c r="T407" s="238">
        <v>227441</v>
      </c>
    </row>
    <row r="408" spans="1:20">
      <c r="A408" s="50">
        <v>94118</v>
      </c>
      <c r="B408" s="51" t="s">
        <v>1109</v>
      </c>
      <c r="C408" s="239">
        <v>1.6009999999999999E-4</v>
      </c>
      <c r="D408" s="239">
        <v>1.494E-4</v>
      </c>
      <c r="E408" s="207">
        <v>379812</v>
      </c>
      <c r="F408" s="207" t="s">
        <v>1930</v>
      </c>
      <c r="G408" s="237">
        <v>58596</v>
      </c>
      <c r="H408" s="225">
        <v>52137</v>
      </c>
      <c r="I408" s="237">
        <v>100787</v>
      </c>
      <c r="J408" s="236">
        <v>0</v>
      </c>
      <c r="K408" s="93">
        <f t="shared" si="19"/>
        <v>211520</v>
      </c>
      <c r="L408" s="52"/>
      <c r="M408" s="237">
        <v>1966</v>
      </c>
      <c r="N408" s="237">
        <v>0</v>
      </c>
      <c r="O408" s="236">
        <v>35288</v>
      </c>
      <c r="P408" s="93">
        <f t="shared" si="20"/>
        <v>37254</v>
      </c>
      <c r="Q408" s="52"/>
      <c r="R408" s="237">
        <v>105502</v>
      </c>
      <c r="S408" s="236">
        <v>-25547</v>
      </c>
      <c r="T408" s="238">
        <v>79955</v>
      </c>
    </row>
    <row r="409" spans="1:20">
      <c r="A409" s="50">
        <v>94121</v>
      </c>
      <c r="B409" s="51" t="s">
        <v>1110</v>
      </c>
      <c r="C409" s="239">
        <v>1.1314299999999999E-2</v>
      </c>
      <c r="D409" s="239">
        <v>1.1246000000000001E-2</v>
      </c>
      <c r="E409" s="207">
        <v>26841389</v>
      </c>
      <c r="F409" s="207" t="s">
        <v>1930</v>
      </c>
      <c r="G409" s="237">
        <v>4140989</v>
      </c>
      <c r="H409" s="225">
        <v>3684524</v>
      </c>
      <c r="I409" s="237">
        <v>7122669</v>
      </c>
      <c r="J409" s="236">
        <v>178797</v>
      </c>
      <c r="K409" s="93">
        <f t="shared" si="19"/>
        <v>15126979</v>
      </c>
      <c r="L409" s="52"/>
      <c r="M409" s="237">
        <v>138951</v>
      </c>
      <c r="N409" s="237">
        <v>0</v>
      </c>
      <c r="O409" s="236">
        <v>124923</v>
      </c>
      <c r="P409" s="93">
        <f t="shared" si="20"/>
        <v>263874</v>
      </c>
      <c r="Q409" s="52"/>
      <c r="R409" s="237">
        <v>7455818</v>
      </c>
      <c r="S409" s="236">
        <v>-92749</v>
      </c>
      <c r="T409" s="238">
        <v>7363069</v>
      </c>
    </row>
    <row r="410" spans="1:20">
      <c r="A410" s="50">
        <v>94127</v>
      </c>
      <c r="B410" s="51" t="s">
        <v>1111</v>
      </c>
      <c r="C410" s="239">
        <v>1.5310000000000001E-4</v>
      </c>
      <c r="D410" s="239">
        <v>1.7310000000000001E-4</v>
      </c>
      <c r="E410" s="207">
        <v>363206</v>
      </c>
      <c r="F410" s="207" t="s">
        <v>1930</v>
      </c>
      <c r="G410" s="237">
        <v>56034</v>
      </c>
      <c r="H410" s="225">
        <v>49857</v>
      </c>
      <c r="I410" s="237">
        <v>96381</v>
      </c>
      <c r="J410" s="236">
        <v>5878</v>
      </c>
      <c r="K410" s="93">
        <f t="shared" si="19"/>
        <v>208150</v>
      </c>
      <c r="L410" s="52"/>
      <c r="M410" s="237">
        <v>1880</v>
      </c>
      <c r="N410" s="237">
        <v>0</v>
      </c>
      <c r="O410" s="236">
        <v>12665</v>
      </c>
      <c r="P410" s="93">
        <f t="shared" si="20"/>
        <v>14545</v>
      </c>
      <c r="Q410" s="52"/>
      <c r="R410" s="237">
        <v>100889</v>
      </c>
      <c r="S410" s="236">
        <v>-521</v>
      </c>
      <c r="T410" s="238">
        <v>100368</v>
      </c>
    </row>
    <row r="411" spans="1:20">
      <c r="A411" s="50">
        <v>94131</v>
      </c>
      <c r="B411" s="51" t="s">
        <v>2278</v>
      </c>
      <c r="C411" s="239">
        <v>2.039E-4</v>
      </c>
      <c r="D411" s="239">
        <v>1.7479999999999999E-4</v>
      </c>
      <c r="E411" s="207">
        <v>483721</v>
      </c>
      <c r="F411" s="207" t="s">
        <v>1930</v>
      </c>
      <c r="G411" s="237">
        <v>74627</v>
      </c>
      <c r="H411" s="225">
        <v>66401</v>
      </c>
      <c r="I411" s="237">
        <v>128361</v>
      </c>
      <c r="J411" s="236">
        <v>26135</v>
      </c>
      <c r="K411" s="93">
        <f t="shared" si="19"/>
        <v>295524</v>
      </c>
      <c r="L411" s="52"/>
      <c r="M411" s="237">
        <v>2504</v>
      </c>
      <c r="N411" s="237">
        <v>0</v>
      </c>
      <c r="O411" s="236">
        <v>6379</v>
      </c>
      <c r="P411" s="93">
        <f t="shared" si="20"/>
        <v>8883</v>
      </c>
      <c r="Q411" s="52"/>
      <c r="R411" s="237">
        <v>134365</v>
      </c>
      <c r="S411" s="236">
        <v>5028</v>
      </c>
      <c r="T411" s="238">
        <v>139393</v>
      </c>
    </row>
    <row r="412" spans="1:20">
      <c r="A412" s="50">
        <v>94151</v>
      </c>
      <c r="B412" s="51" t="s">
        <v>2279</v>
      </c>
      <c r="C412" s="239">
        <v>4.6470000000000002E-4</v>
      </c>
      <c r="D412" s="239">
        <v>4.1590000000000003E-4</v>
      </c>
      <c r="E412" s="207">
        <v>1102427</v>
      </c>
      <c r="F412" s="207" t="s">
        <v>1930</v>
      </c>
      <c r="G412" s="237">
        <v>170078</v>
      </c>
      <c r="H412" s="225">
        <v>151331</v>
      </c>
      <c r="I412" s="237">
        <v>292542</v>
      </c>
      <c r="J412" s="236">
        <v>12138</v>
      </c>
      <c r="K412" s="93">
        <f t="shared" si="19"/>
        <v>626089</v>
      </c>
      <c r="L412" s="52"/>
      <c r="M412" s="237">
        <v>5707</v>
      </c>
      <c r="N412" s="237">
        <v>0</v>
      </c>
      <c r="O412" s="236">
        <v>23819</v>
      </c>
      <c r="P412" s="93">
        <f t="shared" si="20"/>
        <v>29526</v>
      </c>
      <c r="Q412" s="52"/>
      <c r="R412" s="237">
        <v>306225</v>
      </c>
      <c r="S412" s="236">
        <v>-9818</v>
      </c>
      <c r="T412" s="238">
        <v>296407</v>
      </c>
    </row>
    <row r="413" spans="1:20">
      <c r="A413" s="50">
        <v>94157</v>
      </c>
      <c r="B413" s="51" t="s">
        <v>1114</v>
      </c>
      <c r="C413" s="239">
        <v>8.4999999999999999E-6</v>
      </c>
      <c r="D413" s="239">
        <v>8.8999999999999995E-6</v>
      </c>
      <c r="E413" s="207">
        <v>20165</v>
      </c>
      <c r="F413" s="207" t="s">
        <v>1930</v>
      </c>
      <c r="G413" s="237">
        <v>3111</v>
      </c>
      <c r="H413" s="225">
        <v>2768</v>
      </c>
      <c r="I413" s="237">
        <v>5351</v>
      </c>
      <c r="J413" s="236">
        <v>2192</v>
      </c>
      <c r="K413" s="93">
        <f t="shared" si="19"/>
        <v>13422</v>
      </c>
      <c r="L413" s="52"/>
      <c r="M413" s="237">
        <v>104</v>
      </c>
      <c r="N413" s="237">
        <v>0</v>
      </c>
      <c r="O413" s="236">
        <v>0</v>
      </c>
      <c r="P413" s="93">
        <f t="shared" si="20"/>
        <v>104</v>
      </c>
      <c r="Q413" s="52"/>
      <c r="R413" s="237">
        <v>5601</v>
      </c>
      <c r="S413" s="236">
        <v>2203</v>
      </c>
      <c r="T413" s="238">
        <v>7804</v>
      </c>
    </row>
    <row r="414" spans="1:20">
      <c r="A414" s="50">
        <v>94161</v>
      </c>
      <c r="B414" s="51" t="s">
        <v>2280</v>
      </c>
      <c r="C414" s="239">
        <v>3.4999999999999997E-5</v>
      </c>
      <c r="D414" s="239">
        <v>5.1900000000000001E-5</v>
      </c>
      <c r="E414" s="207">
        <v>83032</v>
      </c>
      <c r="F414" s="207" t="s">
        <v>1930</v>
      </c>
      <c r="G414" s="237">
        <v>12810</v>
      </c>
      <c r="H414" s="225">
        <v>11398</v>
      </c>
      <c r="I414" s="237">
        <v>22033</v>
      </c>
      <c r="J414" s="236">
        <v>2371</v>
      </c>
      <c r="K414" s="93">
        <f t="shared" si="19"/>
        <v>48612</v>
      </c>
      <c r="L414" s="52"/>
      <c r="M414" s="237">
        <v>430</v>
      </c>
      <c r="N414" s="237">
        <v>0</v>
      </c>
      <c r="O414" s="236">
        <v>9815</v>
      </c>
      <c r="P414" s="93">
        <f t="shared" si="20"/>
        <v>10245</v>
      </c>
      <c r="Q414" s="52"/>
      <c r="R414" s="237">
        <v>23064</v>
      </c>
      <c r="S414" s="236">
        <v>432</v>
      </c>
      <c r="T414" s="238">
        <v>23496</v>
      </c>
    </row>
    <row r="415" spans="1:20">
      <c r="A415" s="50">
        <v>94168</v>
      </c>
      <c r="B415" s="51" t="s">
        <v>1116</v>
      </c>
      <c r="C415" s="239">
        <v>5.0800000000000002E-5</v>
      </c>
      <c r="D415" s="239">
        <v>2.5899999999999999E-5</v>
      </c>
      <c r="E415" s="207">
        <v>120515</v>
      </c>
      <c r="F415" s="207" t="s">
        <v>1930</v>
      </c>
      <c r="G415" s="237">
        <v>18593</v>
      </c>
      <c r="H415" s="225">
        <v>16543</v>
      </c>
      <c r="I415" s="237">
        <v>31980</v>
      </c>
      <c r="J415" s="236">
        <v>15950</v>
      </c>
      <c r="K415" s="93">
        <f t="shared" si="19"/>
        <v>83066</v>
      </c>
      <c r="L415" s="52"/>
      <c r="M415" s="237">
        <v>624</v>
      </c>
      <c r="N415" s="237">
        <v>0</v>
      </c>
      <c r="O415" s="236">
        <v>6240</v>
      </c>
      <c r="P415" s="93">
        <f t="shared" si="20"/>
        <v>6864</v>
      </c>
      <c r="Q415" s="52"/>
      <c r="R415" s="237">
        <v>33476</v>
      </c>
      <c r="S415" s="236">
        <v>-1436</v>
      </c>
      <c r="T415" s="238">
        <v>32040</v>
      </c>
    </row>
    <row r="416" spans="1:20">
      <c r="A416" s="50">
        <v>94171</v>
      </c>
      <c r="B416" s="51" t="s">
        <v>2281</v>
      </c>
      <c r="C416" s="239">
        <v>7.9800000000000002E-5</v>
      </c>
      <c r="D416" s="239">
        <v>6.9800000000000003E-5</v>
      </c>
      <c r="E416" s="207">
        <v>189313</v>
      </c>
      <c r="F416" s="207" t="s">
        <v>1930</v>
      </c>
      <c r="G416" s="237">
        <v>29206</v>
      </c>
      <c r="H416" s="225">
        <v>25987</v>
      </c>
      <c r="I416" s="237">
        <v>50236</v>
      </c>
      <c r="J416" s="236">
        <v>8192</v>
      </c>
      <c r="K416" s="93">
        <f t="shared" si="19"/>
        <v>113621</v>
      </c>
      <c r="L416" s="52"/>
      <c r="M416" s="237">
        <v>980</v>
      </c>
      <c r="N416" s="237">
        <v>0</v>
      </c>
      <c r="O416" s="236">
        <v>0</v>
      </c>
      <c r="P416" s="93">
        <f t="shared" si="20"/>
        <v>980</v>
      </c>
      <c r="Q416" s="52"/>
      <c r="R416" s="237">
        <v>52586</v>
      </c>
      <c r="S416" s="236">
        <v>3244</v>
      </c>
      <c r="T416" s="238">
        <v>55830</v>
      </c>
    </row>
    <row r="417" spans="1:20">
      <c r="A417" s="50">
        <v>94172</v>
      </c>
      <c r="B417" s="51" t="s">
        <v>1118</v>
      </c>
      <c r="C417" s="239">
        <v>2.833E-4</v>
      </c>
      <c r="D417" s="239">
        <v>2.6289999999999999E-4</v>
      </c>
      <c r="E417" s="207">
        <v>672084</v>
      </c>
      <c r="F417" s="207" t="s">
        <v>1930</v>
      </c>
      <c r="G417" s="237">
        <v>103687</v>
      </c>
      <c r="H417" s="225">
        <v>92258</v>
      </c>
      <c r="I417" s="237">
        <v>178345</v>
      </c>
      <c r="J417" s="236">
        <v>0</v>
      </c>
      <c r="K417" s="93">
        <f t="shared" si="19"/>
        <v>374290</v>
      </c>
      <c r="L417" s="52"/>
      <c r="M417" s="237">
        <v>3479</v>
      </c>
      <c r="N417" s="237">
        <v>0</v>
      </c>
      <c r="O417" s="236">
        <v>61943</v>
      </c>
      <c r="P417" s="93">
        <f t="shared" si="20"/>
        <v>65422</v>
      </c>
      <c r="Q417" s="52"/>
      <c r="R417" s="237">
        <v>186687</v>
      </c>
      <c r="S417" s="236">
        <v>-44260</v>
      </c>
      <c r="T417" s="238">
        <v>142427</v>
      </c>
    </row>
    <row r="418" spans="1:20">
      <c r="A418" s="50">
        <v>94201</v>
      </c>
      <c r="B418" s="51" t="s">
        <v>1119</v>
      </c>
      <c r="C418" s="239">
        <v>3.2913999999999999E-3</v>
      </c>
      <c r="D418" s="239">
        <v>3.3658999999999998E-3</v>
      </c>
      <c r="E418" s="207">
        <v>7808326</v>
      </c>
      <c r="F418" s="207" t="s">
        <v>1930</v>
      </c>
      <c r="G418" s="237">
        <v>1204639</v>
      </c>
      <c r="H418" s="225">
        <v>1071851</v>
      </c>
      <c r="I418" s="237">
        <v>2072028</v>
      </c>
      <c r="J418" s="236">
        <v>19861</v>
      </c>
      <c r="K418" s="93">
        <f t="shared" si="19"/>
        <v>4368379</v>
      </c>
      <c r="L418" s="52"/>
      <c r="M418" s="237">
        <v>40422</v>
      </c>
      <c r="N418" s="237">
        <v>0</v>
      </c>
      <c r="O418" s="236">
        <v>84937</v>
      </c>
      <c r="P418" s="93">
        <f t="shared" si="20"/>
        <v>125359</v>
      </c>
      <c r="Q418" s="52"/>
      <c r="R418" s="237">
        <v>2168944</v>
      </c>
      <c r="S418" s="236">
        <v>-9281</v>
      </c>
      <c r="T418" s="238">
        <v>2159663</v>
      </c>
    </row>
    <row r="419" spans="1:20">
      <c r="A419" s="50">
        <v>94204</v>
      </c>
      <c r="B419" s="51" t="s">
        <v>1120</v>
      </c>
      <c r="C419" s="239">
        <v>2.73E-5</v>
      </c>
      <c r="D419" s="239">
        <v>2.5899999999999999E-5</v>
      </c>
      <c r="E419" s="207">
        <v>64765</v>
      </c>
      <c r="F419" s="207" t="s">
        <v>1930</v>
      </c>
      <c r="G419" s="237">
        <v>9992</v>
      </c>
      <c r="H419" s="225">
        <v>8890</v>
      </c>
      <c r="I419" s="237">
        <v>17186</v>
      </c>
      <c r="J419" s="236">
        <v>12296</v>
      </c>
      <c r="K419" s="93">
        <f t="shared" si="19"/>
        <v>48364</v>
      </c>
      <c r="L419" s="52"/>
      <c r="M419" s="237">
        <v>335</v>
      </c>
      <c r="N419" s="237">
        <v>0</v>
      </c>
      <c r="O419" s="236">
        <v>0</v>
      </c>
      <c r="P419" s="93">
        <f t="shared" si="20"/>
        <v>335</v>
      </c>
      <c r="Q419" s="52"/>
      <c r="R419" s="237">
        <v>17990</v>
      </c>
      <c r="S419" s="236">
        <v>6257</v>
      </c>
      <c r="T419" s="238">
        <v>24247</v>
      </c>
    </row>
    <row r="420" spans="1:20">
      <c r="A420" s="50">
        <v>94205</v>
      </c>
      <c r="B420" s="51" t="s">
        <v>1121</v>
      </c>
      <c r="C420" s="239">
        <v>1.8300000000000001E-5</v>
      </c>
      <c r="D420" s="239">
        <v>2.0699999999999998E-5</v>
      </c>
      <c r="E420" s="207">
        <v>43414</v>
      </c>
      <c r="F420" s="207" t="s">
        <v>1930</v>
      </c>
      <c r="G420" s="237">
        <v>6698</v>
      </c>
      <c r="H420" s="225">
        <v>5959</v>
      </c>
      <c r="I420" s="237">
        <v>11520</v>
      </c>
      <c r="J420" s="236">
        <v>1408</v>
      </c>
      <c r="K420" s="93">
        <f t="shared" si="19"/>
        <v>25585</v>
      </c>
      <c r="L420" s="52"/>
      <c r="M420" s="237">
        <v>225</v>
      </c>
      <c r="N420" s="237">
        <v>0</v>
      </c>
      <c r="O420" s="236">
        <v>1277</v>
      </c>
      <c r="P420" s="93">
        <f t="shared" si="20"/>
        <v>1502</v>
      </c>
      <c r="Q420" s="52"/>
      <c r="R420" s="237">
        <v>12059</v>
      </c>
      <c r="S420" s="236">
        <v>-2857</v>
      </c>
      <c r="T420" s="238">
        <v>9202</v>
      </c>
    </row>
    <row r="421" spans="1:20">
      <c r="A421" s="50">
        <v>94209</v>
      </c>
      <c r="B421" s="51" t="s">
        <v>1122</v>
      </c>
      <c r="C421" s="239">
        <v>3.1700000000000001E-4</v>
      </c>
      <c r="D421" s="239">
        <v>3.4190000000000002E-4</v>
      </c>
      <c r="E421" s="207">
        <v>752032</v>
      </c>
      <c r="F421" s="207" t="s">
        <v>1930</v>
      </c>
      <c r="G421" s="237">
        <v>116021</v>
      </c>
      <c r="H421" s="225">
        <v>103231</v>
      </c>
      <c r="I421" s="237">
        <v>199560</v>
      </c>
      <c r="J421" s="236">
        <v>11815</v>
      </c>
      <c r="K421" s="93">
        <f t="shared" si="19"/>
        <v>430627</v>
      </c>
      <c r="L421" s="52"/>
      <c r="M421" s="237">
        <v>3893</v>
      </c>
      <c r="N421" s="237">
        <v>0</v>
      </c>
      <c r="O421" s="236">
        <v>21749</v>
      </c>
      <c r="P421" s="93">
        <f t="shared" si="20"/>
        <v>25642</v>
      </c>
      <c r="Q421" s="52"/>
      <c r="R421" s="237">
        <v>208894</v>
      </c>
      <c r="S421" s="236">
        <v>4832</v>
      </c>
      <c r="T421" s="238">
        <v>213726</v>
      </c>
    </row>
    <row r="422" spans="1:20">
      <c r="A422" s="50">
        <v>94211</v>
      </c>
      <c r="B422" s="51" t="s">
        <v>2282</v>
      </c>
      <c r="C422" s="239">
        <v>1.615E-4</v>
      </c>
      <c r="D422" s="239">
        <v>1.3660000000000001E-4</v>
      </c>
      <c r="E422" s="207">
        <v>383133</v>
      </c>
      <c r="F422" s="207" t="s">
        <v>1930</v>
      </c>
      <c r="G422" s="237">
        <v>59108</v>
      </c>
      <c r="H422" s="225">
        <v>52593</v>
      </c>
      <c r="I422" s="237">
        <v>101669</v>
      </c>
      <c r="J422" s="236">
        <v>11603</v>
      </c>
      <c r="K422" s="93">
        <f t="shared" si="19"/>
        <v>224973</v>
      </c>
      <c r="L422" s="52"/>
      <c r="M422" s="237">
        <v>1983</v>
      </c>
      <c r="N422" s="237">
        <v>0</v>
      </c>
      <c r="O422" s="236">
        <v>3873</v>
      </c>
      <c r="P422" s="93">
        <f t="shared" si="20"/>
        <v>5856</v>
      </c>
      <c r="Q422" s="52"/>
      <c r="R422" s="237">
        <v>106424</v>
      </c>
      <c r="S422" s="236">
        <v>-10032</v>
      </c>
      <c r="T422" s="238">
        <v>96392</v>
      </c>
    </row>
    <row r="423" spans="1:20">
      <c r="A423" s="50">
        <v>94221</v>
      </c>
      <c r="B423" s="51" t="s">
        <v>1124</v>
      </c>
      <c r="C423" s="239">
        <v>1.0311999999999999E-3</v>
      </c>
      <c r="D423" s="239">
        <v>1.0436E-3</v>
      </c>
      <c r="E423" s="207">
        <v>2446359</v>
      </c>
      <c r="F423" s="207" t="s">
        <v>1930</v>
      </c>
      <c r="G423" s="237">
        <v>377415</v>
      </c>
      <c r="H423" s="225">
        <v>335812</v>
      </c>
      <c r="I423" s="237">
        <v>649169</v>
      </c>
      <c r="J423" s="236">
        <v>28711</v>
      </c>
      <c r="K423" s="93">
        <f t="shared" si="19"/>
        <v>1391107</v>
      </c>
      <c r="L423" s="52"/>
      <c r="M423" s="237">
        <v>12664</v>
      </c>
      <c r="N423" s="237">
        <v>0</v>
      </c>
      <c r="O423" s="236">
        <v>85091</v>
      </c>
      <c r="P423" s="93">
        <f t="shared" si="20"/>
        <v>97755</v>
      </c>
      <c r="Q423" s="52"/>
      <c r="R423" s="237">
        <v>679533</v>
      </c>
      <c r="S423" s="236">
        <v>-30381</v>
      </c>
      <c r="T423" s="238">
        <v>649152</v>
      </c>
    </row>
    <row r="424" spans="1:20">
      <c r="A424" s="50">
        <v>94231</v>
      </c>
      <c r="B424" s="51" t="s">
        <v>2283</v>
      </c>
      <c r="C424" s="239">
        <v>2.009E-4</v>
      </c>
      <c r="D424" s="239">
        <v>2.2609999999999999E-4</v>
      </c>
      <c r="E424" s="207">
        <v>476604</v>
      </c>
      <c r="F424" s="207" t="s">
        <v>1930</v>
      </c>
      <c r="G424" s="237">
        <v>73529</v>
      </c>
      <c r="H424" s="225">
        <v>65423</v>
      </c>
      <c r="I424" s="237">
        <v>126472</v>
      </c>
      <c r="J424" s="236">
        <v>6119</v>
      </c>
      <c r="K424" s="93">
        <f t="shared" si="19"/>
        <v>271543</v>
      </c>
      <c r="L424" s="52"/>
      <c r="M424" s="237">
        <v>2467</v>
      </c>
      <c r="N424" s="237">
        <v>0</v>
      </c>
      <c r="O424" s="236">
        <v>26463</v>
      </c>
      <c r="P424" s="93">
        <f t="shared" si="20"/>
        <v>28930</v>
      </c>
      <c r="Q424" s="52"/>
      <c r="R424" s="237">
        <v>132388</v>
      </c>
      <c r="S424" s="236">
        <v>-8958</v>
      </c>
      <c r="T424" s="238">
        <v>123430</v>
      </c>
    </row>
    <row r="425" spans="1:20">
      <c r="A425" s="50">
        <v>94241</v>
      </c>
      <c r="B425" s="51" t="s">
        <v>2284</v>
      </c>
      <c r="C425" s="239">
        <v>1.227E-4</v>
      </c>
      <c r="D425" s="239">
        <v>1.2669999999999999E-4</v>
      </c>
      <c r="E425" s="207">
        <v>291086</v>
      </c>
      <c r="F425" s="207" t="s">
        <v>1930</v>
      </c>
      <c r="G425" s="237">
        <v>44908</v>
      </c>
      <c r="H425" s="225">
        <v>39958</v>
      </c>
      <c r="I425" s="237">
        <v>77243</v>
      </c>
      <c r="J425" s="236">
        <v>19412</v>
      </c>
      <c r="K425" s="93">
        <f t="shared" si="19"/>
        <v>181521</v>
      </c>
      <c r="L425" s="52"/>
      <c r="M425" s="237">
        <v>1507</v>
      </c>
      <c r="N425" s="237">
        <v>0</v>
      </c>
      <c r="O425" s="236">
        <v>7181</v>
      </c>
      <c r="P425" s="93">
        <f t="shared" si="20"/>
        <v>8688</v>
      </c>
      <c r="Q425" s="52"/>
      <c r="R425" s="237">
        <v>80856</v>
      </c>
      <c r="S425" s="236">
        <v>5128</v>
      </c>
      <c r="T425" s="238">
        <v>85984</v>
      </c>
    </row>
    <row r="426" spans="1:20">
      <c r="A426" s="50">
        <v>94251</v>
      </c>
      <c r="B426" s="51" t="s">
        <v>2285</v>
      </c>
      <c r="C426" s="239">
        <v>1.59E-5</v>
      </c>
      <c r="D426" s="239">
        <v>1.95E-5</v>
      </c>
      <c r="E426" s="207">
        <v>37720</v>
      </c>
      <c r="F426" s="207" t="s">
        <v>1930</v>
      </c>
      <c r="G426" s="237">
        <v>5819</v>
      </c>
      <c r="H426" s="225">
        <v>5178</v>
      </c>
      <c r="I426" s="237">
        <v>10009</v>
      </c>
      <c r="J426" s="236">
        <v>2468</v>
      </c>
      <c r="K426" s="93">
        <f t="shared" si="19"/>
        <v>23474</v>
      </c>
      <c r="L426" s="52"/>
      <c r="M426" s="237">
        <v>195</v>
      </c>
      <c r="N426" s="237">
        <v>0</v>
      </c>
      <c r="O426" s="236">
        <v>4449</v>
      </c>
      <c r="P426" s="93">
        <f t="shared" si="20"/>
        <v>4644</v>
      </c>
      <c r="Q426" s="52"/>
      <c r="R426" s="237">
        <v>10478</v>
      </c>
      <c r="S426" s="236">
        <v>-2557</v>
      </c>
      <c r="T426" s="238">
        <v>7921</v>
      </c>
    </row>
    <row r="427" spans="1:20">
      <c r="A427" s="50">
        <v>94261</v>
      </c>
      <c r="B427" s="51" t="s">
        <v>2286</v>
      </c>
      <c r="C427" s="239">
        <v>3.6199999999999999E-5</v>
      </c>
      <c r="D427" s="239">
        <v>3.9199999999999997E-5</v>
      </c>
      <c r="E427" s="207">
        <v>85879</v>
      </c>
      <c r="F427" s="207" t="s">
        <v>1930</v>
      </c>
      <c r="G427" s="237">
        <v>13249</v>
      </c>
      <c r="H427" s="225">
        <v>11789</v>
      </c>
      <c r="I427" s="237">
        <v>22789</v>
      </c>
      <c r="J427" s="236">
        <v>10016</v>
      </c>
      <c r="K427" s="93">
        <f t="shared" si="19"/>
        <v>57843</v>
      </c>
      <c r="L427" s="52"/>
      <c r="M427" s="237">
        <v>445</v>
      </c>
      <c r="N427" s="237">
        <v>0</v>
      </c>
      <c r="O427" s="236">
        <v>790</v>
      </c>
      <c r="P427" s="93">
        <f t="shared" si="20"/>
        <v>1235</v>
      </c>
      <c r="Q427" s="52"/>
      <c r="R427" s="237">
        <v>23855</v>
      </c>
      <c r="S427" s="236">
        <v>5304</v>
      </c>
      <c r="T427" s="238">
        <v>29159</v>
      </c>
    </row>
    <row r="428" spans="1:20">
      <c r="A428" s="50">
        <v>94301</v>
      </c>
      <c r="B428" s="51" t="s">
        <v>1129</v>
      </c>
      <c r="C428" s="239">
        <v>6.3552000000000001E-3</v>
      </c>
      <c r="D428" s="239">
        <v>6.2988999999999996E-3</v>
      </c>
      <c r="E428" s="207">
        <v>15076708</v>
      </c>
      <c r="F428" s="207" t="s">
        <v>1930</v>
      </c>
      <c r="G428" s="237">
        <v>2325978</v>
      </c>
      <c r="H428" s="225">
        <v>2069584</v>
      </c>
      <c r="I428" s="237">
        <v>4000776</v>
      </c>
      <c r="J428" s="236">
        <v>62202</v>
      </c>
      <c r="K428" s="93">
        <f t="shared" si="19"/>
        <v>8458540</v>
      </c>
      <c r="L428" s="52"/>
      <c r="M428" s="237">
        <v>78048</v>
      </c>
      <c r="N428" s="237">
        <v>0</v>
      </c>
      <c r="O428" s="236">
        <v>66635</v>
      </c>
      <c r="P428" s="93">
        <f t="shared" si="20"/>
        <v>144683</v>
      </c>
      <c r="Q428" s="52"/>
      <c r="R428" s="237">
        <v>4187905</v>
      </c>
      <c r="S428" s="236">
        <v>-21615</v>
      </c>
      <c r="T428" s="238">
        <v>4166290</v>
      </c>
    </row>
    <row r="429" spans="1:20">
      <c r="A429" s="50">
        <v>94311</v>
      </c>
      <c r="B429" s="51" t="s">
        <v>1130</v>
      </c>
      <c r="C429" s="239">
        <v>7.4359999999999997E-4</v>
      </c>
      <c r="D429" s="239">
        <v>7.8540000000000001E-4</v>
      </c>
      <c r="E429" s="207">
        <v>1764074</v>
      </c>
      <c r="F429" s="207" t="s">
        <v>1930</v>
      </c>
      <c r="G429" s="237">
        <v>272155</v>
      </c>
      <c r="H429" s="225">
        <v>242155</v>
      </c>
      <c r="I429" s="237">
        <v>468117</v>
      </c>
      <c r="J429" s="236">
        <v>17528</v>
      </c>
      <c r="K429" s="93">
        <f t="shared" si="19"/>
        <v>999955</v>
      </c>
      <c r="L429" s="52"/>
      <c r="M429" s="237">
        <v>9132</v>
      </c>
      <c r="N429" s="237">
        <v>0</v>
      </c>
      <c r="O429" s="236">
        <v>53855</v>
      </c>
      <c r="P429" s="93">
        <f t="shared" si="20"/>
        <v>62987</v>
      </c>
      <c r="Q429" s="52"/>
      <c r="R429" s="237">
        <v>490012</v>
      </c>
      <c r="S429" s="236">
        <v>-19332</v>
      </c>
      <c r="T429" s="238">
        <v>470680</v>
      </c>
    </row>
    <row r="430" spans="1:20">
      <c r="A430" s="50">
        <v>94313</v>
      </c>
      <c r="B430" s="51" t="s">
        <v>1131</v>
      </c>
      <c r="C430" s="239">
        <v>2.1699999999999999E-5</v>
      </c>
      <c r="D430" s="239">
        <v>1.8700000000000001E-5</v>
      </c>
      <c r="E430" s="207">
        <v>51480</v>
      </c>
      <c r="F430" s="207" t="s">
        <v>1930</v>
      </c>
      <c r="G430" s="237">
        <v>7942</v>
      </c>
      <c r="H430" s="225">
        <v>7067</v>
      </c>
      <c r="I430" s="237">
        <v>13661</v>
      </c>
      <c r="J430" s="236">
        <v>9311</v>
      </c>
      <c r="K430" s="93">
        <f t="shared" si="19"/>
        <v>37981</v>
      </c>
      <c r="L430" s="52"/>
      <c r="M430" s="237">
        <v>266</v>
      </c>
      <c r="N430" s="237">
        <v>0</v>
      </c>
      <c r="O430" s="236">
        <v>0</v>
      </c>
      <c r="P430" s="93">
        <f t="shared" si="20"/>
        <v>266</v>
      </c>
      <c r="Q430" s="52"/>
      <c r="R430" s="237">
        <v>14300</v>
      </c>
      <c r="S430" s="236">
        <v>4369</v>
      </c>
      <c r="T430" s="238">
        <v>18669</v>
      </c>
    </row>
    <row r="431" spans="1:20">
      <c r="A431" s="50">
        <v>94317</v>
      </c>
      <c r="B431" s="51" t="s">
        <v>1132</v>
      </c>
      <c r="C431" s="239">
        <v>1.15E-5</v>
      </c>
      <c r="D431" s="239">
        <v>1.2E-5</v>
      </c>
      <c r="E431" s="207">
        <v>27282</v>
      </c>
      <c r="F431" s="207" t="s">
        <v>1930</v>
      </c>
      <c r="G431" s="237">
        <v>4209</v>
      </c>
      <c r="H431" s="225">
        <v>3745</v>
      </c>
      <c r="I431" s="237">
        <v>7240</v>
      </c>
      <c r="J431" s="236">
        <v>8256</v>
      </c>
      <c r="K431" s="93">
        <f t="shared" si="19"/>
        <v>23450</v>
      </c>
      <c r="L431" s="52"/>
      <c r="M431" s="237">
        <v>141</v>
      </c>
      <c r="N431" s="237">
        <v>0</v>
      </c>
      <c r="O431" s="236">
        <v>0</v>
      </c>
      <c r="P431" s="93">
        <f t="shared" si="20"/>
        <v>141</v>
      </c>
      <c r="Q431" s="52"/>
      <c r="R431" s="237">
        <v>7578</v>
      </c>
      <c r="S431" s="236">
        <v>4052</v>
      </c>
      <c r="T431" s="238">
        <v>11630</v>
      </c>
    </row>
    <row r="432" spans="1:20">
      <c r="A432" s="50">
        <v>94321</v>
      </c>
      <c r="B432" s="51" t="s">
        <v>2287</v>
      </c>
      <c r="C432" s="239">
        <v>2.8160000000000001E-4</v>
      </c>
      <c r="D432" s="239">
        <v>2.7760000000000003E-4</v>
      </c>
      <c r="E432" s="207">
        <v>668052</v>
      </c>
      <c r="F432" s="207" t="s">
        <v>1930</v>
      </c>
      <c r="G432" s="237">
        <v>103064</v>
      </c>
      <c r="H432" s="225">
        <v>91703</v>
      </c>
      <c r="I432" s="237">
        <v>177275</v>
      </c>
      <c r="J432" s="236">
        <v>0</v>
      </c>
      <c r="K432" s="93">
        <f t="shared" si="19"/>
        <v>372042</v>
      </c>
      <c r="L432" s="52"/>
      <c r="M432" s="237">
        <v>3458</v>
      </c>
      <c r="N432" s="237">
        <v>0</v>
      </c>
      <c r="O432" s="236">
        <v>23408</v>
      </c>
      <c r="P432" s="93">
        <f t="shared" si="20"/>
        <v>26866</v>
      </c>
      <c r="Q432" s="52"/>
      <c r="R432" s="237">
        <v>185567</v>
      </c>
      <c r="S432" s="236">
        <v>-8371</v>
      </c>
      <c r="T432" s="238">
        <v>177196</v>
      </c>
    </row>
    <row r="433" spans="1:20">
      <c r="A433" s="50">
        <v>94331</v>
      </c>
      <c r="B433" s="51" t="s">
        <v>2288</v>
      </c>
      <c r="C433" s="239">
        <v>1.6090000000000001E-4</v>
      </c>
      <c r="D433" s="239">
        <v>1.3569999999999999E-4</v>
      </c>
      <c r="E433" s="208">
        <v>381710</v>
      </c>
      <c r="F433" s="208" t="s">
        <v>1930</v>
      </c>
      <c r="G433" s="237">
        <v>58889</v>
      </c>
      <c r="H433" s="225">
        <v>52397</v>
      </c>
      <c r="I433" s="237">
        <v>101291</v>
      </c>
      <c r="J433" s="236">
        <v>20048</v>
      </c>
      <c r="K433" s="93">
        <f t="shared" si="19"/>
        <v>232625</v>
      </c>
      <c r="L433" s="52"/>
      <c r="M433" s="237">
        <v>1976</v>
      </c>
      <c r="N433" s="237">
        <v>0</v>
      </c>
      <c r="O433" s="236">
        <v>7457</v>
      </c>
      <c r="P433" s="93">
        <f t="shared" si="20"/>
        <v>9433</v>
      </c>
      <c r="Q433" s="52"/>
      <c r="R433" s="237">
        <v>106029</v>
      </c>
      <c r="S433" s="236">
        <v>7534</v>
      </c>
      <c r="T433" s="238">
        <v>113563</v>
      </c>
    </row>
    <row r="434" spans="1:20">
      <c r="A434" s="50">
        <v>94341</v>
      </c>
      <c r="B434" s="51" t="s">
        <v>2289</v>
      </c>
      <c r="C434" s="239">
        <v>8.3300000000000005E-5</v>
      </c>
      <c r="D434" s="239">
        <v>9.4699999999999998E-5</v>
      </c>
      <c r="E434" s="208">
        <v>197616</v>
      </c>
      <c r="F434" s="208" t="s">
        <v>1930</v>
      </c>
      <c r="G434" s="237">
        <v>30487</v>
      </c>
      <c r="H434" s="225">
        <v>27127</v>
      </c>
      <c r="I434" s="237">
        <v>52440</v>
      </c>
      <c r="J434" s="236">
        <v>4074</v>
      </c>
      <c r="K434" s="93">
        <f t="shared" si="19"/>
        <v>114128</v>
      </c>
      <c r="L434" s="52"/>
      <c r="M434" s="237">
        <v>1023</v>
      </c>
      <c r="N434" s="237">
        <v>0</v>
      </c>
      <c r="O434" s="236">
        <v>12325</v>
      </c>
      <c r="P434" s="93">
        <f t="shared" si="20"/>
        <v>13348</v>
      </c>
      <c r="Q434" s="52"/>
      <c r="R434" s="237">
        <v>54892</v>
      </c>
      <c r="S434" s="236">
        <v>-4230</v>
      </c>
      <c r="T434" s="238">
        <v>50662</v>
      </c>
    </row>
    <row r="435" spans="1:20">
      <c r="A435" s="50">
        <v>94347</v>
      </c>
      <c r="B435" s="51" t="s">
        <v>2290</v>
      </c>
      <c r="C435" s="239">
        <v>7.9999999999999996E-6</v>
      </c>
      <c r="D435" s="239">
        <v>1.22E-5</v>
      </c>
      <c r="E435" s="208">
        <v>18979</v>
      </c>
      <c r="F435" s="208" t="s">
        <v>1930</v>
      </c>
      <c r="G435" s="237">
        <v>2928</v>
      </c>
      <c r="H435" s="225">
        <v>2605</v>
      </c>
      <c r="I435" s="237">
        <v>5036</v>
      </c>
      <c r="J435" s="236">
        <v>2389</v>
      </c>
      <c r="K435" s="93">
        <f t="shared" si="19"/>
        <v>12958</v>
      </c>
      <c r="L435" s="52"/>
      <c r="M435" s="237">
        <v>98</v>
      </c>
      <c r="N435" s="237">
        <v>0</v>
      </c>
      <c r="O435" s="236">
        <v>948</v>
      </c>
      <c r="P435" s="93">
        <f t="shared" si="20"/>
        <v>1046</v>
      </c>
      <c r="Q435" s="52"/>
      <c r="R435" s="237">
        <v>5272</v>
      </c>
      <c r="S435" s="236">
        <v>1646</v>
      </c>
      <c r="T435" s="238">
        <v>6918</v>
      </c>
    </row>
    <row r="436" spans="1:20">
      <c r="A436" s="50">
        <v>94351</v>
      </c>
      <c r="B436" s="51" t="s">
        <v>2291</v>
      </c>
      <c r="C436" s="239">
        <v>2.477E-4</v>
      </c>
      <c r="D436" s="239">
        <v>2.433E-4</v>
      </c>
      <c r="E436" s="208">
        <v>587629</v>
      </c>
      <c r="F436" s="208" t="s">
        <v>1930</v>
      </c>
      <c r="G436" s="237">
        <v>90657</v>
      </c>
      <c r="H436" s="225">
        <v>80664</v>
      </c>
      <c r="I436" s="237">
        <v>155934</v>
      </c>
      <c r="J436" s="236">
        <v>716</v>
      </c>
      <c r="K436" s="93">
        <f t="shared" si="19"/>
        <v>327971</v>
      </c>
      <c r="L436" s="52"/>
      <c r="M436" s="237">
        <v>3042</v>
      </c>
      <c r="N436" s="237">
        <v>0</v>
      </c>
      <c r="O436" s="236">
        <v>6580</v>
      </c>
      <c r="P436" s="93">
        <f t="shared" si="20"/>
        <v>9622</v>
      </c>
      <c r="Q436" s="52"/>
      <c r="R436" s="237">
        <v>163228</v>
      </c>
      <c r="S436" s="236">
        <v>-2766</v>
      </c>
      <c r="T436" s="238">
        <v>160462</v>
      </c>
    </row>
    <row r="437" spans="1:20">
      <c r="A437" s="50">
        <v>94401</v>
      </c>
      <c r="B437" s="51" t="s">
        <v>1138</v>
      </c>
      <c r="C437" s="239">
        <v>3.2688999999999999E-3</v>
      </c>
      <c r="D437" s="239">
        <v>3.2718000000000001E-3</v>
      </c>
      <c r="E437" s="208">
        <v>7754949</v>
      </c>
      <c r="F437" s="208" t="s">
        <v>1930</v>
      </c>
      <c r="G437" s="237">
        <v>1196404</v>
      </c>
      <c r="H437" s="225">
        <v>1064524</v>
      </c>
      <c r="I437" s="237">
        <v>2057864</v>
      </c>
      <c r="J437" s="236">
        <v>19959</v>
      </c>
      <c r="K437" s="93">
        <f t="shared" si="19"/>
        <v>4338751</v>
      </c>
      <c r="L437" s="52"/>
      <c r="M437" s="237">
        <v>40145</v>
      </c>
      <c r="N437" s="237">
        <v>0</v>
      </c>
      <c r="O437" s="236">
        <v>62594</v>
      </c>
      <c r="P437" s="93">
        <f t="shared" si="20"/>
        <v>102739</v>
      </c>
      <c r="Q437" s="52"/>
      <c r="R437" s="237">
        <v>2154117</v>
      </c>
      <c r="S437" s="236">
        <v>-9013</v>
      </c>
      <c r="T437" s="238">
        <v>2145104</v>
      </c>
    </row>
    <row r="438" spans="1:20">
      <c r="A438" s="50">
        <v>94402</v>
      </c>
      <c r="B438" s="51" t="s">
        <v>1139</v>
      </c>
      <c r="C438" s="239">
        <v>0</v>
      </c>
      <c r="D438" s="239">
        <v>0</v>
      </c>
      <c r="E438" s="208">
        <v>0</v>
      </c>
      <c r="F438" s="208" t="s">
        <v>1930</v>
      </c>
      <c r="G438" s="237">
        <v>0</v>
      </c>
      <c r="H438" s="225">
        <v>0</v>
      </c>
      <c r="I438" s="237">
        <v>0</v>
      </c>
      <c r="J438" s="236">
        <v>0</v>
      </c>
      <c r="K438" s="93">
        <f t="shared" si="19"/>
        <v>0</v>
      </c>
      <c r="L438" s="52"/>
      <c r="M438" s="237">
        <v>0</v>
      </c>
      <c r="N438" s="237">
        <v>0</v>
      </c>
      <c r="O438" s="236">
        <v>767649</v>
      </c>
      <c r="P438" s="93">
        <f t="shared" si="20"/>
        <v>767649</v>
      </c>
      <c r="Q438" s="52"/>
      <c r="R438" s="237">
        <v>0</v>
      </c>
      <c r="S438" s="236">
        <v>-1006718</v>
      </c>
      <c r="T438" s="238">
        <v>-1006718</v>
      </c>
    </row>
    <row r="439" spans="1:20">
      <c r="A439" s="50">
        <v>94403</v>
      </c>
      <c r="B439" s="51" t="s">
        <v>1140</v>
      </c>
      <c r="C439" s="239">
        <v>3.1900000000000003E-5</v>
      </c>
      <c r="D439" s="239">
        <v>2.2099999999999998E-5</v>
      </c>
      <c r="E439" s="208">
        <v>75678</v>
      </c>
      <c r="F439" s="208" t="s">
        <v>1930</v>
      </c>
      <c r="G439" s="237">
        <v>11675</v>
      </c>
      <c r="H439" s="225">
        <v>10388</v>
      </c>
      <c r="I439" s="237">
        <v>20082</v>
      </c>
      <c r="J439" s="236">
        <v>18814</v>
      </c>
      <c r="K439" s="93">
        <f t="shared" si="19"/>
        <v>60959</v>
      </c>
      <c r="L439" s="52"/>
      <c r="M439" s="237">
        <v>392</v>
      </c>
      <c r="N439" s="237">
        <v>0</v>
      </c>
      <c r="O439" s="236">
        <v>0</v>
      </c>
      <c r="P439" s="93">
        <f t="shared" si="20"/>
        <v>392</v>
      </c>
      <c r="Q439" s="52"/>
      <c r="R439" s="237">
        <v>21021</v>
      </c>
      <c r="S439" s="236">
        <v>5618</v>
      </c>
      <c r="T439" s="238">
        <v>26639</v>
      </c>
    </row>
    <row r="440" spans="1:20">
      <c r="A440" s="50">
        <v>94408</v>
      </c>
      <c r="B440" s="51" t="s">
        <v>1141</v>
      </c>
      <c r="C440" s="239">
        <v>4.6E-5</v>
      </c>
      <c r="D440" s="239">
        <v>4.2400000000000001E-5</v>
      </c>
      <c r="E440" s="208">
        <v>109128</v>
      </c>
      <c r="F440" s="208" t="s">
        <v>1930</v>
      </c>
      <c r="G440" s="237">
        <v>16836</v>
      </c>
      <c r="H440" s="225">
        <v>14980</v>
      </c>
      <c r="I440" s="237">
        <v>28958</v>
      </c>
      <c r="J440" s="236">
        <v>4785</v>
      </c>
      <c r="K440" s="93">
        <f t="shared" si="19"/>
        <v>65559</v>
      </c>
      <c r="L440" s="52"/>
      <c r="M440" s="237">
        <v>565</v>
      </c>
      <c r="N440" s="237">
        <v>0</v>
      </c>
      <c r="O440" s="236">
        <v>2759</v>
      </c>
      <c r="P440" s="93">
        <f t="shared" si="20"/>
        <v>3324</v>
      </c>
      <c r="Q440" s="52"/>
      <c r="R440" s="237">
        <v>30313</v>
      </c>
      <c r="S440" s="236">
        <v>129</v>
      </c>
      <c r="T440" s="238">
        <v>30442</v>
      </c>
    </row>
    <row r="441" spans="1:20">
      <c r="A441" s="50">
        <v>94411</v>
      </c>
      <c r="B441" s="51" t="s">
        <v>2292</v>
      </c>
      <c r="C441" s="239">
        <v>1.2620000000000001E-3</v>
      </c>
      <c r="D441" s="239">
        <v>1.2672E-3</v>
      </c>
      <c r="E441" s="208">
        <v>2993896</v>
      </c>
      <c r="F441" s="208" t="s">
        <v>1930</v>
      </c>
      <c r="G441" s="237">
        <v>461887</v>
      </c>
      <c r="H441" s="225">
        <v>410973</v>
      </c>
      <c r="I441" s="237">
        <v>794464</v>
      </c>
      <c r="J441" s="236">
        <v>43913</v>
      </c>
      <c r="K441" s="93">
        <f t="shared" si="19"/>
        <v>1711237</v>
      </c>
      <c r="L441" s="52"/>
      <c r="M441" s="237">
        <v>15499</v>
      </c>
      <c r="N441" s="237">
        <v>0</v>
      </c>
      <c r="O441" s="236">
        <v>31638</v>
      </c>
      <c r="P441" s="93">
        <f t="shared" si="20"/>
        <v>47137</v>
      </c>
      <c r="Q441" s="52"/>
      <c r="R441" s="237">
        <v>831624</v>
      </c>
      <c r="S441" s="236">
        <v>10868</v>
      </c>
      <c r="T441" s="238">
        <v>842492</v>
      </c>
    </row>
    <row r="442" spans="1:20">
      <c r="A442" s="50">
        <v>94412</v>
      </c>
      <c r="B442" s="51" t="s">
        <v>1143</v>
      </c>
      <c r="C442" s="239">
        <v>1.5500000000000001E-5</v>
      </c>
      <c r="D442" s="239">
        <v>1.5099999999999999E-5</v>
      </c>
      <c r="E442" s="208">
        <v>36771</v>
      </c>
      <c r="F442" s="208" t="s">
        <v>1930</v>
      </c>
      <c r="G442" s="237">
        <v>5673</v>
      </c>
      <c r="H442" s="225">
        <v>5047</v>
      </c>
      <c r="I442" s="237">
        <v>9758</v>
      </c>
      <c r="J442" s="236">
        <v>12196</v>
      </c>
      <c r="K442" s="93">
        <f t="shared" si="19"/>
        <v>32674</v>
      </c>
      <c r="L442" s="52"/>
      <c r="M442" s="237">
        <v>190</v>
      </c>
      <c r="N442" s="237">
        <v>0</v>
      </c>
      <c r="O442" s="236">
        <v>0</v>
      </c>
      <c r="P442" s="93">
        <f t="shared" si="20"/>
        <v>190</v>
      </c>
      <c r="Q442" s="52"/>
      <c r="R442" s="237">
        <v>10214</v>
      </c>
      <c r="S442" s="236">
        <v>7254</v>
      </c>
      <c r="T442" s="238">
        <v>17468</v>
      </c>
    </row>
    <row r="443" spans="1:20">
      <c r="A443" s="50">
        <v>94421</v>
      </c>
      <c r="B443" s="51" t="s">
        <v>2293</v>
      </c>
      <c r="C443" s="239">
        <v>1.6080000000000001E-4</v>
      </c>
      <c r="D443" s="239">
        <v>1.6679999999999999E-4</v>
      </c>
      <c r="E443" s="208">
        <v>381473</v>
      </c>
      <c r="F443" s="208" t="s">
        <v>1930</v>
      </c>
      <c r="G443" s="237">
        <v>58852</v>
      </c>
      <c r="H443" s="225">
        <v>52365</v>
      </c>
      <c r="I443" s="237">
        <v>101228</v>
      </c>
      <c r="J443" s="236">
        <v>2434</v>
      </c>
      <c r="K443" s="93">
        <f t="shared" si="19"/>
        <v>214879</v>
      </c>
      <c r="L443" s="52"/>
      <c r="M443" s="237">
        <v>1975</v>
      </c>
      <c r="N443" s="237">
        <v>0</v>
      </c>
      <c r="O443" s="236">
        <v>6283</v>
      </c>
      <c r="P443" s="93">
        <f t="shared" si="20"/>
        <v>8258</v>
      </c>
      <c r="Q443" s="52"/>
      <c r="R443" s="237">
        <v>105963</v>
      </c>
      <c r="S443" s="236">
        <v>-5086</v>
      </c>
      <c r="T443" s="238">
        <v>100877</v>
      </c>
    </row>
    <row r="444" spans="1:20">
      <c r="A444" s="50">
        <v>94427</v>
      </c>
      <c r="B444" s="51" t="s">
        <v>1145</v>
      </c>
      <c r="C444" s="239">
        <v>1.63E-5</v>
      </c>
      <c r="D444" s="239">
        <v>1.5699999999999999E-5</v>
      </c>
      <c r="E444" s="208">
        <v>38669</v>
      </c>
      <c r="F444" s="208" t="s">
        <v>1930</v>
      </c>
      <c r="G444" s="237">
        <v>5966</v>
      </c>
      <c r="H444" s="225">
        <v>5308</v>
      </c>
      <c r="I444" s="237">
        <v>10261</v>
      </c>
      <c r="J444" s="236">
        <v>5569</v>
      </c>
      <c r="K444" s="93">
        <f t="shared" si="19"/>
        <v>27104</v>
      </c>
      <c r="L444" s="52"/>
      <c r="M444" s="237">
        <v>200</v>
      </c>
      <c r="N444" s="237">
        <v>0</v>
      </c>
      <c r="O444" s="236">
        <v>246</v>
      </c>
      <c r="P444" s="93">
        <f t="shared" si="20"/>
        <v>446</v>
      </c>
      <c r="Q444" s="52"/>
      <c r="R444" s="237">
        <v>10741</v>
      </c>
      <c r="S444" s="236">
        <v>1607</v>
      </c>
      <c r="T444" s="238">
        <v>12348</v>
      </c>
    </row>
    <row r="445" spans="1:20">
      <c r="A445" s="50">
        <v>94428</v>
      </c>
      <c r="B445" s="51" t="s">
        <v>1146</v>
      </c>
      <c r="C445" s="239">
        <v>7.2000000000000002E-5</v>
      </c>
      <c r="D445" s="239">
        <v>6.5199999999999999E-5</v>
      </c>
      <c r="E445" s="208">
        <v>170809</v>
      </c>
      <c r="F445" s="208" t="s">
        <v>1930</v>
      </c>
      <c r="G445" s="237">
        <v>26352</v>
      </c>
      <c r="H445" s="225">
        <v>23447</v>
      </c>
      <c r="I445" s="237">
        <v>45326</v>
      </c>
      <c r="J445" s="236">
        <v>7270</v>
      </c>
      <c r="K445" s="93">
        <f t="shared" si="19"/>
        <v>102395</v>
      </c>
      <c r="L445" s="52"/>
      <c r="M445" s="237">
        <v>884</v>
      </c>
      <c r="N445" s="237">
        <v>0</v>
      </c>
      <c r="O445" s="236">
        <v>2510</v>
      </c>
      <c r="P445" s="93">
        <f t="shared" si="20"/>
        <v>3394</v>
      </c>
      <c r="Q445" s="52"/>
      <c r="R445" s="237">
        <v>47446</v>
      </c>
      <c r="S445" s="236">
        <v>1904</v>
      </c>
      <c r="T445" s="238">
        <v>49350</v>
      </c>
    </row>
    <row r="446" spans="1:20">
      <c r="A446" s="50">
        <v>94431</v>
      </c>
      <c r="B446" s="51" t="s">
        <v>2294</v>
      </c>
      <c r="C446" s="239">
        <v>3.882E-4</v>
      </c>
      <c r="D446" s="239">
        <v>4.2440000000000002E-4</v>
      </c>
      <c r="E446" s="208">
        <v>920943</v>
      </c>
      <c r="F446" s="208" t="s">
        <v>1930</v>
      </c>
      <c r="G446" s="237">
        <v>142080</v>
      </c>
      <c r="H446" s="225">
        <v>126418</v>
      </c>
      <c r="I446" s="237">
        <v>244383</v>
      </c>
      <c r="J446" s="236">
        <v>207234</v>
      </c>
      <c r="K446" s="93">
        <f t="shared" si="19"/>
        <v>720115</v>
      </c>
      <c r="L446" s="52"/>
      <c r="M446" s="237">
        <v>4767</v>
      </c>
      <c r="N446" s="237">
        <v>0</v>
      </c>
      <c r="O446" s="236">
        <v>0</v>
      </c>
      <c r="P446" s="93">
        <f t="shared" si="20"/>
        <v>4767</v>
      </c>
      <c r="Q446" s="52"/>
      <c r="R446" s="237">
        <v>255813</v>
      </c>
      <c r="S446" s="236">
        <v>84678</v>
      </c>
      <c r="T446" s="238">
        <v>340491</v>
      </c>
    </row>
    <row r="447" spans="1:20">
      <c r="A447" s="50">
        <v>94437</v>
      </c>
      <c r="B447" s="51" t="s">
        <v>1148</v>
      </c>
      <c r="C447" s="239">
        <v>1.63E-5</v>
      </c>
      <c r="D447" s="239">
        <v>1.5299999999999999E-5</v>
      </c>
      <c r="E447" s="208">
        <v>38669</v>
      </c>
      <c r="F447" s="208" t="s">
        <v>1930</v>
      </c>
      <c r="G447" s="237">
        <v>5966</v>
      </c>
      <c r="H447" s="225">
        <v>5308</v>
      </c>
      <c r="I447" s="237">
        <v>10261</v>
      </c>
      <c r="J447" s="236">
        <v>13304</v>
      </c>
      <c r="K447" s="93">
        <f t="shared" si="19"/>
        <v>34839</v>
      </c>
      <c r="L447" s="52"/>
      <c r="M447" s="237">
        <v>200</v>
      </c>
      <c r="N447" s="237">
        <v>0</v>
      </c>
      <c r="O447" s="236">
        <v>0</v>
      </c>
      <c r="P447" s="93">
        <f t="shared" si="20"/>
        <v>200</v>
      </c>
      <c r="Q447" s="52"/>
      <c r="R447" s="237">
        <v>10741</v>
      </c>
      <c r="S447" s="236">
        <v>6892</v>
      </c>
      <c r="T447" s="238">
        <v>17633</v>
      </c>
    </row>
    <row r="448" spans="1:20">
      <c r="A448" s="50">
        <v>94501</v>
      </c>
      <c r="B448" s="51" t="s">
        <v>1149</v>
      </c>
      <c r="C448" s="239">
        <v>5.8639E-3</v>
      </c>
      <c r="D448" s="239">
        <v>5.6991000000000003E-3</v>
      </c>
      <c r="E448" s="208">
        <v>13911176</v>
      </c>
      <c r="F448" s="208" t="s">
        <v>1930</v>
      </c>
      <c r="G448" s="237">
        <v>2146164</v>
      </c>
      <c r="H448" s="225">
        <v>1909591</v>
      </c>
      <c r="I448" s="237">
        <v>3691489</v>
      </c>
      <c r="J448" s="236">
        <v>148578</v>
      </c>
      <c r="K448" s="93">
        <f t="shared" si="19"/>
        <v>7895822</v>
      </c>
      <c r="L448" s="52"/>
      <c r="M448" s="237">
        <v>72015</v>
      </c>
      <c r="N448" s="237">
        <v>0</v>
      </c>
      <c r="O448" s="236">
        <v>8676</v>
      </c>
      <c r="P448" s="93">
        <f t="shared" si="20"/>
        <v>80691</v>
      </c>
      <c r="Q448" s="52"/>
      <c r="R448" s="237">
        <v>3864152</v>
      </c>
      <c r="S448" s="236">
        <v>125529</v>
      </c>
      <c r="T448" s="238">
        <v>3989681</v>
      </c>
    </row>
    <row r="449" spans="1:20">
      <c r="A449" s="50">
        <v>94511</v>
      </c>
      <c r="B449" s="51" t="s">
        <v>1150</v>
      </c>
      <c r="C449" s="239">
        <v>1.9548999999999999E-3</v>
      </c>
      <c r="D449" s="239">
        <v>1.8538999999999999E-3</v>
      </c>
      <c r="E449" s="208">
        <v>4637691</v>
      </c>
      <c r="F449" s="208" t="s">
        <v>1930</v>
      </c>
      <c r="G449" s="237">
        <v>715486</v>
      </c>
      <c r="H449" s="225">
        <v>636617</v>
      </c>
      <c r="I449" s="237">
        <v>1230664</v>
      </c>
      <c r="J449" s="236">
        <v>90765</v>
      </c>
      <c r="K449" s="93">
        <f t="shared" si="19"/>
        <v>2673532</v>
      </c>
      <c r="L449" s="52"/>
      <c r="M449" s="237">
        <v>24008</v>
      </c>
      <c r="N449" s="237">
        <v>0</v>
      </c>
      <c r="O449" s="236">
        <v>20572</v>
      </c>
      <c r="P449" s="93">
        <f t="shared" si="20"/>
        <v>44580</v>
      </c>
      <c r="Q449" s="52"/>
      <c r="R449" s="237">
        <v>1288226</v>
      </c>
      <c r="S449" s="236">
        <v>77659</v>
      </c>
      <c r="T449" s="238">
        <v>1365885</v>
      </c>
    </row>
    <row r="450" spans="1:20">
      <c r="A450" s="50">
        <v>94512</v>
      </c>
      <c r="B450" s="51" t="s">
        <v>1151</v>
      </c>
      <c r="C450" s="239">
        <v>0</v>
      </c>
      <c r="D450" s="239">
        <v>0</v>
      </c>
      <c r="E450" s="208">
        <v>0</v>
      </c>
      <c r="F450" s="208" t="s">
        <v>1930</v>
      </c>
      <c r="G450" s="237">
        <v>0</v>
      </c>
      <c r="H450" s="225">
        <v>0</v>
      </c>
      <c r="I450" s="237">
        <v>0</v>
      </c>
      <c r="J450" s="236">
        <v>0</v>
      </c>
      <c r="K450" s="93">
        <f t="shared" si="19"/>
        <v>0</v>
      </c>
      <c r="L450" s="52"/>
      <c r="M450" s="237">
        <v>0</v>
      </c>
      <c r="N450" s="237">
        <v>0</v>
      </c>
      <c r="O450" s="236">
        <v>59923</v>
      </c>
      <c r="P450" s="93">
        <f t="shared" si="20"/>
        <v>59923</v>
      </c>
      <c r="Q450" s="52"/>
      <c r="R450" s="237">
        <v>0</v>
      </c>
      <c r="S450" s="236">
        <v>-78657</v>
      </c>
      <c r="T450" s="238">
        <v>-78657</v>
      </c>
    </row>
    <row r="451" spans="1:20">
      <c r="A451" s="50">
        <v>94517</v>
      </c>
      <c r="B451" s="51" t="s">
        <v>1152</v>
      </c>
      <c r="C451" s="239">
        <v>3.6199999999999999E-5</v>
      </c>
      <c r="D451" s="239">
        <v>4.7599999999999998E-5</v>
      </c>
      <c r="E451" s="208">
        <v>85879</v>
      </c>
      <c r="F451" s="208" t="s">
        <v>1930</v>
      </c>
      <c r="G451" s="237">
        <v>13249</v>
      </c>
      <c r="H451" s="225">
        <v>11789</v>
      </c>
      <c r="I451" s="237">
        <v>22789</v>
      </c>
      <c r="J451" s="236">
        <v>12828</v>
      </c>
      <c r="K451" s="93">
        <f t="shared" si="19"/>
        <v>60655</v>
      </c>
      <c r="L451" s="52"/>
      <c r="M451" s="237">
        <v>445</v>
      </c>
      <c r="N451" s="237">
        <v>0</v>
      </c>
      <c r="O451" s="236">
        <v>0</v>
      </c>
      <c r="P451" s="93">
        <f t="shared" si="20"/>
        <v>445</v>
      </c>
      <c r="Q451" s="52"/>
      <c r="R451" s="237">
        <v>23855</v>
      </c>
      <c r="S451" s="236">
        <v>9761</v>
      </c>
      <c r="T451" s="238">
        <v>33616</v>
      </c>
    </row>
    <row r="452" spans="1:20">
      <c r="A452" s="50">
        <v>94521</v>
      </c>
      <c r="B452" s="51" t="s">
        <v>2295</v>
      </c>
      <c r="C452" s="239">
        <v>1.5880000000000001E-4</v>
      </c>
      <c r="D452" s="239">
        <v>1.517E-4</v>
      </c>
      <c r="E452" s="208">
        <v>376728</v>
      </c>
      <c r="F452" s="208" t="s">
        <v>1930</v>
      </c>
      <c r="G452" s="237">
        <v>58120</v>
      </c>
      <c r="H452" s="225">
        <v>51714</v>
      </c>
      <c r="I452" s="237">
        <v>99969</v>
      </c>
      <c r="J452" s="236">
        <v>10090</v>
      </c>
      <c r="K452" s="93">
        <f t="shared" si="19"/>
        <v>219893</v>
      </c>
      <c r="L452" s="52"/>
      <c r="M452" s="237">
        <v>1950</v>
      </c>
      <c r="N452" s="237">
        <v>0</v>
      </c>
      <c r="O452" s="236">
        <v>14325</v>
      </c>
      <c r="P452" s="93">
        <f t="shared" si="20"/>
        <v>16275</v>
      </c>
      <c r="Q452" s="52"/>
      <c r="R452" s="237">
        <v>104645</v>
      </c>
      <c r="S452" s="236">
        <v>-908</v>
      </c>
      <c r="T452" s="238">
        <v>103737</v>
      </c>
    </row>
    <row r="453" spans="1:20">
      <c r="A453" s="50">
        <v>94527</v>
      </c>
      <c r="B453" s="51" t="s">
        <v>1154</v>
      </c>
      <c r="C453" s="239">
        <v>6.6000000000000003E-6</v>
      </c>
      <c r="D453" s="239">
        <v>5.4E-6</v>
      </c>
      <c r="E453" s="208">
        <v>15657</v>
      </c>
      <c r="F453" s="208" t="s">
        <v>1930</v>
      </c>
      <c r="G453" s="237">
        <v>2416</v>
      </c>
      <c r="H453" s="225">
        <v>2149</v>
      </c>
      <c r="I453" s="237">
        <v>4155</v>
      </c>
      <c r="J453" s="236">
        <v>803</v>
      </c>
      <c r="K453" s="93">
        <f t="shared" si="19"/>
        <v>9523</v>
      </c>
      <c r="L453" s="52"/>
      <c r="M453" s="237">
        <v>81</v>
      </c>
      <c r="N453" s="237">
        <v>0</v>
      </c>
      <c r="O453" s="236">
        <v>2247</v>
      </c>
      <c r="P453" s="93">
        <f t="shared" si="20"/>
        <v>2328</v>
      </c>
      <c r="Q453" s="52"/>
      <c r="R453" s="237">
        <v>4349</v>
      </c>
      <c r="S453" s="236">
        <v>-787</v>
      </c>
      <c r="T453" s="238">
        <v>3562</v>
      </c>
    </row>
    <row r="454" spans="1:20">
      <c r="A454" s="50">
        <v>94531</v>
      </c>
      <c r="B454" s="51" t="s">
        <v>2487</v>
      </c>
      <c r="C454" s="239">
        <v>1.4E-5</v>
      </c>
      <c r="D454" s="239">
        <v>1.5E-5</v>
      </c>
      <c r="E454" s="208">
        <v>33213</v>
      </c>
      <c r="F454" s="208" t="s">
        <v>1930</v>
      </c>
      <c r="G454" s="237">
        <v>5124</v>
      </c>
      <c r="H454" s="225">
        <v>4559</v>
      </c>
      <c r="I454" s="237">
        <v>8813</v>
      </c>
      <c r="J454" s="236">
        <v>7957</v>
      </c>
      <c r="K454" s="93">
        <f t="shared" si="19"/>
        <v>26453</v>
      </c>
      <c r="L454" s="52"/>
      <c r="M454" s="237">
        <v>172</v>
      </c>
      <c r="N454" s="237">
        <v>0</v>
      </c>
      <c r="O454" s="236">
        <v>0</v>
      </c>
      <c r="P454" s="93">
        <f t="shared" si="20"/>
        <v>172</v>
      </c>
      <c r="Q454" s="52"/>
      <c r="R454" s="237">
        <v>9226</v>
      </c>
      <c r="S454" s="236">
        <v>3665</v>
      </c>
      <c r="T454" s="238">
        <v>12891</v>
      </c>
    </row>
    <row r="455" spans="1:20">
      <c r="A455" s="50">
        <v>94532</v>
      </c>
      <c r="B455" s="51" t="s">
        <v>1156</v>
      </c>
      <c r="C455" s="239">
        <v>1.0280000000000001E-4</v>
      </c>
      <c r="D455" s="239">
        <v>8.7800000000000006E-5</v>
      </c>
      <c r="E455" s="208">
        <v>243877</v>
      </c>
      <c r="F455" s="208" t="s">
        <v>1930</v>
      </c>
      <c r="G455" s="237">
        <v>37624</v>
      </c>
      <c r="H455" s="225">
        <v>33477</v>
      </c>
      <c r="I455" s="237">
        <v>64715</v>
      </c>
      <c r="J455" s="236">
        <v>9560</v>
      </c>
      <c r="K455" s="93">
        <f t="shared" si="19"/>
        <v>145376</v>
      </c>
      <c r="L455" s="52"/>
      <c r="M455" s="237">
        <v>1262</v>
      </c>
      <c r="N455" s="237">
        <v>0</v>
      </c>
      <c r="O455" s="236">
        <v>4871</v>
      </c>
      <c r="P455" s="93">
        <f t="shared" si="20"/>
        <v>6133</v>
      </c>
      <c r="Q455" s="52"/>
      <c r="R455" s="237">
        <v>67742</v>
      </c>
      <c r="S455" s="236">
        <v>-3107</v>
      </c>
      <c r="T455" s="238">
        <v>64635</v>
      </c>
    </row>
    <row r="456" spans="1:20">
      <c r="A456" s="50">
        <v>94541</v>
      </c>
      <c r="B456" s="51" t="s">
        <v>2296</v>
      </c>
      <c r="C456" s="239">
        <v>2.8219999999999997E-4</v>
      </c>
      <c r="D456" s="239">
        <v>2.9300000000000002E-4</v>
      </c>
      <c r="E456" s="208">
        <v>669475</v>
      </c>
      <c r="F456" s="208" t="s">
        <v>1930</v>
      </c>
      <c r="G456" s="237">
        <v>103284</v>
      </c>
      <c r="H456" s="225">
        <v>91899</v>
      </c>
      <c r="I456" s="237">
        <v>177653</v>
      </c>
      <c r="J456" s="236">
        <v>0</v>
      </c>
      <c r="K456" s="93">
        <f t="shared" si="19"/>
        <v>372836</v>
      </c>
      <c r="L456" s="52"/>
      <c r="M456" s="237">
        <v>3466</v>
      </c>
      <c r="N456" s="237">
        <v>0</v>
      </c>
      <c r="O456" s="236">
        <v>31668</v>
      </c>
      <c r="P456" s="93">
        <f t="shared" si="20"/>
        <v>35134</v>
      </c>
      <c r="Q456" s="52"/>
      <c r="R456" s="237">
        <v>185962</v>
      </c>
      <c r="S456" s="236">
        <v>-14289</v>
      </c>
      <c r="T456" s="238">
        <v>171673</v>
      </c>
    </row>
    <row r="457" spans="1:20">
      <c r="A457" s="50">
        <v>94547</v>
      </c>
      <c r="B457" s="51" t="s">
        <v>1158</v>
      </c>
      <c r="C457" s="239">
        <v>1.01E-5</v>
      </c>
      <c r="D457" s="239">
        <v>1.08E-5</v>
      </c>
      <c r="E457" s="208">
        <v>23961</v>
      </c>
      <c r="F457" s="208" t="s">
        <v>1930</v>
      </c>
      <c r="G457" s="237">
        <v>3697</v>
      </c>
      <c r="H457" s="225">
        <v>3289</v>
      </c>
      <c r="I457" s="237">
        <v>6358</v>
      </c>
      <c r="J457" s="236">
        <v>4672</v>
      </c>
      <c r="K457" s="93">
        <f t="shared" si="19"/>
        <v>18016</v>
      </c>
      <c r="L457" s="52"/>
      <c r="M457" s="237">
        <v>124</v>
      </c>
      <c r="N457" s="237">
        <v>0</v>
      </c>
      <c r="O457" s="236">
        <v>0</v>
      </c>
      <c r="P457" s="93">
        <f t="shared" si="20"/>
        <v>124</v>
      </c>
      <c r="Q457" s="52"/>
      <c r="R457" s="237">
        <v>6656</v>
      </c>
      <c r="S457" s="236">
        <v>1705</v>
      </c>
      <c r="T457" s="238">
        <v>8361</v>
      </c>
    </row>
    <row r="458" spans="1:20">
      <c r="A458" s="50">
        <v>94551</v>
      </c>
      <c r="B458" s="51" t="s">
        <v>2297</v>
      </c>
      <c r="C458" s="239">
        <v>4.9200000000000003E-5</v>
      </c>
      <c r="D458" s="239">
        <v>4.1900000000000002E-5</v>
      </c>
      <c r="E458" s="208">
        <v>116719</v>
      </c>
      <c r="F458" s="208" t="s">
        <v>1930</v>
      </c>
      <c r="G458" s="237">
        <v>18007</v>
      </c>
      <c r="H458" s="225">
        <v>16022</v>
      </c>
      <c r="I458" s="237">
        <v>30973</v>
      </c>
      <c r="J458" s="236">
        <v>13168</v>
      </c>
      <c r="K458" s="93">
        <f t="shared" si="19"/>
        <v>78170</v>
      </c>
      <c r="L458" s="52"/>
      <c r="M458" s="237">
        <v>604</v>
      </c>
      <c r="N458" s="237">
        <v>0</v>
      </c>
      <c r="O458" s="236">
        <v>710</v>
      </c>
      <c r="P458" s="93">
        <f t="shared" si="20"/>
        <v>1314</v>
      </c>
      <c r="Q458" s="52"/>
      <c r="R458" s="237">
        <v>32421</v>
      </c>
      <c r="S458" s="236">
        <v>5732</v>
      </c>
      <c r="T458" s="238">
        <v>38153</v>
      </c>
    </row>
    <row r="459" spans="1:20">
      <c r="A459" s="50">
        <v>94601</v>
      </c>
      <c r="B459" s="51" t="s">
        <v>1160</v>
      </c>
      <c r="C459" s="239">
        <v>1.0712E-3</v>
      </c>
      <c r="D459" s="239">
        <v>1.0602999999999999E-3</v>
      </c>
      <c r="E459" s="208">
        <v>2541253</v>
      </c>
      <c r="F459" s="208" t="s">
        <v>1930</v>
      </c>
      <c r="G459" s="237">
        <v>392055</v>
      </c>
      <c r="H459" s="225">
        <v>348838</v>
      </c>
      <c r="I459" s="237">
        <v>674350</v>
      </c>
      <c r="J459" s="236">
        <v>72678</v>
      </c>
      <c r="K459" s="93">
        <f t="shared" si="19"/>
        <v>1487921</v>
      </c>
      <c r="L459" s="52"/>
      <c r="M459" s="237">
        <v>13155</v>
      </c>
      <c r="N459" s="237">
        <v>0</v>
      </c>
      <c r="O459" s="236">
        <v>984</v>
      </c>
      <c r="P459" s="93">
        <f t="shared" si="20"/>
        <v>14139</v>
      </c>
      <c r="Q459" s="52"/>
      <c r="R459" s="237">
        <v>705892</v>
      </c>
      <c r="S459" s="236">
        <v>26134</v>
      </c>
      <c r="T459" s="238">
        <v>732026</v>
      </c>
    </row>
    <row r="460" spans="1:20">
      <c r="A460" s="50">
        <v>94604</v>
      </c>
      <c r="B460" s="51" t="s">
        <v>1161</v>
      </c>
      <c r="C460" s="239">
        <v>2.7699999999999999E-5</v>
      </c>
      <c r="D460" s="239">
        <v>2.62E-5</v>
      </c>
      <c r="E460" s="208">
        <v>65714</v>
      </c>
      <c r="F460" s="208" t="s">
        <v>1930</v>
      </c>
      <c r="G460" s="237">
        <v>10138</v>
      </c>
      <c r="H460" s="225">
        <v>9021</v>
      </c>
      <c r="I460" s="237">
        <v>17438</v>
      </c>
      <c r="J460" s="236">
        <v>3578</v>
      </c>
      <c r="K460" s="93">
        <f t="shared" si="19"/>
        <v>40175</v>
      </c>
      <c r="L460" s="52"/>
      <c r="M460" s="237">
        <v>340</v>
      </c>
      <c r="N460" s="237">
        <v>0</v>
      </c>
      <c r="O460" s="236">
        <v>0</v>
      </c>
      <c r="P460" s="93">
        <f t="shared" si="20"/>
        <v>340</v>
      </c>
      <c r="Q460" s="52"/>
      <c r="R460" s="237">
        <v>18254</v>
      </c>
      <c r="S460" s="236">
        <v>1154</v>
      </c>
      <c r="T460" s="238">
        <v>19408</v>
      </c>
    </row>
    <row r="461" spans="1:20">
      <c r="A461" s="50">
        <v>94606</v>
      </c>
      <c r="B461" s="51" t="s">
        <v>1162</v>
      </c>
      <c r="C461" s="239">
        <v>1.9019999999999999E-4</v>
      </c>
      <c r="D461" s="239">
        <v>2.3550000000000001E-4</v>
      </c>
      <c r="E461" s="208">
        <v>451219</v>
      </c>
      <c r="F461" s="208" t="s">
        <v>1930</v>
      </c>
      <c r="G461" s="237">
        <v>69612</v>
      </c>
      <c r="H461" s="225">
        <v>61939</v>
      </c>
      <c r="I461" s="237">
        <v>119736</v>
      </c>
      <c r="J461" s="236">
        <v>0</v>
      </c>
      <c r="K461" s="93">
        <f t="shared" si="19"/>
        <v>251287</v>
      </c>
      <c r="L461" s="52"/>
      <c r="M461" s="237">
        <v>2336</v>
      </c>
      <c r="N461" s="237">
        <v>0</v>
      </c>
      <c r="O461" s="236">
        <v>52852</v>
      </c>
      <c r="P461" s="93">
        <f t="shared" si="20"/>
        <v>55188</v>
      </c>
      <c r="Q461" s="52"/>
      <c r="R461" s="237">
        <v>125337</v>
      </c>
      <c r="S461" s="236">
        <v>-30387</v>
      </c>
      <c r="T461" s="238">
        <v>94950</v>
      </c>
    </row>
    <row r="462" spans="1:20">
      <c r="A462" s="50">
        <v>94611</v>
      </c>
      <c r="B462" s="51" t="s">
        <v>2298</v>
      </c>
      <c r="C462" s="239">
        <v>3.5149999999999998E-4</v>
      </c>
      <c r="D462" s="239">
        <v>3.6850000000000001E-4</v>
      </c>
      <c r="E462" s="208">
        <v>833878</v>
      </c>
      <c r="F462" s="208" t="s">
        <v>1930</v>
      </c>
      <c r="G462" s="237">
        <v>128648</v>
      </c>
      <c r="H462" s="225">
        <v>114467</v>
      </c>
      <c r="I462" s="237">
        <v>221279</v>
      </c>
      <c r="J462" s="236">
        <v>1175</v>
      </c>
      <c r="K462" s="93">
        <f t="shared" si="19"/>
        <v>465569</v>
      </c>
      <c r="L462" s="52"/>
      <c r="M462" s="237">
        <v>4317</v>
      </c>
      <c r="N462" s="237">
        <v>0</v>
      </c>
      <c r="O462" s="236">
        <v>24785</v>
      </c>
      <c r="P462" s="93">
        <f t="shared" si="20"/>
        <v>29102</v>
      </c>
      <c r="Q462" s="52"/>
      <c r="R462" s="237">
        <v>231629</v>
      </c>
      <c r="S462" s="236">
        <v>-9311</v>
      </c>
      <c r="T462" s="238">
        <v>222318</v>
      </c>
    </row>
    <row r="463" spans="1:20">
      <c r="A463" s="50">
        <v>94621</v>
      </c>
      <c r="B463" s="51" t="s">
        <v>2299</v>
      </c>
      <c r="C463" s="239">
        <v>1.0450000000000001E-4</v>
      </c>
      <c r="D463" s="239">
        <v>9.7600000000000001E-5</v>
      </c>
      <c r="E463" s="208">
        <v>247910</v>
      </c>
      <c r="F463" s="208" t="s">
        <v>1930</v>
      </c>
      <c r="G463" s="237">
        <v>38247</v>
      </c>
      <c r="H463" s="225">
        <v>34031</v>
      </c>
      <c r="I463" s="237">
        <v>65786</v>
      </c>
      <c r="J463" s="236">
        <v>19728</v>
      </c>
      <c r="K463" s="93">
        <f t="shared" si="19"/>
        <v>157792</v>
      </c>
      <c r="L463" s="52"/>
      <c r="M463" s="237">
        <v>1283</v>
      </c>
      <c r="N463" s="237">
        <v>0</v>
      </c>
      <c r="O463" s="236">
        <v>10114</v>
      </c>
      <c r="P463" s="93">
        <f t="shared" si="20"/>
        <v>11397</v>
      </c>
      <c r="Q463" s="52"/>
      <c r="R463" s="237">
        <v>68863</v>
      </c>
      <c r="S463" s="236">
        <v>3576</v>
      </c>
      <c r="T463" s="238">
        <v>72439</v>
      </c>
    </row>
    <row r="464" spans="1:20">
      <c r="A464" s="50">
        <v>94631</v>
      </c>
      <c r="B464" s="51" t="s">
        <v>2300</v>
      </c>
      <c r="C464" s="239">
        <v>4.4799999999999998E-5</v>
      </c>
      <c r="D464" s="239">
        <v>3.9100000000000002E-5</v>
      </c>
      <c r="E464" s="208">
        <v>106281</v>
      </c>
      <c r="F464" s="208" t="s">
        <v>1930</v>
      </c>
      <c r="G464" s="237">
        <v>16397</v>
      </c>
      <c r="H464" s="225">
        <v>14590</v>
      </c>
      <c r="I464" s="237">
        <v>28203</v>
      </c>
      <c r="J464" s="236">
        <v>7035</v>
      </c>
      <c r="K464" s="93">
        <f t="shared" si="19"/>
        <v>66225</v>
      </c>
      <c r="L464" s="52"/>
      <c r="M464" s="237">
        <v>550</v>
      </c>
      <c r="N464" s="237">
        <v>0</v>
      </c>
      <c r="O464" s="236">
        <v>0</v>
      </c>
      <c r="P464" s="93">
        <f t="shared" si="20"/>
        <v>550</v>
      </c>
      <c r="Q464" s="52"/>
      <c r="R464" s="237">
        <v>29522</v>
      </c>
      <c r="S464" s="236">
        <v>3256</v>
      </c>
      <c r="T464" s="238">
        <v>32778</v>
      </c>
    </row>
    <row r="465" spans="1:20">
      <c r="A465" s="50">
        <v>94641</v>
      </c>
      <c r="B465" s="51" t="s">
        <v>2301</v>
      </c>
      <c r="C465" s="239">
        <v>3.5999999999999998E-6</v>
      </c>
      <c r="D465" s="239">
        <v>3.8999999999999999E-6</v>
      </c>
      <c r="E465" s="208">
        <v>8540</v>
      </c>
      <c r="F465" s="208" t="s">
        <v>1930</v>
      </c>
      <c r="G465" s="237">
        <v>1318</v>
      </c>
      <c r="H465" s="225">
        <v>1173</v>
      </c>
      <c r="I465" s="237">
        <v>2266</v>
      </c>
      <c r="J465" s="236">
        <v>5161</v>
      </c>
      <c r="K465" s="93">
        <f t="shared" si="19"/>
        <v>9918</v>
      </c>
      <c r="L465" s="52"/>
      <c r="M465" s="237">
        <v>44</v>
      </c>
      <c r="N465" s="237">
        <v>0</v>
      </c>
      <c r="O465" s="236">
        <v>0</v>
      </c>
      <c r="P465" s="93">
        <f t="shared" si="20"/>
        <v>44</v>
      </c>
      <c r="Q465" s="52"/>
      <c r="R465" s="237">
        <v>2372</v>
      </c>
      <c r="S465" s="236">
        <v>2728</v>
      </c>
      <c r="T465" s="238">
        <v>5100</v>
      </c>
    </row>
    <row r="466" spans="1:20">
      <c r="A466" s="50">
        <v>94701</v>
      </c>
      <c r="B466" s="51" t="s">
        <v>1167</v>
      </c>
      <c r="C466" s="239">
        <v>2.3993999999999999E-3</v>
      </c>
      <c r="D466" s="239">
        <v>2.5446000000000002E-3</v>
      </c>
      <c r="E466" s="208">
        <v>5692197</v>
      </c>
      <c r="F466" s="208" t="s">
        <v>1930</v>
      </c>
      <c r="G466" s="237">
        <v>878171</v>
      </c>
      <c r="H466" s="225">
        <v>781370</v>
      </c>
      <c r="I466" s="237">
        <v>1510489</v>
      </c>
      <c r="J466" s="236">
        <v>14859</v>
      </c>
      <c r="K466" s="93">
        <f t="shared" ref="K466:K531" si="21">G466+H466+I466+J466</f>
        <v>3184889</v>
      </c>
      <c r="L466" s="52"/>
      <c r="M466" s="237">
        <v>29467</v>
      </c>
      <c r="N466" s="237">
        <v>0</v>
      </c>
      <c r="O466" s="236">
        <v>188404</v>
      </c>
      <c r="P466" s="93">
        <f t="shared" ref="P466:P531" si="22">M466+N466+O466</f>
        <v>217871</v>
      </c>
      <c r="Q466" s="52"/>
      <c r="R466" s="237">
        <v>1581140</v>
      </c>
      <c r="S466" s="236">
        <v>-32473</v>
      </c>
      <c r="T466" s="238">
        <v>1548667</v>
      </c>
    </row>
    <row r="467" spans="1:20">
      <c r="A467" s="50">
        <v>94704</v>
      </c>
      <c r="B467" s="51" t="s">
        <v>1168</v>
      </c>
      <c r="C467" s="239">
        <v>1.63E-5</v>
      </c>
      <c r="D467" s="239">
        <v>9.5000000000000005E-6</v>
      </c>
      <c r="E467" s="208">
        <v>38669</v>
      </c>
      <c r="F467" s="208" t="s">
        <v>1930</v>
      </c>
      <c r="G467" s="237">
        <v>5966</v>
      </c>
      <c r="H467" s="225">
        <v>5308</v>
      </c>
      <c r="I467" s="237">
        <v>10261</v>
      </c>
      <c r="J467" s="236">
        <v>4937</v>
      </c>
      <c r="K467" s="93">
        <f t="shared" si="21"/>
        <v>26472</v>
      </c>
      <c r="L467" s="52"/>
      <c r="M467" s="237">
        <v>200</v>
      </c>
      <c r="N467" s="237">
        <v>0</v>
      </c>
      <c r="O467" s="236">
        <v>69</v>
      </c>
      <c r="P467" s="93">
        <f t="shared" si="22"/>
        <v>269</v>
      </c>
      <c r="Q467" s="52"/>
      <c r="R467" s="237">
        <v>10741</v>
      </c>
      <c r="S467" s="236">
        <v>1269</v>
      </c>
      <c r="T467" s="238">
        <v>12010</v>
      </c>
    </row>
    <row r="468" spans="1:20">
      <c r="A468" s="50">
        <v>94711</v>
      </c>
      <c r="B468" s="51" t="s">
        <v>2302</v>
      </c>
      <c r="C468" s="239">
        <v>3.3589999999999998E-4</v>
      </c>
      <c r="D468" s="239">
        <v>3.3599999999999998E-4</v>
      </c>
      <c r="E468" s="52">
        <v>796870</v>
      </c>
      <c r="F468" s="52"/>
      <c r="G468" s="237">
        <v>122938</v>
      </c>
      <c r="H468" s="225">
        <v>109386</v>
      </c>
      <c r="I468" s="237">
        <v>211458</v>
      </c>
      <c r="J468" s="236">
        <v>6983</v>
      </c>
      <c r="K468" s="93">
        <f t="shared" si="21"/>
        <v>450765</v>
      </c>
      <c r="L468" s="52"/>
      <c r="M468" s="237">
        <v>4125</v>
      </c>
      <c r="N468" s="237">
        <v>0</v>
      </c>
      <c r="O468" s="236">
        <v>2875</v>
      </c>
      <c r="P468" s="93">
        <f t="shared" si="22"/>
        <v>7000</v>
      </c>
      <c r="Q468" s="52"/>
      <c r="R468" s="237">
        <v>221349</v>
      </c>
      <c r="S468" s="236">
        <v>1908</v>
      </c>
      <c r="T468" s="238">
        <v>223257</v>
      </c>
    </row>
    <row r="469" spans="1:20">
      <c r="A469" s="50">
        <v>94801</v>
      </c>
      <c r="B469" s="51" t="s">
        <v>1170</v>
      </c>
      <c r="C469" s="239">
        <v>6.7719999999999998E-4</v>
      </c>
      <c r="D469" s="239">
        <v>7.2440000000000004E-4</v>
      </c>
      <c r="E469" s="52">
        <v>1606550</v>
      </c>
      <c r="F469" s="52"/>
      <c r="G469" s="237">
        <v>247852</v>
      </c>
      <c r="H469" s="225">
        <v>220532</v>
      </c>
      <c r="I469" s="237">
        <v>426316</v>
      </c>
      <c r="J469" s="236">
        <v>17822</v>
      </c>
      <c r="K469" s="93">
        <f t="shared" si="21"/>
        <v>912522</v>
      </c>
      <c r="L469" s="52"/>
      <c r="M469" s="237">
        <v>8317</v>
      </c>
      <c r="N469" s="237">
        <v>0</v>
      </c>
      <c r="O469" s="236">
        <v>36966</v>
      </c>
      <c r="P469" s="93">
        <f t="shared" si="22"/>
        <v>45283</v>
      </c>
      <c r="Q469" s="52"/>
      <c r="R469" s="237">
        <v>446257</v>
      </c>
      <c r="S469" s="236">
        <v>12092</v>
      </c>
      <c r="T469" s="238">
        <v>458349</v>
      </c>
    </row>
    <row r="470" spans="1:20">
      <c r="A470" s="50">
        <v>94804</v>
      </c>
      <c r="B470" s="51" t="s">
        <v>1171</v>
      </c>
      <c r="C470" s="239">
        <v>3.3000000000000002E-6</v>
      </c>
      <c r="D470" s="239">
        <v>3.8E-6</v>
      </c>
      <c r="E470" s="52">
        <v>7829</v>
      </c>
      <c r="F470" s="52"/>
      <c r="G470" s="237">
        <v>1208</v>
      </c>
      <c r="H470" s="225">
        <v>1075</v>
      </c>
      <c r="I470" s="237">
        <v>2077</v>
      </c>
      <c r="J470" s="236">
        <v>1172</v>
      </c>
      <c r="K470" s="93">
        <f t="shared" si="21"/>
        <v>5532</v>
      </c>
      <c r="L470" s="52"/>
      <c r="M470" s="237">
        <v>41</v>
      </c>
      <c r="N470" s="237">
        <v>0</v>
      </c>
      <c r="O470" s="236">
        <v>142</v>
      </c>
      <c r="P470" s="93">
        <f t="shared" si="22"/>
        <v>183</v>
      </c>
      <c r="Q470" s="52"/>
      <c r="R470" s="237">
        <v>2175</v>
      </c>
      <c r="S470" s="236">
        <v>2000</v>
      </c>
      <c r="T470" s="238">
        <v>4175</v>
      </c>
    </row>
    <row r="471" spans="1:20">
      <c r="A471" s="50">
        <v>94812</v>
      </c>
      <c r="B471" s="51" t="s">
        <v>1172</v>
      </c>
      <c r="C471" s="239">
        <v>3.2100000000000001E-5</v>
      </c>
      <c r="D471" s="239">
        <v>3.3000000000000003E-5</v>
      </c>
      <c r="E471" s="216">
        <v>76152</v>
      </c>
      <c r="F471" s="216" t="s">
        <v>1930</v>
      </c>
      <c r="G471" s="237">
        <v>11748</v>
      </c>
      <c r="H471" s="225">
        <v>10453</v>
      </c>
      <c r="I471" s="237">
        <v>20208</v>
      </c>
      <c r="J471" s="236">
        <v>9807</v>
      </c>
      <c r="K471" s="93">
        <f t="shared" si="21"/>
        <v>52216</v>
      </c>
      <c r="L471" s="52"/>
      <c r="M471" s="237">
        <v>394</v>
      </c>
      <c r="N471" s="237">
        <v>0</v>
      </c>
      <c r="O471" s="236">
        <v>0</v>
      </c>
      <c r="P471" s="93">
        <f t="shared" si="22"/>
        <v>394</v>
      </c>
      <c r="Q471" s="52"/>
      <c r="R471" s="237">
        <v>21153</v>
      </c>
      <c r="S471" s="236">
        <v>4887</v>
      </c>
      <c r="T471" s="238">
        <v>26040</v>
      </c>
    </row>
    <row r="472" spans="1:20">
      <c r="A472" s="50">
        <v>94901</v>
      </c>
      <c r="B472" s="51" t="s">
        <v>1173</v>
      </c>
      <c r="C472" s="239">
        <v>7.1234000000000002E-3</v>
      </c>
      <c r="D472" s="239">
        <v>6.7841999999999998E-3</v>
      </c>
      <c r="E472" s="216">
        <v>16899141</v>
      </c>
      <c r="F472" s="216" t="s">
        <v>1930</v>
      </c>
      <c r="G472" s="237">
        <v>2607136</v>
      </c>
      <c r="H472" s="225">
        <v>2319750</v>
      </c>
      <c r="I472" s="237">
        <v>4484380</v>
      </c>
      <c r="J472" s="236">
        <v>225129</v>
      </c>
      <c r="K472" s="93">
        <f t="shared" si="21"/>
        <v>9636395</v>
      </c>
      <c r="L472" s="52"/>
      <c r="M472" s="237">
        <v>87482</v>
      </c>
      <c r="N472" s="237">
        <v>0</v>
      </c>
      <c r="O472" s="236">
        <v>81221</v>
      </c>
      <c r="P472" s="93">
        <f t="shared" si="22"/>
        <v>168703</v>
      </c>
      <c r="Q472" s="52"/>
      <c r="R472" s="237">
        <v>4694128</v>
      </c>
      <c r="S472" s="236">
        <v>18634</v>
      </c>
      <c r="T472" s="238">
        <v>4712762</v>
      </c>
    </row>
    <row r="473" spans="1:20">
      <c r="A473" s="50">
        <v>94908</v>
      </c>
      <c r="B473" s="51" t="s">
        <v>1174</v>
      </c>
      <c r="C473" s="239">
        <v>6.8000000000000001E-6</v>
      </c>
      <c r="D473" s="239">
        <v>7.7000000000000008E-6</v>
      </c>
      <c r="E473" s="216">
        <v>16132</v>
      </c>
      <c r="F473" s="216" t="s">
        <v>1930</v>
      </c>
      <c r="G473" s="237">
        <v>2489</v>
      </c>
      <c r="H473" s="225">
        <v>2215</v>
      </c>
      <c r="I473" s="237">
        <v>4281</v>
      </c>
      <c r="J473" s="236">
        <v>0</v>
      </c>
      <c r="K473" s="93">
        <f t="shared" si="21"/>
        <v>8985</v>
      </c>
      <c r="L473" s="52"/>
      <c r="M473" s="237">
        <v>84</v>
      </c>
      <c r="N473" s="237">
        <v>0</v>
      </c>
      <c r="O473" s="236">
        <v>15303</v>
      </c>
      <c r="P473" s="93">
        <f t="shared" si="22"/>
        <v>15387</v>
      </c>
      <c r="Q473" s="52"/>
      <c r="R473" s="237">
        <v>4481</v>
      </c>
      <c r="S473" s="236">
        <v>-6873</v>
      </c>
      <c r="T473" s="238">
        <v>-2392</v>
      </c>
    </row>
    <row r="474" spans="1:20">
      <c r="A474" s="50">
        <v>94911</v>
      </c>
      <c r="B474" s="51" t="s">
        <v>1175</v>
      </c>
      <c r="C474" s="239">
        <v>2.9845000000000002E-3</v>
      </c>
      <c r="D474" s="239">
        <v>2.8311E-3</v>
      </c>
      <c r="E474" s="216">
        <v>7080255</v>
      </c>
      <c r="F474" s="216" t="s">
        <v>1930</v>
      </c>
      <c r="G474" s="237">
        <v>1092315</v>
      </c>
      <c r="H474" s="225">
        <v>971909</v>
      </c>
      <c r="I474" s="237">
        <v>1878826</v>
      </c>
      <c r="J474" s="236">
        <v>119500</v>
      </c>
      <c r="K474" s="93">
        <f t="shared" si="21"/>
        <v>4062550</v>
      </c>
      <c r="L474" s="52"/>
      <c r="M474" s="237">
        <v>36653</v>
      </c>
      <c r="N474" s="237">
        <v>0</v>
      </c>
      <c r="O474" s="236">
        <v>21376</v>
      </c>
      <c r="P474" s="93">
        <f t="shared" si="22"/>
        <v>58029</v>
      </c>
      <c r="Q474" s="52"/>
      <c r="R474" s="237">
        <v>1966705</v>
      </c>
      <c r="S474" s="236">
        <v>15404</v>
      </c>
      <c r="T474" s="238">
        <v>1982109</v>
      </c>
    </row>
    <row r="475" spans="1:20">
      <c r="A475" s="50">
        <v>94917</v>
      </c>
      <c r="B475" s="51" t="s">
        <v>1176</v>
      </c>
      <c r="C475" s="239">
        <v>3.0899999999999999E-5</v>
      </c>
      <c r="D475" s="239">
        <v>3.5099999999999999E-5</v>
      </c>
      <c r="E475" s="216">
        <v>73305</v>
      </c>
      <c r="F475" s="216" t="s">
        <v>1930</v>
      </c>
      <c r="G475" s="237">
        <v>11309</v>
      </c>
      <c r="H475" s="225">
        <v>10063</v>
      </c>
      <c r="I475" s="237">
        <v>19452</v>
      </c>
      <c r="J475" s="236">
        <v>16632</v>
      </c>
      <c r="K475" s="93">
        <f t="shared" si="21"/>
        <v>57456</v>
      </c>
      <c r="L475" s="52"/>
      <c r="M475" s="237">
        <v>379</v>
      </c>
      <c r="N475" s="237">
        <v>0</v>
      </c>
      <c r="O475" s="236">
        <v>0</v>
      </c>
      <c r="P475" s="93">
        <f t="shared" si="22"/>
        <v>379</v>
      </c>
      <c r="Q475" s="52"/>
      <c r="R475" s="237">
        <v>20362</v>
      </c>
      <c r="S475" s="236">
        <v>8881</v>
      </c>
      <c r="T475" s="238">
        <v>29243</v>
      </c>
    </row>
    <row r="476" spans="1:20">
      <c r="A476" s="50">
        <v>94921</v>
      </c>
      <c r="B476" s="51" t="s">
        <v>1177</v>
      </c>
      <c r="C476" s="239">
        <v>3.9271000000000002E-3</v>
      </c>
      <c r="D476" s="239">
        <v>3.9515000000000002E-3</v>
      </c>
      <c r="E476" s="216">
        <v>9316424</v>
      </c>
      <c r="F476" s="216" t="s">
        <v>1930</v>
      </c>
      <c r="G476" s="237">
        <v>1437303</v>
      </c>
      <c r="H476" s="225">
        <v>1278868</v>
      </c>
      <c r="I476" s="237">
        <v>2472219</v>
      </c>
      <c r="J476" s="236">
        <v>14401</v>
      </c>
      <c r="K476" s="93">
        <f t="shared" si="21"/>
        <v>5202791</v>
      </c>
      <c r="L476" s="52"/>
      <c r="M476" s="237">
        <v>48229</v>
      </c>
      <c r="N476" s="237">
        <v>0</v>
      </c>
      <c r="O476" s="236">
        <v>338996</v>
      </c>
      <c r="P476" s="93">
        <f t="shared" si="22"/>
        <v>387225</v>
      </c>
      <c r="Q476" s="52"/>
      <c r="R476" s="237">
        <v>2587853</v>
      </c>
      <c r="S476" s="236">
        <v>-186399</v>
      </c>
      <c r="T476" s="238">
        <v>2401454</v>
      </c>
    </row>
    <row r="477" spans="1:20">
      <c r="A477" s="50">
        <v>94923</v>
      </c>
      <c r="B477" s="51" t="s">
        <v>1178</v>
      </c>
      <c r="C477" s="239">
        <v>2.9099999999999999E-5</v>
      </c>
      <c r="D477" s="239">
        <v>3.0700000000000001E-5</v>
      </c>
      <c r="E477" s="216">
        <v>69035</v>
      </c>
      <c r="F477" s="216" t="s">
        <v>1930</v>
      </c>
      <c r="G477" s="237">
        <v>10650</v>
      </c>
      <c r="H477" s="225">
        <v>9477</v>
      </c>
      <c r="I477" s="237">
        <v>18319</v>
      </c>
      <c r="J477" s="236">
        <v>4323</v>
      </c>
      <c r="K477" s="93">
        <f t="shared" si="21"/>
        <v>42769</v>
      </c>
      <c r="L477" s="52"/>
      <c r="M477" s="237">
        <v>357</v>
      </c>
      <c r="N477" s="237">
        <v>0</v>
      </c>
      <c r="O477" s="236">
        <v>0</v>
      </c>
      <c r="P477" s="93">
        <f t="shared" si="22"/>
        <v>357</v>
      </c>
      <c r="Q477" s="52"/>
      <c r="R477" s="237">
        <v>19176</v>
      </c>
      <c r="S477" s="236">
        <v>1615</v>
      </c>
      <c r="T477" s="238">
        <v>20791</v>
      </c>
    </row>
    <row r="478" spans="1:20">
      <c r="A478" s="50">
        <v>94927</v>
      </c>
      <c r="B478" s="51" t="s">
        <v>1179</v>
      </c>
      <c r="C478" s="239">
        <v>2.76E-5</v>
      </c>
      <c r="D478" s="239">
        <v>3.0599999999999998E-5</v>
      </c>
      <c r="E478" s="216">
        <v>65477</v>
      </c>
      <c r="F478" s="216" t="s">
        <v>1930</v>
      </c>
      <c r="G478" s="237">
        <v>10101</v>
      </c>
      <c r="H478" s="225">
        <v>8988</v>
      </c>
      <c r="I478" s="237">
        <v>17375</v>
      </c>
      <c r="J478" s="236">
        <v>4844</v>
      </c>
      <c r="K478" s="93">
        <f t="shared" si="21"/>
        <v>41308</v>
      </c>
      <c r="L478" s="52"/>
      <c r="M478" s="237">
        <v>339</v>
      </c>
      <c r="N478" s="237">
        <v>0</v>
      </c>
      <c r="O478" s="236">
        <v>0</v>
      </c>
      <c r="P478" s="93">
        <f t="shared" si="22"/>
        <v>339</v>
      </c>
      <c r="Q478" s="52"/>
      <c r="R478" s="237">
        <v>18188</v>
      </c>
      <c r="S478" s="236">
        <v>1685</v>
      </c>
      <c r="T478" s="238">
        <v>19873</v>
      </c>
    </row>
    <row r="479" spans="1:20">
      <c r="A479" s="50">
        <v>94931</v>
      </c>
      <c r="B479" s="51" t="s">
        <v>2303</v>
      </c>
      <c r="C479" s="239">
        <v>2.0350000000000001E-4</v>
      </c>
      <c r="D479" s="239">
        <v>2.163E-4</v>
      </c>
      <c r="E479" s="216">
        <v>482772</v>
      </c>
      <c r="F479" s="216" t="s">
        <v>1930</v>
      </c>
      <c r="G479" s="237">
        <v>74480</v>
      </c>
      <c r="H479" s="225">
        <v>66270</v>
      </c>
      <c r="I479" s="237">
        <v>128109</v>
      </c>
      <c r="J479" s="236">
        <v>716</v>
      </c>
      <c r="K479" s="93">
        <f t="shared" si="21"/>
        <v>269575</v>
      </c>
      <c r="L479" s="52"/>
      <c r="M479" s="237">
        <v>2499</v>
      </c>
      <c r="N479" s="237">
        <v>0</v>
      </c>
      <c r="O479" s="236">
        <v>15634</v>
      </c>
      <c r="P479" s="93">
        <f t="shared" si="22"/>
        <v>18133</v>
      </c>
      <c r="Q479" s="52"/>
      <c r="R479" s="237">
        <v>134101</v>
      </c>
      <c r="S479" s="236">
        <v>-9864</v>
      </c>
      <c r="T479" s="238">
        <v>124237</v>
      </c>
    </row>
    <row r="480" spans="1:20" s="209" customFormat="1">
      <c r="A480" s="212">
        <v>94937</v>
      </c>
      <c r="B480" s="210" t="s">
        <v>2304</v>
      </c>
      <c r="C480" s="239">
        <v>0</v>
      </c>
      <c r="D480" s="239">
        <v>0</v>
      </c>
      <c r="E480" s="216">
        <v>0</v>
      </c>
      <c r="F480" s="216" t="s">
        <v>1930</v>
      </c>
      <c r="G480" s="237">
        <v>0</v>
      </c>
      <c r="H480" s="225">
        <v>0</v>
      </c>
      <c r="I480" s="237">
        <v>0</v>
      </c>
      <c r="J480" s="236">
        <v>0</v>
      </c>
      <c r="K480" s="93"/>
      <c r="L480" s="208"/>
      <c r="M480" s="237">
        <v>0</v>
      </c>
      <c r="N480" s="237">
        <v>0</v>
      </c>
      <c r="O480" s="236">
        <v>0</v>
      </c>
      <c r="P480" s="93"/>
      <c r="Q480" s="208"/>
      <c r="R480" s="237">
        <v>0</v>
      </c>
      <c r="S480" s="236">
        <v>0</v>
      </c>
      <c r="T480" s="238">
        <v>0</v>
      </c>
    </row>
    <row r="481" spans="1:20">
      <c r="A481" s="50">
        <v>94941</v>
      </c>
      <c r="B481" s="51" t="s">
        <v>1181</v>
      </c>
      <c r="C481" s="239">
        <v>5.4239999999999996E-4</v>
      </c>
      <c r="D481" s="239">
        <v>5.7879999999999997E-4</v>
      </c>
      <c r="E481" s="216">
        <v>1286758</v>
      </c>
      <c r="F481" s="216" t="s">
        <v>1930</v>
      </c>
      <c r="G481" s="237">
        <v>198516</v>
      </c>
      <c r="H481" s="225">
        <v>176633</v>
      </c>
      <c r="I481" s="237">
        <v>341456</v>
      </c>
      <c r="J481" s="236">
        <v>22905</v>
      </c>
      <c r="K481" s="93">
        <f t="shared" si="21"/>
        <v>739510</v>
      </c>
      <c r="L481" s="52"/>
      <c r="M481" s="237">
        <v>6661</v>
      </c>
      <c r="N481" s="237">
        <v>0</v>
      </c>
      <c r="O481" s="236">
        <v>39327</v>
      </c>
      <c r="P481" s="93">
        <f t="shared" si="22"/>
        <v>45988</v>
      </c>
      <c r="Q481" s="52"/>
      <c r="R481" s="237">
        <v>357427</v>
      </c>
      <c r="S481" s="236">
        <v>36038</v>
      </c>
      <c r="T481" s="238">
        <v>393465</v>
      </c>
    </row>
    <row r="482" spans="1:20" s="213" customFormat="1">
      <c r="A482" s="215">
        <v>94947</v>
      </c>
      <c r="B482" s="214" t="s">
        <v>1934</v>
      </c>
      <c r="C482" s="239">
        <v>0</v>
      </c>
      <c r="D482" s="239">
        <v>0</v>
      </c>
      <c r="E482" s="216">
        <v>0</v>
      </c>
      <c r="F482" s="216" t="s">
        <v>1930</v>
      </c>
      <c r="G482" s="237">
        <v>0</v>
      </c>
      <c r="H482" s="225">
        <v>0</v>
      </c>
      <c r="I482" s="237">
        <v>0</v>
      </c>
      <c r="J482" s="236">
        <v>0</v>
      </c>
      <c r="K482" s="93"/>
      <c r="L482" s="211"/>
      <c r="M482" s="237">
        <v>0</v>
      </c>
      <c r="N482" s="237">
        <v>0</v>
      </c>
      <c r="O482" s="236">
        <v>0</v>
      </c>
      <c r="P482" s="93"/>
      <c r="Q482" s="211"/>
      <c r="R482" s="237">
        <v>0</v>
      </c>
      <c r="S482" s="236">
        <v>0</v>
      </c>
      <c r="T482" s="238">
        <v>0</v>
      </c>
    </row>
    <row r="483" spans="1:20">
      <c r="A483" s="50">
        <v>95001</v>
      </c>
      <c r="B483" s="51" t="s">
        <v>1182</v>
      </c>
      <c r="C483" s="239">
        <v>2.3002999999999999E-3</v>
      </c>
      <c r="D483" s="239">
        <v>2.4867000000000001E-3</v>
      </c>
      <c r="E483" s="216">
        <v>5457098</v>
      </c>
      <c r="F483" s="216" t="s">
        <v>1930</v>
      </c>
      <c r="G483" s="237">
        <v>841901</v>
      </c>
      <c r="H483" s="225">
        <v>749098</v>
      </c>
      <c r="I483" s="237">
        <v>1448103</v>
      </c>
      <c r="J483" s="236">
        <v>121208</v>
      </c>
      <c r="K483" s="93">
        <f t="shared" si="21"/>
        <v>3160310</v>
      </c>
      <c r="L483" s="52"/>
      <c r="M483" s="237">
        <v>28250</v>
      </c>
      <c r="N483" s="237">
        <v>0</v>
      </c>
      <c r="O483" s="236">
        <v>49464</v>
      </c>
      <c r="P483" s="93">
        <f t="shared" si="22"/>
        <v>77714</v>
      </c>
      <c r="Q483" s="52"/>
      <c r="R483" s="237">
        <v>1515836</v>
      </c>
      <c r="S483" s="236">
        <v>39325</v>
      </c>
      <c r="T483" s="238">
        <v>1555161</v>
      </c>
    </row>
    <row r="484" spans="1:20">
      <c r="A484" s="50">
        <v>95002</v>
      </c>
      <c r="B484" s="51" t="s">
        <v>1183</v>
      </c>
      <c r="C484" s="239">
        <v>1.8589999999999999E-4</v>
      </c>
      <c r="D484" s="239">
        <v>1.907E-4</v>
      </c>
      <c r="E484" s="216">
        <v>441018</v>
      </c>
      <c r="F484" s="216" t="s">
        <v>1930</v>
      </c>
      <c r="G484" s="237">
        <v>68039</v>
      </c>
      <c r="H484" s="225">
        <v>60538</v>
      </c>
      <c r="I484" s="237">
        <v>117029</v>
      </c>
      <c r="J484" s="236">
        <v>18706</v>
      </c>
      <c r="K484" s="93">
        <f t="shared" si="21"/>
        <v>264312</v>
      </c>
      <c r="L484" s="52"/>
      <c r="M484" s="237">
        <v>2283</v>
      </c>
      <c r="N484" s="237">
        <v>0</v>
      </c>
      <c r="O484" s="236">
        <v>0</v>
      </c>
      <c r="P484" s="93">
        <f t="shared" si="22"/>
        <v>2283</v>
      </c>
      <c r="Q484" s="52"/>
      <c r="R484" s="237">
        <v>122503</v>
      </c>
      <c r="S484" s="236">
        <v>8615</v>
      </c>
      <c r="T484" s="238">
        <v>131118</v>
      </c>
    </row>
    <row r="485" spans="1:20">
      <c r="A485" s="50">
        <v>95005</v>
      </c>
      <c r="B485" s="51" t="s">
        <v>1184</v>
      </c>
      <c r="C485" s="239">
        <v>2.131E-4</v>
      </c>
      <c r="D485" s="239">
        <v>2.2949999999999999E-4</v>
      </c>
      <c r="E485" s="216">
        <v>505546</v>
      </c>
      <c r="F485" s="216" t="s">
        <v>1930</v>
      </c>
      <c r="G485" s="237">
        <v>77994</v>
      </c>
      <c r="H485" s="225">
        <v>69397</v>
      </c>
      <c r="I485" s="237">
        <v>134152</v>
      </c>
      <c r="J485" s="236">
        <v>4292</v>
      </c>
      <c r="K485" s="93">
        <f t="shared" si="21"/>
        <v>285835</v>
      </c>
      <c r="L485" s="52"/>
      <c r="M485" s="237">
        <v>2617</v>
      </c>
      <c r="N485" s="237">
        <v>0</v>
      </c>
      <c r="O485" s="236">
        <v>4029</v>
      </c>
      <c r="P485" s="93">
        <f t="shared" si="22"/>
        <v>6646</v>
      </c>
      <c r="Q485" s="52"/>
      <c r="R485" s="237">
        <v>140427</v>
      </c>
      <c r="S485" s="236">
        <v>8291</v>
      </c>
      <c r="T485" s="238">
        <v>148718</v>
      </c>
    </row>
    <row r="486" spans="1:20">
      <c r="A486" s="50">
        <v>95008</v>
      </c>
      <c r="B486" s="51" t="s">
        <v>1185</v>
      </c>
      <c r="C486" s="239">
        <v>1.188E-4</v>
      </c>
      <c r="D486" s="239">
        <v>1.1519999999999999E-4</v>
      </c>
      <c r="E486" s="216">
        <v>281834</v>
      </c>
      <c r="F486" s="216" t="s">
        <v>1930</v>
      </c>
      <c r="G486" s="237">
        <v>43480</v>
      </c>
      <c r="H486" s="225">
        <v>38688</v>
      </c>
      <c r="I486" s="237">
        <v>74788</v>
      </c>
      <c r="J486" s="236">
        <v>18509</v>
      </c>
      <c r="K486" s="93">
        <f t="shared" si="21"/>
        <v>175465</v>
      </c>
      <c r="L486" s="52"/>
      <c r="M486" s="237">
        <v>1459</v>
      </c>
      <c r="N486" s="237">
        <v>0</v>
      </c>
      <c r="O486" s="236">
        <v>4058</v>
      </c>
      <c r="P486" s="93">
        <f t="shared" si="22"/>
        <v>5517</v>
      </c>
      <c r="Q486" s="52"/>
      <c r="R486" s="237">
        <v>78286</v>
      </c>
      <c r="S486" s="236">
        <v>11671</v>
      </c>
      <c r="T486" s="238">
        <v>89957</v>
      </c>
    </row>
    <row r="487" spans="1:20">
      <c r="A487" s="50">
        <v>95009</v>
      </c>
      <c r="B487" s="51" t="s">
        <v>1186</v>
      </c>
      <c r="C487" s="239">
        <v>4.0277999999999998E-3</v>
      </c>
      <c r="D487" s="239">
        <v>4.2208999999999997E-3</v>
      </c>
      <c r="E487" s="216">
        <v>9555319</v>
      </c>
      <c r="F487" s="216" t="s">
        <v>1930</v>
      </c>
      <c r="G487" s="237">
        <v>1474159</v>
      </c>
      <c r="H487" s="225">
        <v>1311662</v>
      </c>
      <c r="I487" s="237">
        <v>2535613</v>
      </c>
      <c r="J487" s="236">
        <v>318871</v>
      </c>
      <c r="K487" s="93">
        <f t="shared" si="21"/>
        <v>5640305</v>
      </c>
      <c r="L487" s="52"/>
      <c r="M487" s="237">
        <v>49465</v>
      </c>
      <c r="N487" s="237">
        <v>0</v>
      </c>
      <c r="O487" s="236">
        <v>113116</v>
      </c>
      <c r="P487" s="93">
        <f t="shared" si="22"/>
        <v>162581</v>
      </c>
      <c r="Q487" s="52"/>
      <c r="R487" s="237">
        <v>2654211</v>
      </c>
      <c r="S487" s="236">
        <v>550303</v>
      </c>
      <c r="T487" s="238">
        <v>3204514</v>
      </c>
    </row>
    <row r="488" spans="1:20">
      <c r="A488" s="50">
        <v>95011</v>
      </c>
      <c r="B488" s="51" t="s">
        <v>2305</v>
      </c>
      <c r="C488" s="239">
        <v>1.8760000000000001E-4</v>
      </c>
      <c r="D488" s="239">
        <v>1.8000000000000001E-4</v>
      </c>
      <c r="E488" s="216">
        <v>445051</v>
      </c>
      <c r="F488" s="216" t="s">
        <v>1930</v>
      </c>
      <c r="G488" s="237">
        <v>68661</v>
      </c>
      <c r="H488" s="225">
        <v>61093</v>
      </c>
      <c r="I488" s="237">
        <v>118099</v>
      </c>
      <c r="J488" s="236">
        <v>5719</v>
      </c>
      <c r="K488" s="93">
        <f t="shared" si="21"/>
        <v>253572</v>
      </c>
      <c r="L488" s="52"/>
      <c r="M488" s="237">
        <v>2304</v>
      </c>
      <c r="N488" s="237">
        <v>0</v>
      </c>
      <c r="O488" s="236">
        <v>4270</v>
      </c>
      <c r="P488" s="93">
        <f t="shared" si="22"/>
        <v>6574</v>
      </c>
      <c r="Q488" s="52"/>
      <c r="R488" s="237">
        <v>123623</v>
      </c>
      <c r="S488" s="236">
        <v>-3004</v>
      </c>
      <c r="T488" s="238">
        <v>120619</v>
      </c>
    </row>
    <row r="489" spans="1:20">
      <c r="A489" s="50">
        <v>95017</v>
      </c>
      <c r="B489" s="51" t="s">
        <v>1188</v>
      </c>
      <c r="C489" s="239">
        <v>4.5500000000000001E-5</v>
      </c>
      <c r="D489" s="239">
        <v>3.8800000000000001E-5</v>
      </c>
      <c r="E489" s="216">
        <v>107942</v>
      </c>
      <c r="F489" s="216" t="s">
        <v>1930</v>
      </c>
      <c r="G489" s="237">
        <v>16653</v>
      </c>
      <c r="H489" s="225">
        <v>14818</v>
      </c>
      <c r="I489" s="237">
        <v>28644</v>
      </c>
      <c r="J489" s="236">
        <v>6820</v>
      </c>
      <c r="K489" s="93">
        <f t="shared" si="21"/>
        <v>66935</v>
      </c>
      <c r="L489" s="52"/>
      <c r="M489" s="237">
        <v>559</v>
      </c>
      <c r="N489" s="237">
        <v>0</v>
      </c>
      <c r="O489" s="236">
        <v>0</v>
      </c>
      <c r="P489" s="93">
        <f t="shared" si="22"/>
        <v>559</v>
      </c>
      <c r="Q489" s="52"/>
      <c r="R489" s="237">
        <v>29983</v>
      </c>
      <c r="S489" s="236">
        <v>7890</v>
      </c>
      <c r="T489" s="238">
        <v>37873</v>
      </c>
    </row>
    <row r="490" spans="1:20">
      <c r="A490" s="50">
        <v>95101</v>
      </c>
      <c r="B490" s="51" t="s">
        <v>1189</v>
      </c>
      <c r="C490" s="239">
        <v>8.5109999999999995E-3</v>
      </c>
      <c r="D490" s="239">
        <v>8.3750999999999999E-3</v>
      </c>
      <c r="E490" s="216">
        <v>20191003</v>
      </c>
      <c r="F490" s="216" t="s">
        <v>1930</v>
      </c>
      <c r="G490" s="237">
        <v>3114992</v>
      </c>
      <c r="H490" s="225">
        <v>2771624</v>
      </c>
      <c r="I490" s="237">
        <v>5357913</v>
      </c>
      <c r="J490" s="236">
        <v>2454</v>
      </c>
      <c r="K490" s="93">
        <f t="shared" si="21"/>
        <v>11246983</v>
      </c>
      <c r="L490" s="52"/>
      <c r="M490" s="237">
        <v>104524</v>
      </c>
      <c r="N490" s="237">
        <v>0</v>
      </c>
      <c r="O490" s="236">
        <v>152878</v>
      </c>
      <c r="P490" s="93">
        <f t="shared" si="22"/>
        <v>257402</v>
      </c>
      <c r="Q490" s="52"/>
      <c r="R490" s="237">
        <v>5608519</v>
      </c>
      <c r="S490" s="236">
        <v>-16926</v>
      </c>
      <c r="T490" s="238">
        <v>5591593</v>
      </c>
    </row>
    <row r="491" spans="1:20">
      <c r="A491" s="50">
        <v>95103</v>
      </c>
      <c r="B491" s="51" t="s">
        <v>1190</v>
      </c>
      <c r="C491" s="239">
        <v>4.4400000000000002E-5</v>
      </c>
      <c r="D491" s="239">
        <v>4.9100000000000001E-5</v>
      </c>
      <c r="E491" s="216">
        <v>105332</v>
      </c>
      <c r="F491" s="216" t="s">
        <v>1930</v>
      </c>
      <c r="G491" s="237">
        <v>16250</v>
      </c>
      <c r="H491" s="225">
        <v>14459</v>
      </c>
      <c r="I491" s="237">
        <v>27951</v>
      </c>
      <c r="J491" s="236">
        <v>9697</v>
      </c>
      <c r="K491" s="93">
        <f t="shared" si="21"/>
        <v>68357</v>
      </c>
      <c r="L491" s="52"/>
      <c r="M491" s="237">
        <v>545</v>
      </c>
      <c r="N491" s="237">
        <v>0</v>
      </c>
      <c r="O491" s="236">
        <v>0</v>
      </c>
      <c r="P491" s="93">
        <f t="shared" si="22"/>
        <v>545</v>
      </c>
      <c r="Q491" s="52"/>
      <c r="R491" s="237">
        <v>29258</v>
      </c>
      <c r="S491" s="236">
        <v>18768</v>
      </c>
      <c r="T491" s="238">
        <v>48026</v>
      </c>
    </row>
    <row r="492" spans="1:20">
      <c r="A492" s="50">
        <v>95104</v>
      </c>
      <c r="B492" s="51" t="s">
        <v>1191</v>
      </c>
      <c r="C492" s="239">
        <v>9.8300000000000004E-5</v>
      </c>
      <c r="D492" s="239">
        <v>1.02E-4</v>
      </c>
      <c r="E492" s="216">
        <v>233201</v>
      </c>
      <c r="F492" s="216" t="s">
        <v>1930</v>
      </c>
      <c r="G492" s="237">
        <v>35977</v>
      </c>
      <c r="H492" s="225">
        <v>32012</v>
      </c>
      <c r="I492" s="237">
        <v>61883</v>
      </c>
      <c r="J492" s="236">
        <v>19229</v>
      </c>
      <c r="K492" s="93">
        <f t="shared" si="21"/>
        <v>149101</v>
      </c>
      <c r="L492" s="52"/>
      <c r="M492" s="237">
        <v>1207</v>
      </c>
      <c r="N492" s="237">
        <v>0</v>
      </c>
      <c r="O492" s="236">
        <v>0</v>
      </c>
      <c r="P492" s="93">
        <f t="shared" si="22"/>
        <v>1207</v>
      </c>
      <c r="Q492" s="52"/>
      <c r="R492" s="237">
        <v>64777</v>
      </c>
      <c r="S492" s="236">
        <v>10356</v>
      </c>
      <c r="T492" s="238">
        <v>75133</v>
      </c>
    </row>
    <row r="493" spans="1:20">
      <c r="A493" s="50">
        <v>95105</v>
      </c>
      <c r="B493" s="51" t="s">
        <v>1192</v>
      </c>
      <c r="C493" s="239">
        <v>6.5900000000000003E-5</v>
      </c>
      <c r="D493" s="239">
        <v>6.1099999999999994E-5</v>
      </c>
      <c r="E493" s="216">
        <v>156337</v>
      </c>
      <c r="F493" s="216" t="s">
        <v>1930</v>
      </c>
      <c r="G493" s="237">
        <v>24119</v>
      </c>
      <c r="H493" s="225">
        <v>21460</v>
      </c>
      <c r="I493" s="237">
        <v>41486</v>
      </c>
      <c r="J493" s="236">
        <v>10343</v>
      </c>
      <c r="K493" s="93">
        <f t="shared" si="21"/>
        <v>97408</v>
      </c>
      <c r="L493" s="52"/>
      <c r="M493" s="237">
        <v>809</v>
      </c>
      <c r="N493" s="237">
        <v>0</v>
      </c>
      <c r="O493" s="236">
        <v>0</v>
      </c>
      <c r="P493" s="93">
        <f t="shared" si="22"/>
        <v>809</v>
      </c>
      <c r="Q493" s="52"/>
      <c r="R493" s="237">
        <v>43426</v>
      </c>
      <c r="S493" s="236">
        <v>5557</v>
      </c>
      <c r="T493" s="238">
        <v>48983</v>
      </c>
    </row>
    <row r="494" spans="1:20">
      <c r="A494" s="50">
        <v>95106</v>
      </c>
      <c r="B494" s="51" t="s">
        <v>2306</v>
      </c>
      <c r="C494" s="239">
        <v>1.3900000000000001E-5</v>
      </c>
      <c r="D494" s="239">
        <v>1.2099999999999999E-5</v>
      </c>
      <c r="E494" s="216">
        <v>32976</v>
      </c>
      <c r="F494" s="216" t="s">
        <v>1930</v>
      </c>
      <c r="G494" s="237">
        <v>5087</v>
      </c>
      <c r="H494" s="225">
        <v>4527</v>
      </c>
      <c r="I494" s="237">
        <v>8750</v>
      </c>
      <c r="J494" s="236">
        <v>4636</v>
      </c>
      <c r="K494" s="93">
        <f t="shared" si="21"/>
        <v>23000</v>
      </c>
      <c r="L494" s="52"/>
      <c r="M494" s="237">
        <v>171</v>
      </c>
      <c r="N494" s="237">
        <v>0</v>
      </c>
      <c r="O494" s="236">
        <v>1076</v>
      </c>
      <c r="P494" s="93">
        <f t="shared" si="22"/>
        <v>1247</v>
      </c>
      <c r="Q494" s="52"/>
      <c r="R494" s="237">
        <v>9160</v>
      </c>
      <c r="S494" s="236">
        <v>2803</v>
      </c>
      <c r="T494" s="238">
        <v>11963</v>
      </c>
    </row>
    <row r="495" spans="1:20">
      <c r="A495" s="50">
        <v>95110</v>
      </c>
      <c r="B495" s="51" t="s">
        <v>1194</v>
      </c>
      <c r="C495" s="239">
        <v>3.5975E-3</v>
      </c>
      <c r="D495" s="239">
        <v>4.2902000000000001E-3</v>
      </c>
      <c r="E495" s="216">
        <v>8534500</v>
      </c>
      <c r="F495" s="216" t="s">
        <v>1930</v>
      </c>
      <c r="G495" s="237">
        <v>1316671</v>
      </c>
      <c r="H495" s="225">
        <v>1171533</v>
      </c>
      <c r="I495" s="237">
        <v>2264727</v>
      </c>
      <c r="J495" s="236">
        <v>0</v>
      </c>
      <c r="K495" s="93">
        <f t="shared" si="21"/>
        <v>4752931</v>
      </c>
      <c r="L495" s="52"/>
      <c r="M495" s="237">
        <v>44181</v>
      </c>
      <c r="N495" s="237">
        <v>0</v>
      </c>
      <c r="O495" s="236">
        <v>813395</v>
      </c>
      <c r="P495" s="93">
        <f t="shared" si="22"/>
        <v>857576</v>
      </c>
      <c r="Q495" s="52"/>
      <c r="R495" s="237">
        <v>2370655</v>
      </c>
      <c r="S495" s="236">
        <v>-720222</v>
      </c>
      <c r="T495" s="238">
        <v>1650433</v>
      </c>
    </row>
    <row r="496" spans="1:20">
      <c r="A496" s="50">
        <v>95111</v>
      </c>
      <c r="B496" s="51" t="s">
        <v>2307</v>
      </c>
      <c r="C496" s="239">
        <v>1.1188999999999999E-3</v>
      </c>
      <c r="D496" s="239">
        <v>1.0778999999999999E-3</v>
      </c>
      <c r="E496" s="216">
        <v>2654413</v>
      </c>
      <c r="F496" s="216" t="s">
        <v>1930</v>
      </c>
      <c r="G496" s="237">
        <v>409513</v>
      </c>
      <c r="H496" s="225">
        <v>364372</v>
      </c>
      <c r="I496" s="237">
        <v>704379</v>
      </c>
      <c r="J496" s="236">
        <v>0</v>
      </c>
      <c r="K496" s="93">
        <f t="shared" si="21"/>
        <v>1478264</v>
      </c>
      <c r="L496" s="52"/>
      <c r="M496" s="237">
        <v>13741</v>
      </c>
      <c r="N496" s="237">
        <v>0</v>
      </c>
      <c r="O496" s="236">
        <v>72731</v>
      </c>
      <c r="P496" s="93">
        <f t="shared" si="22"/>
        <v>86472</v>
      </c>
      <c r="Q496" s="52"/>
      <c r="R496" s="237">
        <v>737325</v>
      </c>
      <c r="S496" s="236">
        <v>-62211</v>
      </c>
      <c r="T496" s="238">
        <v>675114</v>
      </c>
    </row>
    <row r="497" spans="1:20">
      <c r="A497" s="50">
        <v>95113</v>
      </c>
      <c r="B497" s="51" t="s">
        <v>1196</v>
      </c>
      <c r="C497" s="239">
        <v>4.49E-5</v>
      </c>
      <c r="D497" s="239">
        <v>4.6699999999999997E-5</v>
      </c>
      <c r="E497" s="216">
        <v>106518</v>
      </c>
      <c r="F497" s="216" t="s">
        <v>1930</v>
      </c>
      <c r="G497" s="237">
        <v>16433</v>
      </c>
      <c r="H497" s="225">
        <v>14621</v>
      </c>
      <c r="I497" s="237">
        <v>28266</v>
      </c>
      <c r="J497" s="236">
        <v>91937</v>
      </c>
      <c r="K497" s="93">
        <f t="shared" si="21"/>
        <v>151257</v>
      </c>
      <c r="L497" s="52"/>
      <c r="M497" s="237">
        <v>551</v>
      </c>
      <c r="N497" s="237">
        <v>0</v>
      </c>
      <c r="O497" s="236">
        <v>0</v>
      </c>
      <c r="P497" s="93">
        <f t="shared" si="22"/>
        <v>551</v>
      </c>
      <c r="Q497" s="52"/>
      <c r="R497" s="237">
        <v>29588</v>
      </c>
      <c r="S497" s="236">
        <v>41492</v>
      </c>
      <c r="T497" s="238">
        <v>71080</v>
      </c>
    </row>
    <row r="498" spans="1:20">
      <c r="A498" s="50">
        <v>95121</v>
      </c>
      <c r="B498" s="51" t="s">
        <v>2308</v>
      </c>
      <c r="C498" s="239">
        <v>5.2059999999999997E-4</v>
      </c>
      <c r="D498" s="239">
        <v>4.9770000000000001E-4</v>
      </c>
      <c r="E498" s="216">
        <v>1235041</v>
      </c>
      <c r="F498" s="216" t="s">
        <v>1930</v>
      </c>
      <c r="G498" s="237">
        <v>190538</v>
      </c>
      <c r="H498" s="225">
        <v>169535</v>
      </c>
      <c r="I498" s="237">
        <v>327732</v>
      </c>
      <c r="J498" s="236">
        <v>13463</v>
      </c>
      <c r="K498" s="93">
        <f t="shared" si="21"/>
        <v>701268</v>
      </c>
      <c r="L498" s="52"/>
      <c r="M498" s="237">
        <v>6393</v>
      </c>
      <c r="N498" s="237">
        <v>0</v>
      </c>
      <c r="O498" s="236">
        <v>1285</v>
      </c>
      <c r="P498" s="93">
        <f t="shared" si="22"/>
        <v>7678</v>
      </c>
      <c r="Q498" s="52"/>
      <c r="R498" s="237">
        <v>343061</v>
      </c>
      <c r="S498" s="236">
        <v>-5897</v>
      </c>
      <c r="T498" s="238">
        <v>337164</v>
      </c>
    </row>
    <row r="499" spans="1:20">
      <c r="A499" s="50">
        <v>95122</v>
      </c>
      <c r="B499" s="51" t="s">
        <v>2309</v>
      </c>
      <c r="C499" s="239">
        <v>6.6000000000000003E-6</v>
      </c>
      <c r="D499" s="239">
        <v>6.4999999999999996E-6</v>
      </c>
      <c r="E499" s="216">
        <v>15657</v>
      </c>
      <c r="F499" s="216" t="s">
        <v>1930</v>
      </c>
      <c r="G499" s="237">
        <v>2416</v>
      </c>
      <c r="H499" s="225">
        <v>2149</v>
      </c>
      <c r="I499" s="237">
        <v>4155</v>
      </c>
      <c r="J499" s="236">
        <v>3737</v>
      </c>
      <c r="K499" s="93">
        <f t="shared" si="21"/>
        <v>12457</v>
      </c>
      <c r="L499" s="52"/>
      <c r="M499" s="237">
        <v>81</v>
      </c>
      <c r="N499" s="237">
        <v>0</v>
      </c>
      <c r="O499" s="236">
        <v>0</v>
      </c>
      <c r="P499" s="93">
        <f t="shared" si="22"/>
        <v>81</v>
      </c>
      <c r="Q499" s="52"/>
      <c r="R499" s="237">
        <v>4349</v>
      </c>
      <c r="S499" s="236">
        <v>1394</v>
      </c>
      <c r="T499" s="238">
        <v>5743</v>
      </c>
    </row>
    <row r="500" spans="1:20">
      <c r="A500" s="50">
        <v>95123</v>
      </c>
      <c r="B500" s="51" t="s">
        <v>1199</v>
      </c>
      <c r="C500" s="239">
        <v>5.41E-5</v>
      </c>
      <c r="D500" s="239">
        <v>5.7399999999999999E-5</v>
      </c>
      <c r="E500" s="216">
        <v>128344</v>
      </c>
      <c r="F500" s="216" t="s">
        <v>1930</v>
      </c>
      <c r="G500" s="237">
        <v>19800</v>
      </c>
      <c r="H500" s="225">
        <v>17617</v>
      </c>
      <c r="I500" s="237">
        <v>34057</v>
      </c>
      <c r="J500" s="236">
        <v>5660</v>
      </c>
      <c r="K500" s="93">
        <f t="shared" si="21"/>
        <v>77134</v>
      </c>
      <c r="L500" s="52"/>
      <c r="M500" s="237">
        <v>664</v>
      </c>
      <c r="N500" s="237">
        <v>0</v>
      </c>
      <c r="O500" s="236">
        <v>0</v>
      </c>
      <c r="P500" s="93">
        <f t="shared" si="22"/>
        <v>664</v>
      </c>
      <c r="Q500" s="52"/>
      <c r="R500" s="237">
        <v>35650</v>
      </c>
      <c r="S500" s="236">
        <v>1881</v>
      </c>
      <c r="T500" s="238">
        <v>37531</v>
      </c>
    </row>
    <row r="501" spans="1:20">
      <c r="A501" s="50">
        <v>95131</v>
      </c>
      <c r="B501" s="51" t="s">
        <v>2310</v>
      </c>
      <c r="C501" s="239">
        <v>1.7581000000000001E-3</v>
      </c>
      <c r="D501" s="239">
        <v>1.6682999999999999E-3</v>
      </c>
      <c r="E501" s="216">
        <v>4170814</v>
      </c>
      <c r="F501" s="216" t="s">
        <v>1930</v>
      </c>
      <c r="G501" s="237">
        <v>643458</v>
      </c>
      <c r="H501" s="225">
        <v>572529</v>
      </c>
      <c r="I501" s="237">
        <v>1106773</v>
      </c>
      <c r="J501" s="236">
        <v>95997</v>
      </c>
      <c r="K501" s="93">
        <f t="shared" si="21"/>
        <v>2418757</v>
      </c>
      <c r="L501" s="52"/>
      <c r="M501" s="237">
        <v>21591</v>
      </c>
      <c r="N501" s="237">
        <v>0</v>
      </c>
      <c r="O501" s="236">
        <v>0</v>
      </c>
      <c r="P501" s="93">
        <f t="shared" si="22"/>
        <v>21591</v>
      </c>
      <c r="Q501" s="52"/>
      <c r="R501" s="237">
        <v>1158540</v>
      </c>
      <c r="S501" s="236">
        <v>40038</v>
      </c>
      <c r="T501" s="238">
        <v>1198578</v>
      </c>
    </row>
    <row r="502" spans="1:20">
      <c r="A502" s="50">
        <v>95141</v>
      </c>
      <c r="B502" s="51" t="s">
        <v>2311</v>
      </c>
      <c r="C502" s="239">
        <v>3.2400000000000001E-4</v>
      </c>
      <c r="D502" s="239">
        <v>3.2220000000000003E-4</v>
      </c>
      <c r="E502" s="216">
        <v>768639</v>
      </c>
      <c r="F502" s="216" t="s">
        <v>1930</v>
      </c>
      <c r="G502" s="237">
        <v>118583</v>
      </c>
      <c r="H502" s="225">
        <v>105512</v>
      </c>
      <c r="I502" s="237">
        <v>203967</v>
      </c>
      <c r="J502" s="236">
        <v>0</v>
      </c>
      <c r="K502" s="93">
        <f t="shared" si="21"/>
        <v>428062</v>
      </c>
      <c r="L502" s="52"/>
      <c r="M502" s="237">
        <v>3979</v>
      </c>
      <c r="N502" s="237">
        <v>0</v>
      </c>
      <c r="O502" s="236">
        <v>23502</v>
      </c>
      <c r="P502" s="93">
        <f t="shared" si="22"/>
        <v>27481</v>
      </c>
      <c r="Q502" s="52"/>
      <c r="R502" s="237">
        <v>213507</v>
      </c>
      <c r="S502" s="236">
        <v>-12963</v>
      </c>
      <c r="T502" s="238">
        <v>200544</v>
      </c>
    </row>
    <row r="503" spans="1:20">
      <c r="A503" s="50">
        <v>95151</v>
      </c>
      <c r="B503" s="51" t="s">
        <v>2312</v>
      </c>
      <c r="C503" s="239">
        <v>1.159E-4</v>
      </c>
      <c r="D503" s="239">
        <v>1.092E-4</v>
      </c>
      <c r="E503" s="216">
        <v>274954</v>
      </c>
      <c r="F503" s="216" t="s">
        <v>1930</v>
      </c>
      <c r="G503" s="237">
        <v>42419</v>
      </c>
      <c r="H503" s="225">
        <v>37743</v>
      </c>
      <c r="I503" s="237">
        <v>72962</v>
      </c>
      <c r="J503" s="236">
        <v>249</v>
      </c>
      <c r="K503" s="93">
        <f t="shared" si="21"/>
        <v>153373</v>
      </c>
      <c r="L503" s="52"/>
      <c r="M503" s="237">
        <v>1423</v>
      </c>
      <c r="N503" s="237">
        <v>0</v>
      </c>
      <c r="O503" s="236">
        <v>7102</v>
      </c>
      <c r="P503" s="93">
        <f t="shared" si="22"/>
        <v>8525</v>
      </c>
      <c r="Q503" s="52"/>
      <c r="R503" s="237">
        <v>76375</v>
      </c>
      <c r="S503" s="236">
        <v>-3275</v>
      </c>
      <c r="T503" s="238">
        <v>73100</v>
      </c>
    </row>
    <row r="504" spans="1:20">
      <c r="A504" s="50">
        <v>95161</v>
      </c>
      <c r="B504" s="51" t="s">
        <v>2313</v>
      </c>
      <c r="C504" s="239">
        <v>6.9200000000000002E-5</v>
      </c>
      <c r="D504" s="239">
        <v>6.8100000000000002E-5</v>
      </c>
      <c r="E504" s="216">
        <v>164166</v>
      </c>
      <c r="F504" s="216" t="s">
        <v>1930</v>
      </c>
      <c r="G504" s="237">
        <v>25327</v>
      </c>
      <c r="H504" s="225">
        <v>22535</v>
      </c>
      <c r="I504" s="237">
        <v>43563</v>
      </c>
      <c r="J504" s="236">
        <v>10072</v>
      </c>
      <c r="K504" s="93">
        <f t="shared" si="21"/>
        <v>101497</v>
      </c>
      <c r="L504" s="52"/>
      <c r="M504" s="237">
        <v>850</v>
      </c>
      <c r="N504" s="237">
        <v>0</v>
      </c>
      <c r="O504" s="236">
        <v>610</v>
      </c>
      <c r="P504" s="93">
        <f t="shared" si="22"/>
        <v>1460</v>
      </c>
      <c r="Q504" s="52"/>
      <c r="R504" s="237">
        <v>45601</v>
      </c>
      <c r="S504" s="236">
        <v>2943</v>
      </c>
      <c r="T504" s="238">
        <v>48544</v>
      </c>
    </row>
    <row r="505" spans="1:20">
      <c r="A505" s="50">
        <v>95171</v>
      </c>
      <c r="B505" s="51" t="s">
        <v>2314</v>
      </c>
      <c r="C505" s="239">
        <v>8.8599999999999999E-5</v>
      </c>
      <c r="D505" s="239">
        <v>1.0459999999999999E-4</v>
      </c>
      <c r="E505" s="216">
        <v>210190</v>
      </c>
      <c r="F505" s="216" t="s">
        <v>1930</v>
      </c>
      <c r="G505" s="237">
        <v>32427</v>
      </c>
      <c r="H505" s="225">
        <v>28853</v>
      </c>
      <c r="I505" s="237">
        <v>55776</v>
      </c>
      <c r="J505" s="236">
        <v>3021</v>
      </c>
      <c r="K505" s="93">
        <f t="shared" si="21"/>
        <v>120077</v>
      </c>
      <c r="L505" s="52"/>
      <c r="M505" s="237">
        <v>1088</v>
      </c>
      <c r="N505" s="237">
        <v>0</v>
      </c>
      <c r="O505" s="236">
        <v>15947</v>
      </c>
      <c r="P505" s="93">
        <f t="shared" si="22"/>
        <v>17035</v>
      </c>
      <c r="Q505" s="52"/>
      <c r="R505" s="237">
        <v>58385</v>
      </c>
      <c r="S505" s="236">
        <v>-5663</v>
      </c>
      <c r="T505" s="238">
        <v>52722</v>
      </c>
    </row>
    <row r="506" spans="1:20">
      <c r="A506" s="50">
        <v>95181</v>
      </c>
      <c r="B506" s="51" t="s">
        <v>2315</v>
      </c>
      <c r="C506" s="239">
        <v>7.7899999999999996E-5</v>
      </c>
      <c r="D506" s="239">
        <v>7.7100000000000004E-5</v>
      </c>
      <c r="E506" s="217">
        <v>184805</v>
      </c>
      <c r="F506" s="217" t="s">
        <v>1930</v>
      </c>
      <c r="G506" s="237">
        <v>28511</v>
      </c>
      <c r="H506" s="225">
        <v>25368</v>
      </c>
      <c r="I506" s="237">
        <v>49040</v>
      </c>
      <c r="J506" s="236">
        <v>482</v>
      </c>
      <c r="K506" s="93">
        <f t="shared" si="21"/>
        <v>103401</v>
      </c>
      <c r="L506" s="52"/>
      <c r="M506" s="237">
        <v>957</v>
      </c>
      <c r="N506" s="237">
        <v>0</v>
      </c>
      <c r="O506" s="236">
        <v>10181</v>
      </c>
      <c r="P506" s="93">
        <f t="shared" si="22"/>
        <v>11138</v>
      </c>
      <c r="Q506" s="52"/>
      <c r="R506" s="237">
        <v>51334</v>
      </c>
      <c r="S506" s="236">
        <v>-3375</v>
      </c>
      <c r="T506" s="238">
        <v>47959</v>
      </c>
    </row>
    <row r="507" spans="1:20">
      <c r="A507" s="50">
        <v>95191</v>
      </c>
      <c r="B507" s="51" t="s">
        <v>2316</v>
      </c>
      <c r="C507" s="239">
        <v>4.2599999999999999E-5</v>
      </c>
      <c r="D507" s="239">
        <v>5.3999999999999998E-5</v>
      </c>
      <c r="E507" s="217">
        <v>101062</v>
      </c>
      <c r="F507" s="217" t="s">
        <v>1930</v>
      </c>
      <c r="G507" s="237">
        <v>15591</v>
      </c>
      <c r="H507" s="225">
        <v>13873</v>
      </c>
      <c r="I507" s="237">
        <v>26818</v>
      </c>
      <c r="J507" s="236">
        <v>9524</v>
      </c>
      <c r="K507" s="93">
        <f t="shared" si="21"/>
        <v>65806</v>
      </c>
      <c r="L507" s="52"/>
      <c r="M507" s="237">
        <v>523</v>
      </c>
      <c r="N507" s="237">
        <v>0</v>
      </c>
      <c r="O507" s="236">
        <v>3442</v>
      </c>
      <c r="P507" s="93">
        <f t="shared" si="22"/>
        <v>3965</v>
      </c>
      <c r="Q507" s="52"/>
      <c r="R507" s="237">
        <v>28072</v>
      </c>
      <c r="S507" s="236">
        <v>5235</v>
      </c>
      <c r="T507" s="238">
        <v>33307</v>
      </c>
    </row>
    <row r="508" spans="1:20">
      <c r="A508" s="50">
        <v>95201</v>
      </c>
      <c r="B508" s="51" t="s">
        <v>1207</v>
      </c>
      <c r="C508" s="239">
        <v>7.0259999999999995E-4</v>
      </c>
      <c r="D508" s="239">
        <v>7.0969999999999996E-4</v>
      </c>
      <c r="E508" s="217">
        <v>1666807</v>
      </c>
      <c r="F508" s="217" t="s">
        <v>1930</v>
      </c>
      <c r="G508" s="237">
        <v>257149</v>
      </c>
      <c r="H508" s="225">
        <v>228803</v>
      </c>
      <c r="I508" s="237">
        <v>442306</v>
      </c>
      <c r="J508" s="236">
        <v>4233</v>
      </c>
      <c r="K508" s="93">
        <f t="shared" si="21"/>
        <v>932491</v>
      </c>
      <c r="L508" s="52"/>
      <c r="M508" s="237">
        <v>8629</v>
      </c>
      <c r="N508" s="237">
        <v>0</v>
      </c>
      <c r="O508" s="236">
        <v>29894</v>
      </c>
      <c r="P508" s="93">
        <f t="shared" si="22"/>
        <v>38523</v>
      </c>
      <c r="Q508" s="52"/>
      <c r="R508" s="237">
        <v>462994</v>
      </c>
      <c r="S508" s="236">
        <v>-14817</v>
      </c>
      <c r="T508" s="238">
        <v>448177</v>
      </c>
    </row>
    <row r="509" spans="1:20">
      <c r="A509" s="50">
        <v>95204</v>
      </c>
      <c r="B509" s="51" t="s">
        <v>1208</v>
      </c>
      <c r="C509" s="239">
        <v>1.06E-5</v>
      </c>
      <c r="D509" s="239">
        <v>1.26E-5</v>
      </c>
      <c r="E509" s="217">
        <v>25147</v>
      </c>
      <c r="F509" s="217" t="s">
        <v>1930</v>
      </c>
      <c r="G509" s="237">
        <v>3880</v>
      </c>
      <c r="H509" s="225">
        <v>3452</v>
      </c>
      <c r="I509" s="237">
        <v>6673</v>
      </c>
      <c r="J509" s="236">
        <v>1368</v>
      </c>
      <c r="K509" s="93">
        <f t="shared" si="21"/>
        <v>15373</v>
      </c>
      <c r="L509" s="52"/>
      <c r="M509" s="237">
        <v>130</v>
      </c>
      <c r="N509" s="237">
        <v>0</v>
      </c>
      <c r="O509" s="236">
        <v>775</v>
      </c>
      <c r="P509" s="93">
        <f t="shared" si="22"/>
        <v>905</v>
      </c>
      <c r="Q509" s="52"/>
      <c r="R509" s="237">
        <v>6985</v>
      </c>
      <c r="S509" s="236">
        <v>-261</v>
      </c>
      <c r="T509" s="238">
        <v>6724</v>
      </c>
    </row>
    <row r="510" spans="1:20">
      <c r="A510" s="50">
        <v>95205</v>
      </c>
      <c r="B510" s="51" t="s">
        <v>1209</v>
      </c>
      <c r="C510" s="239">
        <v>1.7E-6</v>
      </c>
      <c r="D510" s="239">
        <v>4.5000000000000001E-6</v>
      </c>
      <c r="E510" s="217">
        <v>4033</v>
      </c>
      <c r="F510" s="217" t="s">
        <v>1930</v>
      </c>
      <c r="G510" s="237">
        <v>622</v>
      </c>
      <c r="H510" s="225">
        <v>553</v>
      </c>
      <c r="I510" s="237">
        <v>1070</v>
      </c>
      <c r="J510" s="236">
        <v>294</v>
      </c>
      <c r="K510" s="93">
        <f t="shared" si="21"/>
        <v>2539</v>
      </c>
      <c r="L510" s="52"/>
      <c r="M510" s="237">
        <v>21</v>
      </c>
      <c r="N510" s="237">
        <v>0</v>
      </c>
      <c r="O510" s="236">
        <v>949</v>
      </c>
      <c r="P510" s="93">
        <f t="shared" si="22"/>
        <v>970</v>
      </c>
      <c r="Q510" s="52"/>
      <c r="R510" s="237">
        <v>1120</v>
      </c>
      <c r="S510" s="236">
        <v>74</v>
      </c>
      <c r="T510" s="238">
        <v>1194</v>
      </c>
    </row>
    <row r="511" spans="1:20">
      <c r="A511" s="50">
        <v>95211</v>
      </c>
      <c r="B511" s="51" t="s">
        <v>2317</v>
      </c>
      <c r="C511" s="239">
        <v>5.4999999999999999E-6</v>
      </c>
      <c r="D511" s="239">
        <v>8.3999999999999992E-6</v>
      </c>
      <c r="E511" s="217">
        <v>13048</v>
      </c>
      <c r="F511" s="217" t="s">
        <v>1930</v>
      </c>
      <c r="G511" s="237">
        <v>2013</v>
      </c>
      <c r="H511" s="225">
        <v>1791</v>
      </c>
      <c r="I511" s="237">
        <v>3462</v>
      </c>
      <c r="J511" s="236">
        <v>946</v>
      </c>
      <c r="K511" s="93">
        <f t="shared" si="21"/>
        <v>8212</v>
      </c>
      <c r="L511" s="52"/>
      <c r="M511" s="237">
        <v>68</v>
      </c>
      <c r="N511" s="237">
        <v>0</v>
      </c>
      <c r="O511" s="236">
        <v>1758</v>
      </c>
      <c r="P511" s="93">
        <f t="shared" si="22"/>
        <v>1826</v>
      </c>
      <c r="Q511" s="52"/>
      <c r="R511" s="237">
        <v>3624</v>
      </c>
      <c r="S511" s="236">
        <v>-902</v>
      </c>
      <c r="T511" s="238">
        <v>2722</v>
      </c>
    </row>
    <row r="512" spans="1:20">
      <c r="A512" s="50">
        <v>95221</v>
      </c>
      <c r="B512" s="51" t="s">
        <v>2318</v>
      </c>
      <c r="C512" s="239">
        <v>5.7000000000000003E-5</v>
      </c>
      <c r="D512" s="239">
        <v>4.4100000000000001E-5</v>
      </c>
      <c r="E512" s="217">
        <v>135223</v>
      </c>
      <c r="F512" s="217" t="s">
        <v>1930</v>
      </c>
      <c r="G512" s="237">
        <v>20862</v>
      </c>
      <c r="H512" s="225">
        <v>18562</v>
      </c>
      <c r="I512" s="237">
        <v>35883</v>
      </c>
      <c r="J512" s="236">
        <v>20204</v>
      </c>
      <c r="K512" s="93">
        <f t="shared" si="21"/>
        <v>95511</v>
      </c>
      <c r="L512" s="52"/>
      <c r="M512" s="237">
        <v>700</v>
      </c>
      <c r="N512" s="237">
        <v>0</v>
      </c>
      <c r="O512" s="236">
        <v>6516</v>
      </c>
      <c r="P512" s="93">
        <f t="shared" si="22"/>
        <v>7216</v>
      </c>
      <c r="Q512" s="52"/>
      <c r="R512" s="237">
        <v>37561</v>
      </c>
      <c r="S512" s="236">
        <v>4121</v>
      </c>
      <c r="T512" s="238">
        <v>41682</v>
      </c>
    </row>
    <row r="513" spans="1:20">
      <c r="A513" s="50">
        <v>95301</v>
      </c>
      <c r="B513" s="51" t="s">
        <v>1212</v>
      </c>
      <c r="C513" s="239">
        <v>2.3362000000000001E-3</v>
      </c>
      <c r="D513" s="239">
        <v>2.3917999999999999E-3</v>
      </c>
      <c r="E513" s="217">
        <v>5542265</v>
      </c>
      <c r="F513" s="217" t="s">
        <v>1930</v>
      </c>
      <c r="G513" s="237">
        <v>855040</v>
      </c>
      <c r="H513" s="225">
        <v>760788</v>
      </c>
      <c r="I513" s="237">
        <v>1470703</v>
      </c>
      <c r="J513" s="236">
        <v>42774</v>
      </c>
      <c r="K513" s="93">
        <f t="shared" si="21"/>
        <v>3129305</v>
      </c>
      <c r="L513" s="52"/>
      <c r="M513" s="237">
        <v>28691</v>
      </c>
      <c r="N513" s="237">
        <v>0</v>
      </c>
      <c r="O513" s="236">
        <v>25264</v>
      </c>
      <c r="P513" s="93">
        <f t="shared" si="22"/>
        <v>53955</v>
      </c>
      <c r="Q513" s="52"/>
      <c r="R513" s="237">
        <v>1539493</v>
      </c>
      <c r="S513" s="236">
        <v>13159</v>
      </c>
      <c r="T513" s="238">
        <v>1552652</v>
      </c>
    </row>
    <row r="514" spans="1:20">
      <c r="A514" s="50">
        <v>95311</v>
      </c>
      <c r="B514" s="51" t="s">
        <v>1213</v>
      </c>
      <c r="C514" s="239">
        <v>2.6302999999999999E-3</v>
      </c>
      <c r="D514" s="239">
        <v>2.6873999999999999E-3</v>
      </c>
      <c r="E514" s="217">
        <v>6239971</v>
      </c>
      <c r="F514" s="217" t="s">
        <v>1930</v>
      </c>
      <c r="G514" s="237">
        <v>962679</v>
      </c>
      <c r="H514" s="225">
        <v>856562</v>
      </c>
      <c r="I514" s="237">
        <v>1655847</v>
      </c>
      <c r="J514" s="236">
        <v>41494</v>
      </c>
      <c r="K514" s="93">
        <f t="shared" si="21"/>
        <v>3516582</v>
      </c>
      <c r="L514" s="52"/>
      <c r="M514" s="237">
        <v>32303</v>
      </c>
      <c r="N514" s="237">
        <v>0</v>
      </c>
      <c r="O514" s="236">
        <v>58842</v>
      </c>
      <c r="P514" s="93">
        <f t="shared" si="22"/>
        <v>91145</v>
      </c>
      <c r="Q514" s="52"/>
      <c r="R514" s="237">
        <v>1733297</v>
      </c>
      <c r="S514" s="236">
        <v>-43357</v>
      </c>
      <c r="T514" s="238">
        <v>1689940</v>
      </c>
    </row>
    <row r="515" spans="1:20">
      <c r="A515" s="50">
        <v>95317</v>
      </c>
      <c r="B515" s="51" t="s">
        <v>1214</v>
      </c>
      <c r="C515" s="239">
        <v>4.32E-5</v>
      </c>
      <c r="D515" s="239">
        <v>4.8900000000000003E-5</v>
      </c>
      <c r="E515" s="217">
        <v>102485</v>
      </c>
      <c r="F515" s="217" t="s">
        <v>1930</v>
      </c>
      <c r="G515" s="237">
        <v>15811</v>
      </c>
      <c r="H515" s="225">
        <v>14068</v>
      </c>
      <c r="I515" s="237">
        <v>27196</v>
      </c>
      <c r="J515" s="236">
        <v>4826</v>
      </c>
      <c r="K515" s="93">
        <f t="shared" si="21"/>
        <v>61901</v>
      </c>
      <c r="L515" s="52"/>
      <c r="M515" s="237">
        <v>531</v>
      </c>
      <c r="N515" s="237">
        <v>0</v>
      </c>
      <c r="O515" s="236">
        <v>0</v>
      </c>
      <c r="P515" s="93">
        <f t="shared" si="22"/>
        <v>531</v>
      </c>
      <c r="Q515" s="52"/>
      <c r="R515" s="237">
        <v>28468</v>
      </c>
      <c r="S515" s="236">
        <v>2726</v>
      </c>
      <c r="T515" s="238">
        <v>31194</v>
      </c>
    </row>
    <row r="516" spans="1:20">
      <c r="A516" s="50">
        <v>95321</v>
      </c>
      <c r="B516" s="51" t="s">
        <v>2319</v>
      </c>
      <c r="C516" s="239">
        <v>5.1999999999999997E-5</v>
      </c>
      <c r="D516" s="239">
        <v>4.71E-5</v>
      </c>
      <c r="E516" s="217">
        <v>123362</v>
      </c>
      <c r="F516" s="217" t="s">
        <v>1930</v>
      </c>
      <c r="G516" s="237">
        <v>19032</v>
      </c>
      <c r="H516" s="225">
        <v>16934</v>
      </c>
      <c r="I516" s="237">
        <v>32735</v>
      </c>
      <c r="J516" s="236">
        <v>6589</v>
      </c>
      <c r="K516" s="93">
        <f t="shared" si="21"/>
        <v>75290</v>
      </c>
      <c r="L516" s="52"/>
      <c r="M516" s="237">
        <v>639</v>
      </c>
      <c r="N516" s="237">
        <v>0</v>
      </c>
      <c r="O516" s="236">
        <v>1618</v>
      </c>
      <c r="P516" s="93">
        <f t="shared" si="22"/>
        <v>2257</v>
      </c>
      <c r="Q516" s="52"/>
      <c r="R516" s="237">
        <v>34267</v>
      </c>
      <c r="S516" s="236">
        <v>2368</v>
      </c>
      <c r="T516" s="238">
        <v>36635</v>
      </c>
    </row>
    <row r="517" spans="1:20">
      <c r="A517" s="50">
        <v>95401</v>
      </c>
      <c r="B517" s="51" t="s">
        <v>1216</v>
      </c>
      <c r="C517" s="239">
        <v>2.8792000000000002E-3</v>
      </c>
      <c r="D517" s="239">
        <v>2.9992E-3</v>
      </c>
      <c r="E517" s="217">
        <v>6830447</v>
      </c>
      <c r="F517" s="217" t="s">
        <v>1930</v>
      </c>
      <c r="G517" s="237">
        <v>1053776</v>
      </c>
      <c r="H517" s="225">
        <v>937617</v>
      </c>
      <c r="I517" s="237">
        <v>1812537</v>
      </c>
      <c r="J517" s="236">
        <v>12696</v>
      </c>
      <c r="K517" s="93">
        <f t="shared" si="21"/>
        <v>3816626</v>
      </c>
      <c r="L517" s="52"/>
      <c r="M517" s="237">
        <v>35359</v>
      </c>
      <c r="N517" s="237">
        <v>0</v>
      </c>
      <c r="O517" s="236">
        <v>132713</v>
      </c>
      <c r="P517" s="93">
        <f t="shared" si="22"/>
        <v>168072</v>
      </c>
      <c r="Q517" s="52"/>
      <c r="R517" s="237">
        <v>1897315</v>
      </c>
      <c r="S517" s="236">
        <v>-19424</v>
      </c>
      <c r="T517" s="238">
        <v>1877891</v>
      </c>
    </row>
    <row r="518" spans="1:20">
      <c r="A518" s="50">
        <v>95404</v>
      </c>
      <c r="B518" s="51" t="s">
        <v>1217</v>
      </c>
      <c r="C518" s="239">
        <v>5.0000000000000002E-5</v>
      </c>
      <c r="D518" s="239">
        <v>5.3100000000000003E-5</v>
      </c>
      <c r="E518" s="217">
        <v>118617</v>
      </c>
      <c r="F518" s="217" t="s">
        <v>1930</v>
      </c>
      <c r="G518" s="237">
        <v>18300</v>
      </c>
      <c r="H518" s="225">
        <v>16283</v>
      </c>
      <c r="I518" s="237">
        <v>31476</v>
      </c>
      <c r="J518" s="236">
        <v>3211</v>
      </c>
      <c r="K518" s="93">
        <f t="shared" si="21"/>
        <v>69270</v>
      </c>
      <c r="L518" s="52"/>
      <c r="M518" s="237">
        <v>614</v>
      </c>
      <c r="N518" s="237">
        <v>0</v>
      </c>
      <c r="O518" s="236">
        <v>3328</v>
      </c>
      <c r="P518" s="93">
        <f t="shared" si="22"/>
        <v>3942</v>
      </c>
      <c r="Q518" s="52"/>
      <c r="R518" s="237">
        <v>32949</v>
      </c>
      <c r="S518" s="236">
        <v>1115</v>
      </c>
      <c r="T518" s="238">
        <v>34064</v>
      </c>
    </row>
    <row r="519" spans="1:20">
      <c r="A519" s="50">
        <v>95405</v>
      </c>
      <c r="B519" s="51" t="s">
        <v>1218</v>
      </c>
      <c r="C519" s="239">
        <v>1.7600000000000001E-5</v>
      </c>
      <c r="D519" s="239">
        <v>1.84E-5</v>
      </c>
      <c r="E519" s="217">
        <v>41753</v>
      </c>
      <c r="F519" s="217" t="s">
        <v>1930</v>
      </c>
      <c r="G519" s="237">
        <v>6442</v>
      </c>
      <c r="H519" s="225">
        <v>5731</v>
      </c>
      <c r="I519" s="237">
        <v>11080</v>
      </c>
      <c r="J519" s="236">
        <v>18233</v>
      </c>
      <c r="K519" s="93">
        <f t="shared" si="21"/>
        <v>41486</v>
      </c>
      <c r="L519" s="52"/>
      <c r="M519" s="237">
        <v>216</v>
      </c>
      <c r="N519" s="237">
        <v>0</v>
      </c>
      <c r="O519" s="236">
        <v>0</v>
      </c>
      <c r="P519" s="93">
        <f t="shared" si="22"/>
        <v>216</v>
      </c>
      <c r="Q519" s="52"/>
      <c r="R519" s="237">
        <v>11598</v>
      </c>
      <c r="S519" s="236">
        <v>7516</v>
      </c>
      <c r="T519" s="238">
        <v>19114</v>
      </c>
    </row>
    <row r="520" spans="1:20">
      <c r="A520" s="50">
        <v>95411</v>
      </c>
      <c r="B520" s="51" t="s">
        <v>1219</v>
      </c>
      <c r="C520" s="239">
        <v>2.1646E-3</v>
      </c>
      <c r="D520" s="239">
        <v>2.2173000000000002E-3</v>
      </c>
      <c r="E520" s="217">
        <v>5135171</v>
      </c>
      <c r="F520" s="217" t="s">
        <v>1930</v>
      </c>
      <c r="G520" s="237">
        <v>792235</v>
      </c>
      <c r="H520" s="225">
        <v>704906</v>
      </c>
      <c r="I520" s="237">
        <v>1362676</v>
      </c>
      <c r="J520" s="236">
        <v>8705</v>
      </c>
      <c r="K520" s="93">
        <f t="shared" si="21"/>
        <v>2868522</v>
      </c>
      <c r="L520" s="52"/>
      <c r="M520" s="237">
        <v>26583</v>
      </c>
      <c r="N520" s="237">
        <v>0</v>
      </c>
      <c r="O520" s="236">
        <v>37742</v>
      </c>
      <c r="P520" s="93">
        <f t="shared" si="22"/>
        <v>64325</v>
      </c>
      <c r="Q520" s="52"/>
      <c r="R520" s="237">
        <v>1426413</v>
      </c>
      <c r="S520" s="236">
        <v>-25353</v>
      </c>
      <c r="T520" s="238">
        <v>1401060</v>
      </c>
    </row>
    <row r="521" spans="1:20">
      <c r="A521" s="50">
        <v>95412</v>
      </c>
      <c r="B521" s="51" t="s">
        <v>1220</v>
      </c>
      <c r="C521" s="239">
        <v>0</v>
      </c>
      <c r="D521" s="239">
        <v>0</v>
      </c>
      <c r="E521" s="217">
        <v>0</v>
      </c>
      <c r="F521" s="217" t="s">
        <v>1930</v>
      </c>
      <c r="G521" s="237">
        <v>0</v>
      </c>
      <c r="H521" s="225">
        <v>0</v>
      </c>
      <c r="I521" s="237">
        <v>0</v>
      </c>
      <c r="J521" s="236">
        <v>0</v>
      </c>
      <c r="K521" s="93">
        <f t="shared" si="21"/>
        <v>0</v>
      </c>
      <c r="L521" s="52"/>
      <c r="M521" s="237">
        <v>0</v>
      </c>
      <c r="N521" s="237">
        <v>0</v>
      </c>
      <c r="O521" s="236">
        <v>9383</v>
      </c>
      <c r="P521" s="93">
        <f t="shared" si="22"/>
        <v>9383</v>
      </c>
      <c r="Q521" s="52"/>
      <c r="R521" s="237">
        <v>0</v>
      </c>
      <c r="S521" s="236">
        <v>-18447</v>
      </c>
      <c r="T521" s="238">
        <v>-18447</v>
      </c>
    </row>
    <row r="522" spans="1:20">
      <c r="A522" s="50">
        <v>95413</v>
      </c>
      <c r="B522" s="51" t="s">
        <v>2763</v>
      </c>
      <c r="C522" s="239">
        <v>2.6879999999999997E-4</v>
      </c>
      <c r="D522" s="239">
        <v>2.5809999999999999E-4</v>
      </c>
      <c r="E522" s="217">
        <v>637686</v>
      </c>
      <c r="F522" s="217" t="s">
        <v>1930</v>
      </c>
      <c r="G522" s="237">
        <v>98380</v>
      </c>
      <c r="H522" s="225">
        <v>87535</v>
      </c>
      <c r="I522" s="237">
        <v>169217</v>
      </c>
      <c r="J522" s="236">
        <v>167873</v>
      </c>
      <c r="K522" s="93">
        <f t="shared" si="21"/>
        <v>523005</v>
      </c>
      <c r="L522" s="52"/>
      <c r="M522" s="237">
        <v>3301</v>
      </c>
      <c r="N522" s="237">
        <v>0</v>
      </c>
      <c r="O522" s="236">
        <v>0</v>
      </c>
      <c r="P522" s="93">
        <f t="shared" si="22"/>
        <v>3301</v>
      </c>
      <c r="Q522" s="52"/>
      <c r="R522" s="237">
        <v>177132</v>
      </c>
      <c r="S522" s="236">
        <v>79192</v>
      </c>
      <c r="T522" s="238">
        <v>256324</v>
      </c>
    </row>
    <row r="523" spans="1:20">
      <c r="A523" s="50">
        <v>95415</v>
      </c>
      <c r="B523" s="51" t="s">
        <v>1222</v>
      </c>
      <c r="C523" s="239">
        <v>7.1099999999999994E-5</v>
      </c>
      <c r="D523" s="239">
        <v>6.2899999999999997E-5</v>
      </c>
      <c r="E523" s="217">
        <v>168674</v>
      </c>
      <c r="F523" s="217" t="s">
        <v>1930</v>
      </c>
      <c r="G523" s="237">
        <v>26022</v>
      </c>
      <c r="H523" s="225">
        <v>23154</v>
      </c>
      <c r="I523" s="237">
        <v>44759</v>
      </c>
      <c r="J523" s="236">
        <v>3142</v>
      </c>
      <c r="K523" s="93">
        <f t="shared" si="21"/>
        <v>97077</v>
      </c>
      <c r="L523" s="52"/>
      <c r="M523" s="237">
        <v>873</v>
      </c>
      <c r="N523" s="237">
        <v>0</v>
      </c>
      <c r="O523" s="236">
        <v>11354</v>
      </c>
      <c r="P523" s="93">
        <f t="shared" si="22"/>
        <v>12227</v>
      </c>
      <c r="Q523" s="52"/>
      <c r="R523" s="237">
        <v>46853</v>
      </c>
      <c r="S523" s="236">
        <v>567</v>
      </c>
      <c r="T523" s="238">
        <v>47420</v>
      </c>
    </row>
    <row r="524" spans="1:20">
      <c r="A524" s="50">
        <v>95421</v>
      </c>
      <c r="B524" s="51" t="s">
        <v>2320</v>
      </c>
      <c r="C524" s="239">
        <v>3.8300000000000003E-5</v>
      </c>
      <c r="D524" s="239">
        <v>3.8699999999999999E-5</v>
      </c>
      <c r="E524" s="217">
        <v>90861</v>
      </c>
      <c r="F524" s="217" t="s">
        <v>1930</v>
      </c>
      <c r="G524" s="237">
        <v>14018</v>
      </c>
      <c r="H524" s="225">
        <v>12473</v>
      </c>
      <c r="I524" s="237">
        <v>24111</v>
      </c>
      <c r="J524" s="236">
        <v>560</v>
      </c>
      <c r="K524" s="93">
        <f t="shared" si="21"/>
        <v>51162</v>
      </c>
      <c r="L524" s="52"/>
      <c r="M524" s="237">
        <v>470</v>
      </c>
      <c r="N524" s="237">
        <v>0</v>
      </c>
      <c r="O524" s="236">
        <v>4403</v>
      </c>
      <c r="P524" s="93">
        <f t="shared" si="22"/>
        <v>4873</v>
      </c>
      <c r="Q524" s="52"/>
      <c r="R524" s="237">
        <v>25239</v>
      </c>
      <c r="S524" s="236">
        <v>-4796</v>
      </c>
      <c r="T524" s="238">
        <v>20443</v>
      </c>
    </row>
    <row r="525" spans="1:20">
      <c r="A525" s="50">
        <v>95431</v>
      </c>
      <c r="B525" s="51" t="s">
        <v>2321</v>
      </c>
      <c r="C525" s="239">
        <v>1.4630000000000001E-4</v>
      </c>
      <c r="D525" s="239">
        <v>1.5300000000000001E-4</v>
      </c>
      <c r="E525" s="217">
        <v>347074</v>
      </c>
      <c r="F525" s="217" t="s">
        <v>1930</v>
      </c>
      <c r="G525" s="237">
        <v>53545</v>
      </c>
      <c r="H525" s="225">
        <v>47643</v>
      </c>
      <c r="I525" s="237">
        <v>92100</v>
      </c>
      <c r="J525" s="236">
        <v>0</v>
      </c>
      <c r="K525" s="93">
        <f t="shared" si="21"/>
        <v>193288</v>
      </c>
      <c r="L525" s="52"/>
      <c r="M525" s="237">
        <v>1797</v>
      </c>
      <c r="N525" s="237">
        <v>0</v>
      </c>
      <c r="O525" s="236">
        <v>33027</v>
      </c>
      <c r="P525" s="93">
        <f t="shared" si="22"/>
        <v>34824</v>
      </c>
      <c r="Q525" s="52"/>
      <c r="R525" s="237">
        <v>96408</v>
      </c>
      <c r="S525" s="236">
        <v>-12213</v>
      </c>
      <c r="T525" s="238">
        <v>84195</v>
      </c>
    </row>
    <row r="526" spans="1:20">
      <c r="A526" s="50">
        <v>95501</v>
      </c>
      <c r="B526" s="51" t="s">
        <v>1225</v>
      </c>
      <c r="C526" s="239">
        <v>4.8900999999999997E-3</v>
      </c>
      <c r="D526" s="239">
        <v>4.8764999999999998E-3</v>
      </c>
      <c r="E526" s="217">
        <v>11600990</v>
      </c>
      <c r="F526" s="217" t="s">
        <v>1930</v>
      </c>
      <c r="G526" s="237">
        <v>1789757</v>
      </c>
      <c r="H526" s="225">
        <v>1592471</v>
      </c>
      <c r="I526" s="237">
        <v>3078455</v>
      </c>
      <c r="J526" s="236">
        <v>0</v>
      </c>
      <c r="K526" s="93">
        <f t="shared" si="21"/>
        <v>6460683</v>
      </c>
      <c r="L526" s="52"/>
      <c r="M526" s="237">
        <v>60055</v>
      </c>
      <c r="N526" s="237">
        <v>0</v>
      </c>
      <c r="O526" s="236">
        <v>141278</v>
      </c>
      <c r="P526" s="93">
        <f t="shared" si="22"/>
        <v>201333</v>
      </c>
      <c r="Q526" s="52"/>
      <c r="R526" s="237">
        <v>3222444</v>
      </c>
      <c r="S526" s="236">
        <v>-23300</v>
      </c>
      <c r="T526" s="238">
        <v>3199144</v>
      </c>
    </row>
    <row r="527" spans="1:20">
      <c r="A527" s="50">
        <v>95504</v>
      </c>
      <c r="B527" s="51" t="s">
        <v>1226</v>
      </c>
      <c r="C527" s="239">
        <v>8.8000000000000004E-6</v>
      </c>
      <c r="D527" s="239">
        <v>9.3999999999999998E-6</v>
      </c>
      <c r="E527" s="217">
        <v>20877</v>
      </c>
      <c r="F527" s="217" t="s">
        <v>1930</v>
      </c>
      <c r="G527" s="237">
        <v>3221</v>
      </c>
      <c r="H527" s="225">
        <v>2866</v>
      </c>
      <c r="I527" s="237">
        <v>5540</v>
      </c>
      <c r="J527" s="236">
        <v>9317</v>
      </c>
      <c r="K527" s="93">
        <f t="shared" si="21"/>
        <v>20944</v>
      </c>
      <c r="L527" s="52"/>
      <c r="M527" s="237">
        <v>108</v>
      </c>
      <c r="N527" s="237">
        <v>0</v>
      </c>
      <c r="O527" s="236">
        <v>0</v>
      </c>
      <c r="P527" s="93">
        <f t="shared" si="22"/>
        <v>108</v>
      </c>
      <c r="Q527" s="52"/>
      <c r="R527" s="237">
        <v>5799</v>
      </c>
      <c r="S527" s="236">
        <v>4040</v>
      </c>
      <c r="T527" s="238">
        <v>9839</v>
      </c>
    </row>
    <row r="528" spans="1:20">
      <c r="A528" s="50">
        <v>95511</v>
      </c>
      <c r="B528" s="51" t="s">
        <v>1227</v>
      </c>
      <c r="C528" s="239">
        <v>9.5339999999999997E-4</v>
      </c>
      <c r="D528" s="239">
        <v>9.7460000000000005E-4</v>
      </c>
      <c r="E528" s="217">
        <v>2261791</v>
      </c>
      <c r="F528" s="217" t="s">
        <v>1930</v>
      </c>
      <c r="G528" s="237">
        <v>348941</v>
      </c>
      <c r="H528" s="225">
        <v>310477</v>
      </c>
      <c r="I528" s="237">
        <v>600192</v>
      </c>
      <c r="J528" s="236">
        <v>48211</v>
      </c>
      <c r="K528" s="93">
        <f t="shared" si="21"/>
        <v>1307821</v>
      </c>
      <c r="L528" s="52"/>
      <c r="M528" s="237">
        <v>11709</v>
      </c>
      <c r="N528" s="237">
        <v>0</v>
      </c>
      <c r="O528" s="236">
        <v>32399</v>
      </c>
      <c r="P528" s="93">
        <f t="shared" si="22"/>
        <v>44108</v>
      </c>
      <c r="Q528" s="52"/>
      <c r="R528" s="237">
        <v>628265</v>
      </c>
      <c r="S528" s="236">
        <v>103</v>
      </c>
      <c r="T528" s="238">
        <v>628368</v>
      </c>
    </row>
    <row r="529" spans="1:20">
      <c r="A529" s="50">
        <v>95513</v>
      </c>
      <c r="B529" s="51" t="s">
        <v>1228</v>
      </c>
      <c r="C529" s="239">
        <v>4.5399999999999999E-5</v>
      </c>
      <c r="D529" s="239">
        <v>4.6699999999999997E-5</v>
      </c>
      <c r="E529" s="217">
        <v>107704</v>
      </c>
      <c r="F529" s="217" t="s">
        <v>1930</v>
      </c>
      <c r="G529" s="237">
        <v>16616</v>
      </c>
      <c r="H529" s="225">
        <v>14785</v>
      </c>
      <c r="I529" s="237">
        <v>28581</v>
      </c>
      <c r="J529" s="236">
        <v>21477</v>
      </c>
      <c r="K529" s="93">
        <f t="shared" si="21"/>
        <v>81459</v>
      </c>
      <c r="L529" s="52"/>
      <c r="M529" s="237">
        <v>558</v>
      </c>
      <c r="N529" s="237">
        <v>0</v>
      </c>
      <c r="O529" s="236">
        <v>0</v>
      </c>
      <c r="P529" s="93">
        <f t="shared" si="22"/>
        <v>558</v>
      </c>
      <c r="Q529" s="52"/>
      <c r="R529" s="237">
        <v>29917</v>
      </c>
      <c r="S529" s="236">
        <v>11276</v>
      </c>
      <c r="T529" s="238">
        <v>41193</v>
      </c>
    </row>
    <row r="530" spans="1:20">
      <c r="A530" s="50">
        <v>95517</v>
      </c>
      <c r="B530" s="51" t="s">
        <v>2322</v>
      </c>
      <c r="C530" s="239">
        <v>1.88E-5</v>
      </c>
      <c r="D530" s="239">
        <v>2.4499999999999999E-5</v>
      </c>
      <c r="E530" s="217">
        <v>44600</v>
      </c>
      <c r="F530" s="217" t="s">
        <v>1930</v>
      </c>
      <c r="G530" s="237">
        <v>6881</v>
      </c>
      <c r="H530" s="225">
        <v>6122</v>
      </c>
      <c r="I530" s="237">
        <v>11835</v>
      </c>
      <c r="J530" s="236">
        <v>11454</v>
      </c>
      <c r="K530" s="93">
        <f t="shared" si="21"/>
        <v>36292</v>
      </c>
      <c r="L530" s="52"/>
      <c r="M530" s="237">
        <v>231</v>
      </c>
      <c r="N530" s="237">
        <v>0</v>
      </c>
      <c r="O530" s="236">
        <v>2556</v>
      </c>
      <c r="P530" s="93">
        <f t="shared" si="22"/>
        <v>2787</v>
      </c>
      <c r="Q530" s="52"/>
      <c r="R530" s="237">
        <v>12389</v>
      </c>
      <c r="S530" s="236">
        <v>5895</v>
      </c>
      <c r="T530" s="238">
        <v>18284</v>
      </c>
    </row>
    <row r="531" spans="1:20">
      <c r="A531" s="50">
        <v>95601</v>
      </c>
      <c r="B531" s="51" t="s">
        <v>1230</v>
      </c>
      <c r="C531" s="239">
        <v>2.6251999999999998E-3</v>
      </c>
      <c r="D531" s="239">
        <v>2.6280000000000001E-3</v>
      </c>
      <c r="E531" s="217">
        <v>6227872</v>
      </c>
      <c r="F531" s="217" t="s">
        <v>1930</v>
      </c>
      <c r="G531" s="237">
        <v>960813</v>
      </c>
      <c r="H531" s="225">
        <v>854902</v>
      </c>
      <c r="I531" s="237">
        <v>1652637</v>
      </c>
      <c r="J531" s="236">
        <v>33391</v>
      </c>
      <c r="K531" s="93">
        <f t="shared" si="21"/>
        <v>3501743</v>
      </c>
      <c r="L531" s="52"/>
      <c r="M531" s="237">
        <v>32240</v>
      </c>
      <c r="N531" s="237">
        <v>0</v>
      </c>
      <c r="O531" s="236">
        <v>33658</v>
      </c>
      <c r="P531" s="93">
        <f t="shared" si="22"/>
        <v>65898</v>
      </c>
      <c r="Q531" s="52"/>
      <c r="R531" s="237">
        <v>1729936</v>
      </c>
      <c r="S531" s="236">
        <v>42593</v>
      </c>
      <c r="T531" s="238">
        <v>1772529</v>
      </c>
    </row>
    <row r="532" spans="1:20">
      <c r="A532" s="50">
        <v>95611</v>
      </c>
      <c r="B532" s="51" t="s">
        <v>2323</v>
      </c>
      <c r="C532" s="239">
        <v>3.8440000000000002E-4</v>
      </c>
      <c r="D532" s="239">
        <v>4.0660000000000002E-4</v>
      </c>
      <c r="E532" s="217">
        <v>911928</v>
      </c>
      <c r="F532" s="217" t="s">
        <v>1930</v>
      </c>
      <c r="G532" s="237">
        <v>140689</v>
      </c>
      <c r="H532" s="225">
        <v>125180</v>
      </c>
      <c r="I532" s="237">
        <v>241991</v>
      </c>
      <c r="J532" s="236">
        <v>5465</v>
      </c>
      <c r="K532" s="93">
        <f t="shared" ref="K532:K595" si="23">G532+H532+I532+J532</f>
        <v>513325</v>
      </c>
      <c r="L532" s="52"/>
      <c r="M532" s="237">
        <v>4721</v>
      </c>
      <c r="N532" s="237">
        <v>0</v>
      </c>
      <c r="O532" s="236">
        <v>4327</v>
      </c>
      <c r="P532" s="93">
        <f t="shared" ref="P532:P595" si="24">M532+N532+O532</f>
        <v>9048</v>
      </c>
      <c r="Q532" s="52"/>
      <c r="R532" s="237">
        <v>253309</v>
      </c>
      <c r="S532" s="236">
        <v>529</v>
      </c>
      <c r="T532" s="238">
        <v>253838</v>
      </c>
    </row>
    <row r="533" spans="1:20">
      <c r="A533" s="50">
        <v>95617</v>
      </c>
      <c r="B533" s="51" t="s">
        <v>1232</v>
      </c>
      <c r="C533" s="239">
        <v>1.59E-5</v>
      </c>
      <c r="D533" s="239">
        <v>1.6399999999999999E-5</v>
      </c>
      <c r="E533" s="217">
        <v>37720</v>
      </c>
      <c r="F533" s="217" t="s">
        <v>1930</v>
      </c>
      <c r="G533" s="237">
        <v>5819</v>
      </c>
      <c r="H533" s="225">
        <v>5178</v>
      </c>
      <c r="I533" s="237">
        <v>10009</v>
      </c>
      <c r="J533" s="236">
        <v>916</v>
      </c>
      <c r="K533" s="93">
        <f t="shared" si="23"/>
        <v>21922</v>
      </c>
      <c r="L533" s="52"/>
      <c r="M533" s="237">
        <v>195</v>
      </c>
      <c r="N533" s="237">
        <v>0</v>
      </c>
      <c r="O533" s="236">
        <v>417</v>
      </c>
      <c r="P533" s="93">
        <f t="shared" si="24"/>
        <v>612</v>
      </c>
      <c r="Q533" s="52"/>
      <c r="R533" s="237">
        <v>10478</v>
      </c>
      <c r="S533" s="236">
        <v>-554</v>
      </c>
      <c r="T533" s="238">
        <v>9924</v>
      </c>
    </row>
    <row r="534" spans="1:20">
      <c r="A534" s="50">
        <v>95621</v>
      </c>
      <c r="B534" s="51" t="s">
        <v>2324</v>
      </c>
      <c r="C534" s="239">
        <v>4.9019999999999999E-4</v>
      </c>
      <c r="D534" s="239">
        <v>4.5360000000000002E-4</v>
      </c>
      <c r="E534" s="217">
        <v>1162922</v>
      </c>
      <c r="F534" s="217" t="s">
        <v>1930</v>
      </c>
      <c r="G534" s="237">
        <v>179411</v>
      </c>
      <c r="H534" s="225">
        <v>159635</v>
      </c>
      <c r="I534" s="237">
        <v>308595</v>
      </c>
      <c r="J534" s="236">
        <v>42371</v>
      </c>
      <c r="K534" s="93">
        <f t="shared" si="23"/>
        <v>690012</v>
      </c>
      <c r="L534" s="52"/>
      <c r="M534" s="237">
        <v>6020</v>
      </c>
      <c r="N534" s="237">
        <v>0</v>
      </c>
      <c r="O534" s="236">
        <v>2706</v>
      </c>
      <c r="P534" s="93">
        <f t="shared" si="24"/>
        <v>8726</v>
      </c>
      <c r="Q534" s="52"/>
      <c r="R534" s="237">
        <v>323029</v>
      </c>
      <c r="S534" s="236">
        <v>12042</v>
      </c>
      <c r="T534" s="238">
        <v>335071</v>
      </c>
    </row>
    <row r="535" spans="1:20">
      <c r="A535" s="50">
        <v>95701</v>
      </c>
      <c r="B535" s="51" t="s">
        <v>1234</v>
      </c>
      <c r="C535" s="239">
        <v>1.3044E-3</v>
      </c>
      <c r="D535" s="239">
        <v>1.3747E-3</v>
      </c>
      <c r="E535" s="217">
        <v>3094483</v>
      </c>
      <c r="F535" s="217" t="s">
        <v>1930</v>
      </c>
      <c r="G535" s="237">
        <v>477405</v>
      </c>
      <c r="H535" s="225">
        <v>424780</v>
      </c>
      <c r="I535" s="237">
        <v>821156</v>
      </c>
      <c r="J535" s="236">
        <v>34377</v>
      </c>
      <c r="K535" s="93">
        <f t="shared" si="23"/>
        <v>1757718</v>
      </c>
      <c r="L535" s="52"/>
      <c r="M535" s="237">
        <v>16019</v>
      </c>
      <c r="N535" s="237">
        <v>0</v>
      </c>
      <c r="O535" s="236">
        <v>77258</v>
      </c>
      <c r="P535" s="93">
        <f t="shared" si="24"/>
        <v>93277</v>
      </c>
      <c r="Q535" s="52"/>
      <c r="R535" s="237">
        <v>859564</v>
      </c>
      <c r="S535" s="236">
        <v>9205</v>
      </c>
      <c r="T535" s="238">
        <v>868769</v>
      </c>
    </row>
    <row r="536" spans="1:20">
      <c r="A536" s="50">
        <v>95711</v>
      </c>
      <c r="B536" s="51" t="s">
        <v>2325</v>
      </c>
      <c r="C536" s="239">
        <v>1.4349999999999999E-4</v>
      </c>
      <c r="D536" s="239">
        <v>1.394E-4</v>
      </c>
      <c r="E536" s="217">
        <v>340431</v>
      </c>
      <c r="F536" s="217" t="s">
        <v>1930</v>
      </c>
      <c r="G536" s="237">
        <v>52520</v>
      </c>
      <c r="H536" s="225">
        <v>46731</v>
      </c>
      <c r="I536" s="237">
        <v>90337</v>
      </c>
      <c r="J536" s="236">
        <v>2879</v>
      </c>
      <c r="K536" s="93">
        <f t="shared" si="23"/>
        <v>192467</v>
      </c>
      <c r="L536" s="52"/>
      <c r="M536" s="237">
        <v>1762</v>
      </c>
      <c r="N536" s="237">
        <v>0</v>
      </c>
      <c r="O536" s="236">
        <v>9110</v>
      </c>
      <c r="P536" s="93">
        <f t="shared" si="24"/>
        <v>10872</v>
      </c>
      <c r="Q536" s="52"/>
      <c r="R536" s="237">
        <v>94563</v>
      </c>
      <c r="S536" s="236">
        <v>468</v>
      </c>
      <c r="T536" s="238">
        <v>95031</v>
      </c>
    </row>
    <row r="537" spans="1:20">
      <c r="A537" s="50">
        <v>95721</v>
      </c>
      <c r="B537" s="51" t="s">
        <v>2326</v>
      </c>
      <c r="C537" s="239">
        <v>6.7799999999999995E-5</v>
      </c>
      <c r="D537" s="239">
        <v>6.7600000000000003E-5</v>
      </c>
      <c r="E537" s="217">
        <v>160845</v>
      </c>
      <c r="F537" s="217" t="s">
        <v>1930</v>
      </c>
      <c r="G537" s="237">
        <v>24815</v>
      </c>
      <c r="H537" s="225">
        <v>22080</v>
      </c>
      <c r="I537" s="237">
        <v>42682</v>
      </c>
      <c r="J537" s="236">
        <v>0</v>
      </c>
      <c r="K537" s="93">
        <f t="shared" si="23"/>
        <v>89577</v>
      </c>
      <c r="L537" s="52"/>
      <c r="M537" s="237">
        <v>833</v>
      </c>
      <c r="N537" s="237">
        <v>0</v>
      </c>
      <c r="O537" s="236">
        <v>6588</v>
      </c>
      <c r="P537" s="93">
        <f t="shared" si="24"/>
        <v>7421</v>
      </c>
      <c r="Q537" s="52"/>
      <c r="R537" s="237">
        <v>44678</v>
      </c>
      <c r="S537" s="236">
        <v>-4986</v>
      </c>
      <c r="T537" s="238">
        <v>39692</v>
      </c>
    </row>
    <row r="538" spans="1:20">
      <c r="A538" s="50">
        <v>95733</v>
      </c>
      <c r="B538" s="51" t="s">
        <v>1237</v>
      </c>
      <c r="C538" s="239">
        <v>1.5500000000000001E-5</v>
      </c>
      <c r="D538" s="239">
        <v>1.5400000000000002E-5</v>
      </c>
      <c r="E538" s="217">
        <v>36771</v>
      </c>
      <c r="F538" s="217" t="s">
        <v>1930</v>
      </c>
      <c r="G538" s="237">
        <v>5673</v>
      </c>
      <c r="H538" s="225">
        <v>5047</v>
      </c>
      <c r="I538" s="237">
        <v>9758</v>
      </c>
      <c r="J538" s="236">
        <v>293</v>
      </c>
      <c r="K538" s="93">
        <f t="shared" si="23"/>
        <v>20771</v>
      </c>
      <c r="L538" s="52"/>
      <c r="M538" s="237">
        <v>190</v>
      </c>
      <c r="N538" s="237">
        <v>0</v>
      </c>
      <c r="O538" s="236">
        <v>329</v>
      </c>
      <c r="P538" s="93">
        <f t="shared" si="24"/>
        <v>519</v>
      </c>
      <c r="Q538" s="52"/>
      <c r="R538" s="237">
        <v>10214</v>
      </c>
      <c r="S538" s="236">
        <v>222</v>
      </c>
      <c r="T538" s="238">
        <v>10436</v>
      </c>
    </row>
    <row r="539" spans="1:20">
      <c r="A539" s="50">
        <v>95801</v>
      </c>
      <c r="B539" s="51" t="s">
        <v>1238</v>
      </c>
      <c r="C539" s="239">
        <v>9.7999999999999997E-4</v>
      </c>
      <c r="D539" s="239">
        <v>9.6310000000000005E-4</v>
      </c>
      <c r="E539" s="217">
        <v>2324895</v>
      </c>
      <c r="F539" s="217" t="s">
        <v>1930</v>
      </c>
      <c r="G539" s="237">
        <v>358676</v>
      </c>
      <c r="H539" s="225">
        <v>319139</v>
      </c>
      <c r="I539" s="237">
        <v>616937</v>
      </c>
      <c r="J539" s="236">
        <v>66360</v>
      </c>
      <c r="K539" s="93">
        <f t="shared" si="23"/>
        <v>1361112</v>
      </c>
      <c r="L539" s="52"/>
      <c r="M539" s="237">
        <v>12035</v>
      </c>
      <c r="N539" s="237">
        <v>0</v>
      </c>
      <c r="O539" s="236">
        <v>165</v>
      </c>
      <c r="P539" s="93">
        <f t="shared" si="24"/>
        <v>12200</v>
      </c>
      <c r="Q539" s="52"/>
      <c r="R539" s="237">
        <v>645794</v>
      </c>
      <c r="S539" s="236">
        <v>20070</v>
      </c>
      <c r="T539" s="238">
        <v>665864</v>
      </c>
    </row>
    <row r="540" spans="1:20">
      <c r="A540" s="50">
        <v>95802</v>
      </c>
      <c r="B540" s="51" t="s">
        <v>2764</v>
      </c>
      <c r="C540" s="239">
        <v>5.4E-6</v>
      </c>
      <c r="D540" s="239">
        <v>6.1E-6</v>
      </c>
      <c r="E540" s="217">
        <v>12811</v>
      </c>
      <c r="F540" s="217" t="s">
        <v>1930</v>
      </c>
      <c r="G540" s="237">
        <v>1976</v>
      </c>
      <c r="H540" s="225">
        <v>1759</v>
      </c>
      <c r="I540" s="237">
        <v>3399</v>
      </c>
      <c r="J540" s="236">
        <v>4124</v>
      </c>
      <c r="K540" s="93">
        <f t="shared" si="23"/>
        <v>11258</v>
      </c>
      <c r="L540" s="52"/>
      <c r="M540" s="237">
        <v>66</v>
      </c>
      <c r="N540" s="237">
        <v>0</v>
      </c>
      <c r="O540" s="236">
        <v>0</v>
      </c>
      <c r="P540" s="93">
        <f t="shared" si="24"/>
        <v>66</v>
      </c>
      <c r="Q540" s="52"/>
      <c r="R540" s="237">
        <v>3558</v>
      </c>
      <c r="S540" s="236">
        <v>434</v>
      </c>
      <c r="T540" s="238">
        <v>3992</v>
      </c>
    </row>
    <row r="541" spans="1:20">
      <c r="A541" s="50">
        <v>95804</v>
      </c>
      <c r="B541" s="51" t="s">
        <v>1240</v>
      </c>
      <c r="C541" s="239">
        <v>2.1699999999999999E-5</v>
      </c>
      <c r="D541" s="239">
        <v>2.19E-5</v>
      </c>
      <c r="E541" s="218">
        <v>51480</v>
      </c>
      <c r="F541" s="218" t="s">
        <v>1930</v>
      </c>
      <c r="G541" s="237">
        <v>7942</v>
      </c>
      <c r="H541" s="225">
        <v>7067</v>
      </c>
      <c r="I541" s="237">
        <v>13661</v>
      </c>
      <c r="J541" s="236">
        <v>2008</v>
      </c>
      <c r="K541" s="93">
        <f t="shared" si="23"/>
        <v>30678</v>
      </c>
      <c r="L541" s="52"/>
      <c r="M541" s="237">
        <v>266</v>
      </c>
      <c r="N541" s="237">
        <v>0</v>
      </c>
      <c r="O541" s="236">
        <v>2353</v>
      </c>
      <c r="P541" s="93">
        <f t="shared" si="24"/>
        <v>2619</v>
      </c>
      <c r="Q541" s="52"/>
      <c r="R541" s="237">
        <v>14300</v>
      </c>
      <c r="S541" s="236">
        <v>1035</v>
      </c>
      <c r="T541" s="238">
        <v>15335</v>
      </c>
    </row>
    <row r="542" spans="1:20">
      <c r="A542" s="50">
        <v>95811</v>
      </c>
      <c r="B542" s="51" t="s">
        <v>2327</v>
      </c>
      <c r="C542" s="239">
        <v>5.2729999999999997E-4</v>
      </c>
      <c r="D542" s="239">
        <v>5.3129999999999996E-4</v>
      </c>
      <c r="E542" s="218">
        <v>1250936</v>
      </c>
      <c r="F542" s="218" t="s">
        <v>1930</v>
      </c>
      <c r="G542" s="237">
        <v>192990</v>
      </c>
      <c r="H542" s="225">
        <v>171716</v>
      </c>
      <c r="I542" s="237">
        <v>331950</v>
      </c>
      <c r="J542" s="236">
        <v>1612</v>
      </c>
      <c r="K542" s="93">
        <f t="shared" si="23"/>
        <v>698268</v>
      </c>
      <c r="L542" s="52"/>
      <c r="M542" s="237">
        <v>6476</v>
      </c>
      <c r="N542" s="237">
        <v>0</v>
      </c>
      <c r="O542" s="236">
        <v>2962</v>
      </c>
      <c r="P542" s="93">
        <f t="shared" si="24"/>
        <v>9438</v>
      </c>
      <c r="Q542" s="52"/>
      <c r="R542" s="237">
        <v>347476</v>
      </c>
      <c r="S542" s="236">
        <v>-1308</v>
      </c>
      <c r="T542" s="238">
        <v>346168</v>
      </c>
    </row>
    <row r="543" spans="1:20">
      <c r="A543" s="50">
        <v>95813</v>
      </c>
      <c r="B543" s="51" t="s">
        <v>1242</v>
      </c>
      <c r="C543" s="239">
        <v>5.0699999999999999E-5</v>
      </c>
      <c r="D543" s="239">
        <v>4.88E-5</v>
      </c>
      <c r="E543" s="218">
        <v>120278</v>
      </c>
      <c r="F543" s="218" t="s">
        <v>1930</v>
      </c>
      <c r="G543" s="237">
        <v>18556</v>
      </c>
      <c r="H543" s="225">
        <v>16511</v>
      </c>
      <c r="I543" s="237">
        <v>31917</v>
      </c>
      <c r="J543" s="236">
        <v>86198</v>
      </c>
      <c r="K543" s="93">
        <f t="shared" si="23"/>
        <v>153182</v>
      </c>
      <c r="L543" s="52"/>
      <c r="M543" s="237">
        <v>623</v>
      </c>
      <c r="N543" s="237">
        <v>0</v>
      </c>
      <c r="O543" s="236">
        <v>0</v>
      </c>
      <c r="P543" s="93">
        <f t="shared" si="24"/>
        <v>623</v>
      </c>
      <c r="Q543" s="52"/>
      <c r="R543" s="237">
        <v>33410</v>
      </c>
      <c r="S543" s="236">
        <v>34117</v>
      </c>
      <c r="T543" s="238">
        <v>67527</v>
      </c>
    </row>
    <row r="544" spans="1:20">
      <c r="A544" s="50">
        <v>95821</v>
      </c>
      <c r="B544" s="51" t="s">
        <v>2328</v>
      </c>
      <c r="C544" s="239">
        <v>0</v>
      </c>
      <c r="D544" s="239">
        <v>0</v>
      </c>
      <c r="E544" s="218">
        <v>0</v>
      </c>
      <c r="F544" s="218" t="s">
        <v>1930</v>
      </c>
      <c r="G544" s="237">
        <v>0</v>
      </c>
      <c r="H544" s="225">
        <v>0</v>
      </c>
      <c r="I544" s="237">
        <v>0</v>
      </c>
      <c r="J544" s="236">
        <v>2281</v>
      </c>
      <c r="K544" s="93">
        <f t="shared" si="23"/>
        <v>2281</v>
      </c>
      <c r="L544" s="52"/>
      <c r="M544" s="237">
        <v>0</v>
      </c>
      <c r="N544" s="237">
        <v>0</v>
      </c>
      <c r="O544" s="236">
        <v>489</v>
      </c>
      <c r="P544" s="93">
        <f t="shared" si="24"/>
        <v>489</v>
      </c>
      <c r="Q544" s="52"/>
      <c r="R544" s="237">
        <v>0</v>
      </c>
      <c r="S544" s="236">
        <v>861</v>
      </c>
      <c r="T544" s="238">
        <v>861</v>
      </c>
    </row>
    <row r="545" spans="1:20">
      <c r="A545" s="50">
        <v>95831</v>
      </c>
      <c r="B545" s="51" t="s">
        <v>2329</v>
      </c>
      <c r="C545" s="239">
        <v>1.8E-5</v>
      </c>
      <c r="D545" s="239">
        <v>1.6799999999999998E-5</v>
      </c>
      <c r="E545" s="218">
        <v>42702</v>
      </c>
      <c r="F545" s="218" t="s">
        <v>1930</v>
      </c>
      <c r="G545" s="237">
        <v>6588</v>
      </c>
      <c r="H545" s="225">
        <v>5862</v>
      </c>
      <c r="I545" s="237">
        <v>11332</v>
      </c>
      <c r="J545" s="236">
        <v>26223</v>
      </c>
      <c r="K545" s="93">
        <f t="shared" si="23"/>
        <v>50005</v>
      </c>
      <c r="L545" s="52"/>
      <c r="M545" s="237">
        <v>221</v>
      </c>
      <c r="N545" s="237">
        <v>0</v>
      </c>
      <c r="O545" s="236">
        <v>0</v>
      </c>
      <c r="P545" s="93">
        <f t="shared" si="24"/>
        <v>221</v>
      </c>
      <c r="Q545" s="52"/>
      <c r="R545" s="237">
        <v>11862</v>
      </c>
      <c r="S545" s="236">
        <v>10648</v>
      </c>
      <c r="T545" s="238">
        <v>22510</v>
      </c>
    </row>
    <row r="546" spans="1:20">
      <c r="A546" s="50">
        <v>95841</v>
      </c>
      <c r="B546" s="51" t="s">
        <v>2330</v>
      </c>
      <c r="C546" s="239">
        <v>2.0000000000000002E-5</v>
      </c>
      <c r="D546" s="239">
        <v>2.0999999999999999E-5</v>
      </c>
      <c r="E546" s="218">
        <v>47447</v>
      </c>
      <c r="F546" s="218" t="s">
        <v>1930</v>
      </c>
      <c r="G546" s="237">
        <v>7320</v>
      </c>
      <c r="H546" s="225">
        <v>6513</v>
      </c>
      <c r="I546" s="237">
        <v>12591</v>
      </c>
      <c r="J546" s="236">
        <v>3014</v>
      </c>
      <c r="K546" s="93">
        <f t="shared" si="23"/>
        <v>29438</v>
      </c>
      <c r="L546" s="52"/>
      <c r="M546" s="237">
        <v>246</v>
      </c>
      <c r="N546" s="237">
        <v>0</v>
      </c>
      <c r="O546" s="236">
        <v>0</v>
      </c>
      <c r="P546" s="93">
        <f t="shared" si="24"/>
        <v>246</v>
      </c>
      <c r="Q546" s="52"/>
      <c r="R546" s="237">
        <v>13179</v>
      </c>
      <c r="S546" s="236">
        <v>1248</v>
      </c>
      <c r="T546" s="238">
        <v>14427</v>
      </c>
    </row>
    <row r="547" spans="1:20">
      <c r="A547" s="50">
        <v>95851</v>
      </c>
      <c r="B547" s="51" t="s">
        <v>2331</v>
      </c>
      <c r="C547" s="239">
        <v>1.403E-4</v>
      </c>
      <c r="D547" s="239">
        <v>1.327E-4</v>
      </c>
      <c r="E547" s="218">
        <v>332840</v>
      </c>
      <c r="F547" s="218" t="s">
        <v>1930</v>
      </c>
      <c r="G547" s="237">
        <v>51349</v>
      </c>
      <c r="H547" s="225">
        <v>45689</v>
      </c>
      <c r="I547" s="237">
        <v>88323</v>
      </c>
      <c r="J547" s="236">
        <v>151488</v>
      </c>
      <c r="K547" s="93">
        <f t="shared" si="23"/>
        <v>336849</v>
      </c>
      <c r="L547" s="52"/>
      <c r="M547" s="237">
        <v>1723</v>
      </c>
      <c r="N547" s="237">
        <v>0</v>
      </c>
      <c r="O547" s="236">
        <v>0</v>
      </c>
      <c r="P547" s="93">
        <f t="shared" si="24"/>
        <v>1723</v>
      </c>
      <c r="Q547" s="52"/>
      <c r="R547" s="237">
        <v>92454</v>
      </c>
      <c r="S547" s="236">
        <v>56099</v>
      </c>
      <c r="T547" s="238">
        <v>148553</v>
      </c>
    </row>
    <row r="548" spans="1:20">
      <c r="A548" s="50">
        <v>95853</v>
      </c>
      <c r="B548" s="51" t="s">
        <v>1247</v>
      </c>
      <c r="C548" s="239">
        <v>3.1300000000000002E-5</v>
      </c>
      <c r="D548" s="239">
        <v>2.69E-5</v>
      </c>
      <c r="E548" s="218">
        <v>74254</v>
      </c>
      <c r="F548" s="218" t="s">
        <v>1930</v>
      </c>
      <c r="G548" s="237">
        <v>11456</v>
      </c>
      <c r="H548" s="225">
        <v>10193</v>
      </c>
      <c r="I548" s="237">
        <v>19704</v>
      </c>
      <c r="J548" s="236">
        <v>8786</v>
      </c>
      <c r="K548" s="93">
        <f t="shared" si="23"/>
        <v>50139</v>
      </c>
      <c r="L548" s="52"/>
      <c r="M548" s="237">
        <v>384</v>
      </c>
      <c r="N548" s="237">
        <v>0</v>
      </c>
      <c r="O548" s="236">
        <v>0</v>
      </c>
      <c r="P548" s="93">
        <f t="shared" si="24"/>
        <v>384</v>
      </c>
      <c r="Q548" s="52"/>
      <c r="R548" s="237">
        <v>20626</v>
      </c>
      <c r="S548" s="236">
        <v>4580</v>
      </c>
      <c r="T548" s="238">
        <v>25206</v>
      </c>
    </row>
    <row r="549" spans="1:20">
      <c r="A549" s="50">
        <v>95901</v>
      </c>
      <c r="B549" s="51" t="s">
        <v>1248</v>
      </c>
      <c r="C549" s="239">
        <v>1.9158000000000001E-3</v>
      </c>
      <c r="D549" s="239">
        <v>1.8714999999999999E-3</v>
      </c>
      <c r="E549" s="218">
        <v>4544933</v>
      </c>
      <c r="F549" s="218" t="s">
        <v>1930</v>
      </c>
      <c r="G549" s="237">
        <v>701175</v>
      </c>
      <c r="H549" s="225">
        <v>623884</v>
      </c>
      <c r="I549" s="237">
        <v>1206050</v>
      </c>
      <c r="J549" s="236">
        <v>4319</v>
      </c>
      <c r="K549" s="93">
        <f t="shared" si="23"/>
        <v>2535428</v>
      </c>
      <c r="L549" s="52"/>
      <c r="M549" s="237">
        <v>23528</v>
      </c>
      <c r="N549" s="237">
        <v>0</v>
      </c>
      <c r="O549" s="236">
        <v>11578</v>
      </c>
      <c r="P549" s="93">
        <f t="shared" si="24"/>
        <v>35106</v>
      </c>
      <c r="Q549" s="52"/>
      <c r="R549" s="237">
        <v>1262460</v>
      </c>
      <c r="S549" s="236">
        <v>27562</v>
      </c>
      <c r="T549" s="238">
        <v>1290022</v>
      </c>
    </row>
    <row r="550" spans="1:20">
      <c r="A550" s="50">
        <v>95908</v>
      </c>
      <c r="B550" s="51" t="s">
        <v>1249</v>
      </c>
      <c r="C550" s="239">
        <v>6.1099999999999994E-5</v>
      </c>
      <c r="D550" s="239">
        <v>7.2200000000000007E-5</v>
      </c>
      <c r="E550" s="218">
        <v>144950</v>
      </c>
      <c r="F550" s="218" t="s">
        <v>1930</v>
      </c>
      <c r="G550" s="237">
        <v>22362</v>
      </c>
      <c r="H550" s="225">
        <v>19898</v>
      </c>
      <c r="I550" s="237">
        <v>38464</v>
      </c>
      <c r="J550" s="236">
        <v>0</v>
      </c>
      <c r="K550" s="93">
        <f t="shared" si="23"/>
        <v>80724</v>
      </c>
      <c r="L550" s="52"/>
      <c r="M550" s="237">
        <v>750</v>
      </c>
      <c r="N550" s="237">
        <v>0</v>
      </c>
      <c r="O550" s="236">
        <v>21950</v>
      </c>
      <c r="P550" s="93">
        <f t="shared" si="24"/>
        <v>22700</v>
      </c>
      <c r="Q550" s="52"/>
      <c r="R550" s="237">
        <v>40263</v>
      </c>
      <c r="S550" s="236">
        <v>-13336</v>
      </c>
      <c r="T550" s="238">
        <v>26927</v>
      </c>
    </row>
    <row r="551" spans="1:20">
      <c r="A551" s="50">
        <v>95911</v>
      </c>
      <c r="B551" s="51" t="s">
        <v>2332</v>
      </c>
      <c r="C551" s="239">
        <v>5.576E-4</v>
      </c>
      <c r="D551" s="239">
        <v>5.7450000000000003E-4</v>
      </c>
      <c r="E551" s="218">
        <v>1322818</v>
      </c>
      <c r="F551" s="218" t="s">
        <v>1930</v>
      </c>
      <c r="G551" s="237">
        <v>204079</v>
      </c>
      <c r="H551" s="225">
        <v>181583</v>
      </c>
      <c r="I551" s="237">
        <v>351025</v>
      </c>
      <c r="J551" s="236">
        <v>1306</v>
      </c>
      <c r="K551" s="93">
        <f t="shared" si="23"/>
        <v>737993</v>
      </c>
      <c r="L551" s="52"/>
      <c r="M551" s="237">
        <v>6848</v>
      </c>
      <c r="N551" s="237">
        <v>0</v>
      </c>
      <c r="O551" s="236">
        <v>50349</v>
      </c>
      <c r="P551" s="93">
        <f t="shared" si="24"/>
        <v>57197</v>
      </c>
      <c r="Q551" s="52"/>
      <c r="R551" s="237">
        <v>367443</v>
      </c>
      <c r="S551" s="236">
        <v>-20293</v>
      </c>
      <c r="T551" s="238">
        <v>347150</v>
      </c>
    </row>
    <row r="552" spans="1:20">
      <c r="A552" s="50">
        <v>95917</v>
      </c>
      <c r="B552" s="51" t="s">
        <v>1251</v>
      </c>
      <c r="C552" s="239">
        <v>2.05E-5</v>
      </c>
      <c r="D552" s="239">
        <v>2.6699999999999998E-5</v>
      </c>
      <c r="E552" s="218">
        <v>48633</v>
      </c>
      <c r="F552" s="218" t="s">
        <v>1930</v>
      </c>
      <c r="G552" s="237">
        <v>7503</v>
      </c>
      <c r="H552" s="225">
        <v>6676</v>
      </c>
      <c r="I552" s="237">
        <v>12905</v>
      </c>
      <c r="J552" s="236">
        <v>1999</v>
      </c>
      <c r="K552" s="93">
        <f t="shared" si="23"/>
        <v>29083</v>
      </c>
      <c r="L552" s="52"/>
      <c r="M552" s="237">
        <v>252</v>
      </c>
      <c r="N552" s="237">
        <v>0</v>
      </c>
      <c r="O552" s="236">
        <v>3512</v>
      </c>
      <c r="P552" s="93">
        <f t="shared" si="24"/>
        <v>3764</v>
      </c>
      <c r="Q552" s="52"/>
      <c r="R552" s="237">
        <v>13509</v>
      </c>
      <c r="S552" s="236">
        <v>1407</v>
      </c>
      <c r="T552" s="238">
        <v>14916</v>
      </c>
    </row>
    <row r="553" spans="1:20">
      <c r="A553" s="50">
        <v>95921</v>
      </c>
      <c r="B553" s="51" t="s">
        <v>2333</v>
      </c>
      <c r="C553" s="239">
        <v>4.9799999999999998E-5</v>
      </c>
      <c r="D553" s="239">
        <v>4.7500000000000003E-5</v>
      </c>
      <c r="E553" s="218">
        <v>118143</v>
      </c>
      <c r="F553" s="218" t="s">
        <v>1930</v>
      </c>
      <c r="G553" s="237">
        <v>18227</v>
      </c>
      <c r="H553" s="225">
        <v>16217</v>
      </c>
      <c r="I553" s="237">
        <v>31350</v>
      </c>
      <c r="J553" s="236">
        <v>4597</v>
      </c>
      <c r="K553" s="93">
        <f t="shared" si="23"/>
        <v>70391</v>
      </c>
      <c r="L553" s="52"/>
      <c r="M553" s="237">
        <v>612</v>
      </c>
      <c r="N553" s="237">
        <v>0</v>
      </c>
      <c r="O553" s="236">
        <v>0</v>
      </c>
      <c r="P553" s="93">
        <f t="shared" si="24"/>
        <v>612</v>
      </c>
      <c r="Q553" s="52"/>
      <c r="R553" s="237">
        <v>32817</v>
      </c>
      <c r="S553" s="236">
        <v>1077</v>
      </c>
      <c r="T553" s="238">
        <v>33894</v>
      </c>
    </row>
    <row r="554" spans="1:20">
      <c r="A554" s="50">
        <v>96001</v>
      </c>
      <c r="B554" s="51" t="s">
        <v>1253</v>
      </c>
      <c r="C554" s="239">
        <v>4.3840400000000002E-2</v>
      </c>
      <c r="D554" s="239">
        <v>4.4386399999999999E-2</v>
      </c>
      <c r="E554" s="218">
        <v>104004422</v>
      </c>
      <c r="F554" s="218" t="s">
        <v>1930</v>
      </c>
      <c r="G554" s="237">
        <v>16045411</v>
      </c>
      <c r="H554" s="225">
        <v>14276714</v>
      </c>
      <c r="I554" s="237">
        <v>27598759</v>
      </c>
      <c r="J554" s="236">
        <v>120257</v>
      </c>
      <c r="K554" s="93">
        <f t="shared" si="23"/>
        <v>58041141</v>
      </c>
      <c r="L554" s="52"/>
      <c r="M554" s="237">
        <v>538404</v>
      </c>
      <c r="N554" s="237">
        <v>0</v>
      </c>
      <c r="O554" s="236">
        <v>696147</v>
      </c>
      <c r="P554" s="93">
        <f t="shared" si="24"/>
        <v>1234551</v>
      </c>
      <c r="Q554" s="52"/>
      <c r="R554" s="237">
        <v>28889640</v>
      </c>
      <c r="S554" s="236">
        <v>1107085</v>
      </c>
      <c r="T554" s="238">
        <v>29996725</v>
      </c>
    </row>
    <row r="555" spans="1:20">
      <c r="A555" s="50">
        <v>96003</v>
      </c>
      <c r="B555" s="51" t="s">
        <v>1254</v>
      </c>
      <c r="C555" s="239">
        <v>1.6191999999999999E-3</v>
      </c>
      <c r="D555" s="239">
        <v>1.6523E-3</v>
      </c>
      <c r="E555" s="218">
        <v>3841296</v>
      </c>
      <c r="F555" s="218" t="s">
        <v>1930</v>
      </c>
      <c r="G555" s="237">
        <v>592621</v>
      </c>
      <c r="H555" s="225">
        <v>527296</v>
      </c>
      <c r="I555" s="237">
        <v>1019332</v>
      </c>
      <c r="J555" s="236">
        <v>1392</v>
      </c>
      <c r="K555" s="93">
        <f t="shared" si="23"/>
        <v>2140641</v>
      </c>
      <c r="L555" s="52"/>
      <c r="M555" s="237">
        <v>19885</v>
      </c>
      <c r="N555" s="237">
        <v>0</v>
      </c>
      <c r="O555" s="236">
        <v>162038</v>
      </c>
      <c r="P555" s="93">
        <f t="shared" si="24"/>
        <v>181923</v>
      </c>
      <c r="Q555" s="52"/>
      <c r="R555" s="237">
        <v>1067009</v>
      </c>
      <c r="S555" s="236">
        <v>-76658</v>
      </c>
      <c r="T555" s="238">
        <v>990351</v>
      </c>
    </row>
    <row r="556" spans="1:20">
      <c r="A556" s="50">
        <v>96004</v>
      </c>
      <c r="B556" s="51" t="s">
        <v>1255</v>
      </c>
      <c r="C556" s="239">
        <v>9.0419999999999997E-4</v>
      </c>
      <c r="D556" s="239">
        <v>8.9439999999999995E-4</v>
      </c>
      <c r="E556" s="218">
        <v>2145072</v>
      </c>
      <c r="F556" s="218" t="s">
        <v>1930</v>
      </c>
      <c r="G556" s="237">
        <v>330934</v>
      </c>
      <c r="H556" s="225">
        <v>294454</v>
      </c>
      <c r="I556" s="237">
        <v>569219</v>
      </c>
      <c r="J556" s="236">
        <v>137510</v>
      </c>
      <c r="K556" s="93">
        <f t="shared" si="23"/>
        <v>1332117</v>
      </c>
      <c r="L556" s="52"/>
      <c r="M556" s="237">
        <v>11104</v>
      </c>
      <c r="N556" s="237">
        <v>0</v>
      </c>
      <c r="O556" s="236">
        <v>0</v>
      </c>
      <c r="P556" s="93">
        <f t="shared" si="24"/>
        <v>11104</v>
      </c>
      <c r="Q556" s="52"/>
      <c r="R556" s="237">
        <v>595843</v>
      </c>
      <c r="S556" s="236">
        <v>78642</v>
      </c>
      <c r="T556" s="238">
        <v>674485</v>
      </c>
    </row>
    <row r="557" spans="1:20">
      <c r="A557" s="50">
        <v>96005</v>
      </c>
      <c r="B557" s="51" t="s">
        <v>1256</v>
      </c>
      <c r="C557" s="239">
        <v>2.6172999999999999E-3</v>
      </c>
      <c r="D557" s="239">
        <v>2.6733999999999998E-3</v>
      </c>
      <c r="E557" s="218">
        <v>6209131</v>
      </c>
      <c r="F557" s="218" t="s">
        <v>1930</v>
      </c>
      <c r="G557" s="237">
        <v>957921</v>
      </c>
      <c r="H557" s="225">
        <v>852329</v>
      </c>
      <c r="I557" s="237">
        <v>1647664</v>
      </c>
      <c r="J557" s="236">
        <v>64243</v>
      </c>
      <c r="K557" s="93">
        <f t="shared" si="23"/>
        <v>3522157</v>
      </c>
      <c r="L557" s="52"/>
      <c r="M557" s="237">
        <v>32143</v>
      </c>
      <c r="N557" s="237">
        <v>0</v>
      </c>
      <c r="O557" s="236">
        <v>8878</v>
      </c>
      <c r="P557" s="93">
        <f t="shared" si="24"/>
        <v>41021</v>
      </c>
      <c r="Q557" s="52"/>
      <c r="R557" s="237">
        <v>1724730</v>
      </c>
      <c r="S557" s="236">
        <v>155823</v>
      </c>
      <c r="T557" s="238">
        <v>1880553</v>
      </c>
    </row>
    <row r="558" spans="1:20">
      <c r="A558" s="50">
        <v>96008</v>
      </c>
      <c r="B558" s="51" t="s">
        <v>1257</v>
      </c>
      <c r="C558" s="239">
        <v>6.1884000000000002E-3</v>
      </c>
      <c r="D558" s="239">
        <v>5.9955E-3</v>
      </c>
      <c r="E558" s="218">
        <v>14681001</v>
      </c>
      <c r="F558" s="218" t="s">
        <v>1930</v>
      </c>
      <c r="G558" s="237">
        <v>2264930</v>
      </c>
      <c r="H558" s="225">
        <v>2015265</v>
      </c>
      <c r="I558" s="237">
        <v>3895771</v>
      </c>
      <c r="J558" s="236">
        <v>0</v>
      </c>
      <c r="K558" s="93">
        <f t="shared" si="23"/>
        <v>8175966</v>
      </c>
      <c r="L558" s="52"/>
      <c r="M558" s="237">
        <v>76000</v>
      </c>
      <c r="N558" s="237">
        <v>0</v>
      </c>
      <c r="O558" s="236">
        <v>922165</v>
      </c>
      <c r="P558" s="93">
        <f t="shared" si="24"/>
        <v>998165</v>
      </c>
      <c r="Q558" s="52"/>
      <c r="R558" s="237">
        <v>4077989</v>
      </c>
      <c r="S558" s="236">
        <v>-381090</v>
      </c>
      <c r="T558" s="238">
        <v>3696899</v>
      </c>
    </row>
    <row r="559" spans="1:20">
      <c r="A559" s="50">
        <v>96009</v>
      </c>
      <c r="B559" s="51" t="s">
        <v>1258</v>
      </c>
      <c r="C559" s="239">
        <v>3.8460000000000002E-4</v>
      </c>
      <c r="D559" s="239">
        <v>3.7609999999999998E-4</v>
      </c>
      <c r="E559" s="218">
        <v>912403</v>
      </c>
      <c r="F559" s="218" t="s">
        <v>1930</v>
      </c>
      <c r="G559" s="237">
        <v>140762</v>
      </c>
      <c r="H559" s="225">
        <v>125246</v>
      </c>
      <c r="I559" s="237">
        <v>242116</v>
      </c>
      <c r="J559" s="236">
        <v>46887</v>
      </c>
      <c r="K559" s="93">
        <f t="shared" si="23"/>
        <v>555011</v>
      </c>
      <c r="L559" s="52"/>
      <c r="M559" s="237">
        <v>4723</v>
      </c>
      <c r="N559" s="237">
        <v>0</v>
      </c>
      <c r="O559" s="236">
        <v>1687</v>
      </c>
      <c r="P559" s="93">
        <f t="shared" si="24"/>
        <v>6410</v>
      </c>
      <c r="Q559" s="52"/>
      <c r="R559" s="237">
        <v>253441</v>
      </c>
      <c r="S559" s="236">
        <v>17980</v>
      </c>
      <c r="T559" s="238">
        <v>271421</v>
      </c>
    </row>
    <row r="560" spans="1:20">
      <c r="A560" s="50">
        <v>96011</v>
      </c>
      <c r="B560" s="51" t="s">
        <v>1259</v>
      </c>
      <c r="C560" s="239">
        <v>6.2526600000000002E-2</v>
      </c>
      <c r="D560" s="239">
        <v>6.1150400000000001E-2</v>
      </c>
      <c r="E560" s="218">
        <v>148334479</v>
      </c>
      <c r="F560" s="218" t="s">
        <v>1930</v>
      </c>
      <c r="G560" s="237">
        <v>22884485</v>
      </c>
      <c r="H560" s="225">
        <v>20361912</v>
      </c>
      <c r="I560" s="237">
        <v>39362245</v>
      </c>
      <c r="J560" s="236">
        <v>1462569</v>
      </c>
      <c r="K560" s="93">
        <f t="shared" si="23"/>
        <v>84071211</v>
      </c>
      <c r="L560" s="52"/>
      <c r="M560" s="237">
        <v>767889</v>
      </c>
      <c r="N560" s="237">
        <v>0</v>
      </c>
      <c r="O560" s="236">
        <v>32612</v>
      </c>
      <c r="P560" s="93">
        <f t="shared" si="24"/>
        <v>800501</v>
      </c>
      <c r="Q560" s="52"/>
      <c r="R560" s="237">
        <v>41203341</v>
      </c>
      <c r="S560" s="236">
        <v>436963</v>
      </c>
      <c r="T560" s="238">
        <v>41640304</v>
      </c>
    </row>
    <row r="561" spans="1:20">
      <c r="A561" s="50">
        <v>96012</v>
      </c>
      <c r="B561" s="51" t="s">
        <v>1260</v>
      </c>
      <c r="C561" s="239">
        <v>2.5303000000000001E-3</v>
      </c>
      <c r="D561" s="239">
        <v>2.4417000000000002E-3</v>
      </c>
      <c r="E561" s="218">
        <v>6002737</v>
      </c>
      <c r="F561" s="218" t="s">
        <v>1930</v>
      </c>
      <c r="G561" s="237">
        <v>926080</v>
      </c>
      <c r="H561" s="225">
        <v>823997</v>
      </c>
      <c r="I561" s="237">
        <v>1592895</v>
      </c>
      <c r="J561" s="236">
        <v>95917</v>
      </c>
      <c r="K561" s="93">
        <f t="shared" si="23"/>
        <v>3438889</v>
      </c>
      <c r="L561" s="52"/>
      <c r="M561" s="237">
        <v>31075</v>
      </c>
      <c r="N561" s="237">
        <v>0</v>
      </c>
      <c r="O561" s="236">
        <v>703</v>
      </c>
      <c r="P561" s="93">
        <f t="shared" si="24"/>
        <v>31778</v>
      </c>
      <c r="Q561" s="52"/>
      <c r="R561" s="237">
        <v>1667399</v>
      </c>
      <c r="S561" s="236">
        <v>49156</v>
      </c>
      <c r="T561" s="238">
        <v>1716555</v>
      </c>
    </row>
    <row r="562" spans="1:20">
      <c r="A562" s="50">
        <v>96018</v>
      </c>
      <c r="B562" s="51" t="s">
        <v>1261</v>
      </c>
      <c r="C562" s="239">
        <v>4.5000000000000003E-5</v>
      </c>
      <c r="D562" s="239">
        <v>4.3600000000000003E-5</v>
      </c>
      <c r="E562" s="218">
        <v>106755</v>
      </c>
      <c r="F562" s="218" t="s">
        <v>1930</v>
      </c>
      <c r="G562" s="237">
        <v>16470</v>
      </c>
      <c r="H562" s="225">
        <v>14654</v>
      </c>
      <c r="I562" s="237">
        <v>28329</v>
      </c>
      <c r="J562" s="236">
        <v>3865</v>
      </c>
      <c r="K562" s="93">
        <f t="shared" si="23"/>
        <v>63318</v>
      </c>
      <c r="L562" s="52"/>
      <c r="M562" s="237">
        <v>553</v>
      </c>
      <c r="N562" s="237">
        <v>0</v>
      </c>
      <c r="O562" s="236">
        <v>0</v>
      </c>
      <c r="P562" s="93">
        <f t="shared" si="24"/>
        <v>553</v>
      </c>
      <c r="Q562" s="52"/>
      <c r="R562" s="237">
        <v>29654</v>
      </c>
      <c r="S562" s="236">
        <v>5885</v>
      </c>
      <c r="T562" s="238">
        <v>35539</v>
      </c>
    </row>
    <row r="563" spans="1:20">
      <c r="A563" s="50">
        <v>96021</v>
      </c>
      <c r="B563" s="51" t="s">
        <v>2334</v>
      </c>
      <c r="C563" s="239">
        <v>7.3760000000000004E-4</v>
      </c>
      <c r="D563" s="239">
        <v>7.2090000000000001E-4</v>
      </c>
      <c r="E563" s="218">
        <v>1749839</v>
      </c>
      <c r="F563" s="218" t="s">
        <v>1930</v>
      </c>
      <c r="G563" s="237">
        <v>269959</v>
      </c>
      <c r="H563" s="225">
        <v>240200</v>
      </c>
      <c r="I563" s="237">
        <v>464340</v>
      </c>
      <c r="J563" s="236">
        <v>15203</v>
      </c>
      <c r="K563" s="93">
        <f t="shared" si="23"/>
        <v>989702</v>
      </c>
      <c r="L563" s="52"/>
      <c r="M563" s="237">
        <v>9058</v>
      </c>
      <c r="N563" s="237">
        <v>0</v>
      </c>
      <c r="O563" s="236">
        <v>87034</v>
      </c>
      <c r="P563" s="93">
        <f t="shared" si="24"/>
        <v>96092</v>
      </c>
      <c r="Q563" s="52"/>
      <c r="R563" s="237">
        <v>486058</v>
      </c>
      <c r="S563" s="236">
        <v>-13480</v>
      </c>
      <c r="T563" s="238">
        <v>472578</v>
      </c>
    </row>
    <row r="564" spans="1:20">
      <c r="A564" s="50">
        <v>96031</v>
      </c>
      <c r="B564" s="51" t="s">
        <v>2335</v>
      </c>
      <c r="C564" s="239">
        <v>8.5170000000000005E-4</v>
      </c>
      <c r="D564" s="239">
        <v>8.2580000000000001E-4</v>
      </c>
      <c r="E564" s="218">
        <v>2020524</v>
      </c>
      <c r="F564" s="218" t="s">
        <v>1930</v>
      </c>
      <c r="G564" s="237">
        <v>311719</v>
      </c>
      <c r="H564" s="225">
        <v>277358</v>
      </c>
      <c r="I564" s="237">
        <v>536169</v>
      </c>
      <c r="J564" s="236">
        <v>0</v>
      </c>
      <c r="K564" s="93">
        <f t="shared" si="23"/>
        <v>1125246</v>
      </c>
      <c r="L564" s="52"/>
      <c r="M564" s="237">
        <v>10460</v>
      </c>
      <c r="N564" s="237">
        <v>0</v>
      </c>
      <c r="O564" s="236">
        <v>145457</v>
      </c>
      <c r="P564" s="93">
        <f t="shared" si="24"/>
        <v>155917</v>
      </c>
      <c r="Q564" s="52"/>
      <c r="R564" s="237">
        <v>561247</v>
      </c>
      <c r="S564" s="236">
        <v>-84382</v>
      </c>
      <c r="T564" s="238">
        <v>476865</v>
      </c>
    </row>
    <row r="565" spans="1:20">
      <c r="A565" s="50">
        <v>96041</v>
      </c>
      <c r="B565" s="51" t="s">
        <v>2336</v>
      </c>
      <c r="C565" s="239">
        <v>1.7003999999999999E-3</v>
      </c>
      <c r="D565" s="239">
        <v>1.7361E-3</v>
      </c>
      <c r="E565" s="218">
        <v>4033930</v>
      </c>
      <c r="F565" s="218" t="s">
        <v>1930</v>
      </c>
      <c r="G565" s="237">
        <v>622340</v>
      </c>
      <c r="H565" s="225">
        <v>553738</v>
      </c>
      <c r="I565" s="237">
        <v>1070449</v>
      </c>
      <c r="J565" s="236">
        <v>0</v>
      </c>
      <c r="K565" s="93">
        <f t="shared" si="23"/>
        <v>2246527</v>
      </c>
      <c r="L565" s="52"/>
      <c r="M565" s="237">
        <v>20883</v>
      </c>
      <c r="N565" s="237">
        <v>0</v>
      </c>
      <c r="O565" s="236">
        <v>162463</v>
      </c>
      <c r="P565" s="93">
        <f t="shared" si="24"/>
        <v>183346</v>
      </c>
      <c r="Q565" s="52"/>
      <c r="R565" s="237">
        <v>1120518</v>
      </c>
      <c r="S565" s="236">
        <v>-80644</v>
      </c>
      <c r="T565" s="238">
        <v>1039874</v>
      </c>
    </row>
    <row r="566" spans="1:20">
      <c r="A566" s="50">
        <v>96051</v>
      </c>
      <c r="B566" s="51" t="s">
        <v>2337</v>
      </c>
      <c r="C566" s="239">
        <v>1.042E-3</v>
      </c>
      <c r="D566" s="239">
        <v>1.0062000000000001E-3</v>
      </c>
      <c r="E566" s="218">
        <v>2471980</v>
      </c>
      <c r="F566" s="218" t="s">
        <v>1930</v>
      </c>
      <c r="G566" s="237">
        <v>381368</v>
      </c>
      <c r="H566" s="225">
        <v>339329</v>
      </c>
      <c r="I566" s="237">
        <v>655968</v>
      </c>
      <c r="J566" s="236">
        <v>0</v>
      </c>
      <c r="K566" s="93">
        <f t="shared" si="23"/>
        <v>1376665</v>
      </c>
      <c r="L566" s="52"/>
      <c r="M566" s="237">
        <v>12797</v>
      </c>
      <c r="N566" s="237">
        <v>0</v>
      </c>
      <c r="O566" s="236">
        <v>89308</v>
      </c>
      <c r="P566" s="93">
        <f t="shared" si="24"/>
        <v>102105</v>
      </c>
      <c r="Q566" s="52"/>
      <c r="R566" s="237">
        <v>686650</v>
      </c>
      <c r="S566" s="236">
        <v>-50724</v>
      </c>
      <c r="T566" s="238">
        <v>635926</v>
      </c>
    </row>
    <row r="567" spans="1:20">
      <c r="A567" s="50">
        <v>96061</v>
      </c>
      <c r="B567" s="51" t="s">
        <v>2338</v>
      </c>
      <c r="C567" s="239">
        <v>3.1559999999999997E-4</v>
      </c>
      <c r="D567" s="239">
        <v>3.3950000000000001E-4</v>
      </c>
      <c r="E567" s="218">
        <v>748711</v>
      </c>
      <c r="F567" s="218" t="s">
        <v>1930</v>
      </c>
      <c r="G567" s="237">
        <v>115508</v>
      </c>
      <c r="H567" s="225">
        <v>102775</v>
      </c>
      <c r="I567" s="237">
        <v>198679</v>
      </c>
      <c r="J567" s="236">
        <v>15967</v>
      </c>
      <c r="K567" s="93">
        <f t="shared" si="23"/>
        <v>432929</v>
      </c>
      <c r="L567" s="52"/>
      <c r="M567" s="237">
        <v>3876</v>
      </c>
      <c r="N567" s="237">
        <v>0</v>
      </c>
      <c r="O567" s="236">
        <v>13815</v>
      </c>
      <c r="P567" s="93">
        <f t="shared" si="24"/>
        <v>17691</v>
      </c>
      <c r="Q567" s="52"/>
      <c r="R567" s="237">
        <v>207972</v>
      </c>
      <c r="S567" s="236">
        <v>-246</v>
      </c>
      <c r="T567" s="238">
        <v>207726</v>
      </c>
    </row>
    <row r="568" spans="1:20">
      <c r="A568" s="50">
        <v>96071</v>
      </c>
      <c r="B568" s="51" t="s">
        <v>2339</v>
      </c>
      <c r="C568" s="239">
        <v>1.1751000000000001E-3</v>
      </c>
      <c r="D568" s="239">
        <v>1.1367E-3</v>
      </c>
      <c r="E568" s="218">
        <v>2787739</v>
      </c>
      <c r="F568" s="218" t="s">
        <v>1930</v>
      </c>
      <c r="G568" s="237">
        <v>430082</v>
      </c>
      <c r="H568" s="225">
        <v>382674</v>
      </c>
      <c r="I568" s="237">
        <v>739758</v>
      </c>
      <c r="J568" s="236">
        <v>90687</v>
      </c>
      <c r="K568" s="93">
        <f t="shared" si="23"/>
        <v>1643201</v>
      </c>
      <c r="L568" s="52"/>
      <c r="M568" s="237">
        <v>14431</v>
      </c>
      <c r="N568" s="237">
        <v>0</v>
      </c>
      <c r="O568" s="236">
        <v>39863</v>
      </c>
      <c r="P568" s="93">
        <f t="shared" si="24"/>
        <v>54294</v>
      </c>
      <c r="Q568" s="52"/>
      <c r="R568" s="237">
        <v>774359</v>
      </c>
      <c r="S568" s="236">
        <v>10914</v>
      </c>
      <c r="T568" s="238">
        <v>785273</v>
      </c>
    </row>
    <row r="569" spans="1:20">
      <c r="A569" s="50">
        <v>96081</v>
      </c>
      <c r="B569" s="51" t="s">
        <v>2340</v>
      </c>
      <c r="C569" s="239">
        <v>5.4920000000000001E-4</v>
      </c>
      <c r="D569" s="239">
        <v>5.0900000000000001E-4</v>
      </c>
      <c r="E569" s="218">
        <v>1302890</v>
      </c>
      <c r="F569" s="218" t="s">
        <v>1930</v>
      </c>
      <c r="G569" s="237">
        <v>201005</v>
      </c>
      <c r="H569" s="225">
        <v>178848</v>
      </c>
      <c r="I569" s="237">
        <v>345737</v>
      </c>
      <c r="J569" s="236">
        <v>10068</v>
      </c>
      <c r="K569" s="93">
        <f t="shared" si="23"/>
        <v>735658</v>
      </c>
      <c r="L569" s="52"/>
      <c r="M569" s="237">
        <v>6745</v>
      </c>
      <c r="N569" s="237">
        <v>0</v>
      </c>
      <c r="O569" s="236">
        <v>1853</v>
      </c>
      <c r="P569" s="93">
        <f t="shared" si="24"/>
        <v>8598</v>
      </c>
      <c r="Q569" s="52"/>
      <c r="R569" s="237">
        <v>361908</v>
      </c>
      <c r="S569" s="236">
        <v>6768</v>
      </c>
      <c r="T569" s="238">
        <v>368676</v>
      </c>
    </row>
    <row r="570" spans="1:20">
      <c r="A570" s="50">
        <v>96101</v>
      </c>
      <c r="B570" s="51" t="s">
        <v>1269</v>
      </c>
      <c r="C570" s="239">
        <v>7.9739999999999998E-4</v>
      </c>
      <c r="D570" s="239">
        <v>7.6749999999999995E-4</v>
      </c>
      <c r="E570" s="218">
        <v>1891706</v>
      </c>
      <c r="F570" s="218" t="s">
        <v>1930</v>
      </c>
      <c r="G570" s="237">
        <v>291845</v>
      </c>
      <c r="H570" s="225">
        <v>259675</v>
      </c>
      <c r="I570" s="237">
        <v>501986</v>
      </c>
      <c r="J570" s="236">
        <v>54889</v>
      </c>
      <c r="K570" s="93">
        <f t="shared" si="23"/>
        <v>1108395</v>
      </c>
      <c r="L570" s="52"/>
      <c r="M570" s="237">
        <v>9793</v>
      </c>
      <c r="N570" s="237">
        <v>0</v>
      </c>
      <c r="O570" s="236">
        <v>2275</v>
      </c>
      <c r="P570" s="93">
        <f t="shared" si="24"/>
        <v>12068</v>
      </c>
      <c r="Q570" s="52"/>
      <c r="R570" s="237">
        <v>525465</v>
      </c>
      <c r="S570" s="236">
        <v>25672</v>
      </c>
      <c r="T570" s="238">
        <v>551137</v>
      </c>
    </row>
    <row r="571" spans="1:20">
      <c r="A571" s="50">
        <v>96102</v>
      </c>
      <c r="B571" s="51" t="s">
        <v>1270</v>
      </c>
      <c r="C571" s="239">
        <v>1.2999999999999999E-5</v>
      </c>
      <c r="D571" s="239">
        <v>1.36E-5</v>
      </c>
      <c r="E571" s="218">
        <v>30840</v>
      </c>
      <c r="F571" s="218" t="s">
        <v>1930</v>
      </c>
      <c r="G571" s="237">
        <v>4758</v>
      </c>
      <c r="H571" s="225">
        <v>4233</v>
      </c>
      <c r="I571" s="237">
        <v>8184</v>
      </c>
      <c r="J571" s="236">
        <v>0</v>
      </c>
      <c r="K571" s="93">
        <f t="shared" si="23"/>
        <v>17175</v>
      </c>
      <c r="L571" s="52"/>
      <c r="M571" s="237">
        <v>160</v>
      </c>
      <c r="N571" s="237">
        <v>0</v>
      </c>
      <c r="O571" s="236">
        <v>3870</v>
      </c>
      <c r="P571" s="93">
        <f t="shared" si="24"/>
        <v>4030</v>
      </c>
      <c r="Q571" s="52"/>
      <c r="R571" s="237">
        <v>8567</v>
      </c>
      <c r="S571" s="236">
        <v>-1972</v>
      </c>
      <c r="T571" s="238">
        <v>6595</v>
      </c>
    </row>
    <row r="572" spans="1:20">
      <c r="A572" s="50">
        <v>96111</v>
      </c>
      <c r="B572" s="51" t="s">
        <v>2341</v>
      </c>
      <c r="C572" s="239">
        <v>1.47E-4</v>
      </c>
      <c r="D572" s="239">
        <v>1.5349999999999999E-4</v>
      </c>
      <c r="E572" s="218">
        <v>348734</v>
      </c>
      <c r="F572" s="218" t="s">
        <v>1930</v>
      </c>
      <c r="G572" s="237">
        <v>53801</v>
      </c>
      <c r="H572" s="225">
        <v>47871</v>
      </c>
      <c r="I572" s="237">
        <v>92541</v>
      </c>
      <c r="J572" s="236">
        <v>11049</v>
      </c>
      <c r="K572" s="93">
        <f t="shared" si="23"/>
        <v>205262</v>
      </c>
      <c r="L572" s="52"/>
      <c r="M572" s="237">
        <v>1805</v>
      </c>
      <c r="N572" s="237">
        <v>0</v>
      </c>
      <c r="O572" s="236">
        <v>1261</v>
      </c>
      <c r="P572" s="93">
        <f t="shared" si="24"/>
        <v>3066</v>
      </c>
      <c r="Q572" s="52"/>
      <c r="R572" s="237">
        <v>96869</v>
      </c>
      <c r="S572" s="236">
        <v>8891</v>
      </c>
      <c r="T572" s="238">
        <v>105760</v>
      </c>
    </row>
    <row r="573" spans="1:20">
      <c r="A573" s="50">
        <v>96121</v>
      </c>
      <c r="B573" s="51" t="s">
        <v>2342</v>
      </c>
      <c r="C573" s="239">
        <v>2.1699999999999999E-5</v>
      </c>
      <c r="D573" s="239">
        <v>2.2500000000000001E-5</v>
      </c>
      <c r="E573" s="218">
        <v>51480</v>
      </c>
      <c r="F573" s="218" t="s">
        <v>1930</v>
      </c>
      <c r="G573" s="237">
        <v>7942</v>
      </c>
      <c r="H573" s="225">
        <v>7067</v>
      </c>
      <c r="I573" s="237">
        <v>13661</v>
      </c>
      <c r="J573" s="236">
        <v>258</v>
      </c>
      <c r="K573" s="93">
        <f t="shared" si="23"/>
        <v>28928</v>
      </c>
      <c r="L573" s="52"/>
      <c r="M573" s="237">
        <v>266</v>
      </c>
      <c r="N573" s="237">
        <v>0</v>
      </c>
      <c r="O573" s="236">
        <v>2114</v>
      </c>
      <c r="P573" s="93">
        <f t="shared" si="24"/>
        <v>2380</v>
      </c>
      <c r="Q573" s="52"/>
      <c r="R573" s="237">
        <v>14300</v>
      </c>
      <c r="S573" s="236">
        <v>-1295</v>
      </c>
      <c r="T573" s="238">
        <v>13005</v>
      </c>
    </row>
    <row r="574" spans="1:20">
      <c r="A574" s="50">
        <v>96201</v>
      </c>
      <c r="B574" s="51" t="s">
        <v>1273</v>
      </c>
      <c r="C574" s="239">
        <v>1.1052E-3</v>
      </c>
      <c r="D574" s="239">
        <v>1.1788E-3</v>
      </c>
      <c r="E574" s="218">
        <v>2621912</v>
      </c>
      <c r="F574" s="218" t="s">
        <v>1930</v>
      </c>
      <c r="G574" s="237">
        <v>404499</v>
      </c>
      <c r="H574" s="225">
        <v>359910</v>
      </c>
      <c r="I574" s="237">
        <v>695754</v>
      </c>
      <c r="J574" s="236">
        <v>0</v>
      </c>
      <c r="K574" s="93">
        <f t="shared" si="23"/>
        <v>1460163</v>
      </c>
      <c r="L574" s="52"/>
      <c r="M574" s="237">
        <v>13573</v>
      </c>
      <c r="N574" s="237">
        <v>0</v>
      </c>
      <c r="O574" s="236">
        <v>100519</v>
      </c>
      <c r="P574" s="93">
        <f t="shared" si="24"/>
        <v>114092</v>
      </c>
      <c r="Q574" s="52"/>
      <c r="R574" s="237">
        <v>728297</v>
      </c>
      <c r="S574" s="236">
        <v>-35895</v>
      </c>
      <c r="T574" s="238">
        <v>692402</v>
      </c>
    </row>
    <row r="575" spans="1:20">
      <c r="A575" s="50">
        <v>96204</v>
      </c>
      <c r="B575" s="51" t="s">
        <v>1274</v>
      </c>
      <c r="C575" s="239">
        <v>1.42E-5</v>
      </c>
      <c r="D575" s="239">
        <v>1.5099999999999999E-5</v>
      </c>
      <c r="E575" s="218">
        <v>33687</v>
      </c>
      <c r="F575" s="218" t="s">
        <v>1930</v>
      </c>
      <c r="G575" s="237">
        <v>5197</v>
      </c>
      <c r="H575" s="225">
        <v>4624</v>
      </c>
      <c r="I575" s="237">
        <v>8939</v>
      </c>
      <c r="J575" s="236">
        <v>3075</v>
      </c>
      <c r="K575" s="93">
        <f t="shared" si="23"/>
        <v>21835</v>
      </c>
      <c r="L575" s="52"/>
      <c r="M575" s="237">
        <v>174</v>
      </c>
      <c r="N575" s="237">
        <v>0</v>
      </c>
      <c r="O575" s="236">
        <v>0</v>
      </c>
      <c r="P575" s="93">
        <f t="shared" si="24"/>
        <v>174</v>
      </c>
      <c r="Q575" s="52"/>
      <c r="R575" s="237">
        <v>9357</v>
      </c>
      <c r="S575" s="236">
        <v>1951</v>
      </c>
      <c r="T575" s="238">
        <v>11308</v>
      </c>
    </row>
    <row r="576" spans="1:20">
      <c r="A576" s="50">
        <v>96211</v>
      </c>
      <c r="B576" s="51" t="s">
        <v>2343</v>
      </c>
      <c r="C576" s="239">
        <v>2.8099999999999999E-5</v>
      </c>
      <c r="D576" s="239">
        <v>2.62E-5</v>
      </c>
      <c r="E576" s="219">
        <v>66663</v>
      </c>
      <c r="F576" s="219" t="s">
        <v>1930</v>
      </c>
      <c r="G576" s="237">
        <v>10284</v>
      </c>
      <c r="H576" s="225">
        <v>9151</v>
      </c>
      <c r="I576" s="237">
        <v>17690</v>
      </c>
      <c r="J576" s="236">
        <v>7064</v>
      </c>
      <c r="K576" s="93">
        <f t="shared" si="23"/>
        <v>44189</v>
      </c>
      <c r="L576" s="52"/>
      <c r="M576" s="237">
        <v>345</v>
      </c>
      <c r="N576" s="237">
        <v>0</v>
      </c>
      <c r="O576" s="236">
        <v>0</v>
      </c>
      <c r="P576" s="93">
        <f t="shared" si="24"/>
        <v>345</v>
      </c>
      <c r="Q576" s="52"/>
      <c r="R576" s="237">
        <v>18517</v>
      </c>
      <c r="S576" s="236">
        <v>-1535</v>
      </c>
      <c r="T576" s="238">
        <v>16982</v>
      </c>
    </row>
    <row r="577" spans="1:20">
      <c r="A577" s="50">
        <v>96221</v>
      </c>
      <c r="B577" s="51" t="s">
        <v>2344</v>
      </c>
      <c r="C577" s="239">
        <v>2.2809999999999999E-4</v>
      </c>
      <c r="D577" s="239">
        <v>2.3350000000000001E-4</v>
      </c>
      <c r="E577" s="219">
        <v>541131</v>
      </c>
      <c r="F577" s="219" t="s">
        <v>1930</v>
      </c>
      <c r="G577" s="237">
        <v>83484</v>
      </c>
      <c r="H577" s="225">
        <v>74281</v>
      </c>
      <c r="I577" s="237">
        <v>143595</v>
      </c>
      <c r="J577" s="236">
        <v>0</v>
      </c>
      <c r="K577" s="93">
        <f t="shared" si="23"/>
        <v>301360</v>
      </c>
      <c r="L577" s="52"/>
      <c r="M577" s="237">
        <v>2801</v>
      </c>
      <c r="N577" s="237">
        <v>0</v>
      </c>
      <c r="O577" s="236">
        <v>17587</v>
      </c>
      <c r="P577" s="93">
        <f t="shared" si="24"/>
        <v>20388</v>
      </c>
      <c r="Q577" s="52"/>
      <c r="R577" s="237">
        <v>150312</v>
      </c>
      <c r="S577" s="236">
        <v>-5474</v>
      </c>
      <c r="T577" s="238">
        <v>144838</v>
      </c>
    </row>
    <row r="578" spans="1:20">
      <c r="A578" s="50">
        <v>96231</v>
      </c>
      <c r="B578" s="51" t="s">
        <v>2345</v>
      </c>
      <c r="C578" s="239">
        <v>1.2540000000000001E-4</v>
      </c>
      <c r="D578" s="239">
        <v>1.3339999999999999E-4</v>
      </c>
      <c r="E578" s="219">
        <v>297492</v>
      </c>
      <c r="F578" s="219" t="s">
        <v>1930</v>
      </c>
      <c r="G578" s="237">
        <v>45896</v>
      </c>
      <c r="H578" s="225">
        <v>40837</v>
      </c>
      <c r="I578" s="237">
        <v>78943</v>
      </c>
      <c r="J578" s="236">
        <v>1915</v>
      </c>
      <c r="K578" s="93">
        <f t="shared" si="23"/>
        <v>167591</v>
      </c>
      <c r="L578" s="52"/>
      <c r="M578" s="237">
        <v>1540</v>
      </c>
      <c r="N578" s="237">
        <v>0</v>
      </c>
      <c r="O578" s="236">
        <v>22322</v>
      </c>
      <c r="P578" s="93">
        <f t="shared" si="24"/>
        <v>23862</v>
      </c>
      <c r="Q578" s="52"/>
      <c r="R578" s="237">
        <v>82635</v>
      </c>
      <c r="S578" s="236">
        <v>-10839</v>
      </c>
      <c r="T578" s="238">
        <v>71796</v>
      </c>
    </row>
    <row r="579" spans="1:20">
      <c r="A579" s="50">
        <v>96241</v>
      </c>
      <c r="B579" s="51" t="s">
        <v>2346</v>
      </c>
      <c r="C579" s="239">
        <v>5.4299999999999998E-5</v>
      </c>
      <c r="D579" s="239">
        <v>4.4700000000000002E-5</v>
      </c>
      <c r="E579" s="219">
        <v>128818</v>
      </c>
      <c r="F579" s="219" t="s">
        <v>1930</v>
      </c>
      <c r="G579" s="237">
        <v>19874</v>
      </c>
      <c r="H579" s="225">
        <v>17683</v>
      </c>
      <c r="I579" s="237">
        <v>34183</v>
      </c>
      <c r="J579" s="236">
        <v>5386</v>
      </c>
      <c r="K579" s="93">
        <f t="shared" si="23"/>
        <v>77126</v>
      </c>
      <c r="L579" s="52"/>
      <c r="M579" s="237">
        <v>667</v>
      </c>
      <c r="N579" s="237">
        <v>0</v>
      </c>
      <c r="O579" s="236">
        <v>2843</v>
      </c>
      <c r="P579" s="93">
        <f t="shared" si="24"/>
        <v>3510</v>
      </c>
      <c r="Q579" s="52"/>
      <c r="R579" s="237">
        <v>35782</v>
      </c>
      <c r="S579" s="236">
        <v>3441</v>
      </c>
      <c r="T579" s="238">
        <v>39223</v>
      </c>
    </row>
    <row r="580" spans="1:20">
      <c r="A580" s="50">
        <v>96251</v>
      </c>
      <c r="B580" s="51" t="s">
        <v>2347</v>
      </c>
      <c r="C580" s="239">
        <v>1.011E-4</v>
      </c>
      <c r="D580" s="239">
        <v>9.3999999999999994E-5</v>
      </c>
      <c r="E580" s="219">
        <v>239844</v>
      </c>
      <c r="F580" s="219" t="s">
        <v>1930</v>
      </c>
      <c r="G580" s="237">
        <v>37002</v>
      </c>
      <c r="H580" s="225">
        <v>32924</v>
      </c>
      <c r="I580" s="237">
        <v>63645</v>
      </c>
      <c r="J580" s="236">
        <v>4649</v>
      </c>
      <c r="K580" s="93">
        <f t="shared" si="23"/>
        <v>138220</v>
      </c>
      <c r="L580" s="52"/>
      <c r="M580" s="237">
        <v>1242</v>
      </c>
      <c r="N580" s="237">
        <v>0</v>
      </c>
      <c r="O580" s="236">
        <v>10419</v>
      </c>
      <c r="P580" s="93">
        <f t="shared" si="24"/>
        <v>11661</v>
      </c>
      <c r="Q580" s="52"/>
      <c r="R580" s="237">
        <v>66622</v>
      </c>
      <c r="S580" s="236">
        <v>-7630</v>
      </c>
      <c r="T580" s="238">
        <v>58992</v>
      </c>
    </row>
    <row r="581" spans="1:20">
      <c r="A581" s="50">
        <v>96301</v>
      </c>
      <c r="B581" s="51" t="s">
        <v>1280</v>
      </c>
      <c r="C581" s="239">
        <v>4.4197999999999998E-3</v>
      </c>
      <c r="D581" s="239">
        <v>4.3712999999999998E-3</v>
      </c>
      <c r="E581" s="219">
        <v>10485277</v>
      </c>
      <c r="F581" s="219" t="s">
        <v>1930</v>
      </c>
      <c r="G581" s="237">
        <v>1617629</v>
      </c>
      <c r="H581" s="225">
        <v>1439316</v>
      </c>
      <c r="I581" s="237">
        <v>2782388</v>
      </c>
      <c r="J581" s="236">
        <v>27387</v>
      </c>
      <c r="K581" s="93">
        <f t="shared" si="23"/>
        <v>5866720</v>
      </c>
      <c r="L581" s="52"/>
      <c r="M581" s="237">
        <v>54280</v>
      </c>
      <c r="N581" s="237">
        <v>0</v>
      </c>
      <c r="O581" s="236">
        <v>127331</v>
      </c>
      <c r="P581" s="93">
        <f t="shared" si="24"/>
        <v>181611</v>
      </c>
      <c r="Q581" s="52"/>
      <c r="R581" s="237">
        <v>2912529</v>
      </c>
      <c r="S581" s="236">
        <v>-34571</v>
      </c>
      <c r="T581" s="238">
        <v>2877958</v>
      </c>
    </row>
    <row r="582" spans="1:20">
      <c r="A582" s="50">
        <v>96302</v>
      </c>
      <c r="B582" s="51" t="s">
        <v>2348</v>
      </c>
      <c r="C582" s="239">
        <v>2.3499999999999999E-5</v>
      </c>
      <c r="D582" s="239">
        <v>2.5199999999999999E-5</v>
      </c>
      <c r="E582" s="219">
        <v>55750</v>
      </c>
      <c r="F582" s="219" t="s">
        <v>1930</v>
      </c>
      <c r="G582" s="237">
        <v>8601</v>
      </c>
      <c r="H582" s="225">
        <v>7653</v>
      </c>
      <c r="I582" s="237">
        <v>14794</v>
      </c>
      <c r="J582" s="236">
        <v>4772</v>
      </c>
      <c r="K582" s="93">
        <f t="shared" si="23"/>
        <v>35820</v>
      </c>
      <c r="L582" s="52"/>
      <c r="M582" s="237">
        <v>289</v>
      </c>
      <c r="N582" s="237">
        <v>0</v>
      </c>
      <c r="O582" s="236">
        <v>746</v>
      </c>
      <c r="P582" s="93">
        <f t="shared" si="24"/>
        <v>1035</v>
      </c>
      <c r="Q582" s="52"/>
      <c r="R582" s="237">
        <v>15486</v>
      </c>
      <c r="S582" s="236">
        <v>2441</v>
      </c>
      <c r="T582" s="238">
        <v>17927</v>
      </c>
    </row>
    <row r="583" spans="1:20">
      <c r="A583" s="50">
        <v>96304</v>
      </c>
      <c r="B583" s="51" t="s">
        <v>1282</v>
      </c>
      <c r="C583" s="239">
        <v>4.7500000000000003E-5</v>
      </c>
      <c r="D583" s="239">
        <v>4.5500000000000001E-5</v>
      </c>
      <c r="E583" s="219">
        <v>112686</v>
      </c>
      <c r="F583" s="219" t="s">
        <v>1930</v>
      </c>
      <c r="G583" s="237">
        <v>17385</v>
      </c>
      <c r="H583" s="225">
        <v>15469</v>
      </c>
      <c r="I583" s="237">
        <v>29903</v>
      </c>
      <c r="J583" s="236">
        <v>9034</v>
      </c>
      <c r="K583" s="93">
        <f t="shared" si="23"/>
        <v>71791</v>
      </c>
      <c r="L583" s="52"/>
      <c r="M583" s="237">
        <v>583</v>
      </c>
      <c r="N583" s="237">
        <v>0</v>
      </c>
      <c r="O583" s="236">
        <v>733</v>
      </c>
      <c r="P583" s="93">
        <f t="shared" si="24"/>
        <v>1316</v>
      </c>
      <c r="Q583" s="52"/>
      <c r="R583" s="237">
        <v>31301</v>
      </c>
      <c r="S583" s="236">
        <v>3589</v>
      </c>
      <c r="T583" s="238">
        <v>34890</v>
      </c>
    </row>
    <row r="584" spans="1:20">
      <c r="A584" s="50">
        <v>96305</v>
      </c>
      <c r="B584" s="51" t="s">
        <v>1283</v>
      </c>
      <c r="C584" s="239">
        <v>4.1100000000000003E-5</v>
      </c>
      <c r="D584" s="239">
        <v>4.5500000000000001E-5</v>
      </c>
      <c r="E584" s="219">
        <v>97503</v>
      </c>
      <c r="F584" s="219" t="s">
        <v>1930</v>
      </c>
      <c r="G584" s="237">
        <v>15042</v>
      </c>
      <c r="H584" s="225">
        <v>13384</v>
      </c>
      <c r="I584" s="237">
        <v>25874</v>
      </c>
      <c r="J584" s="236">
        <v>16290</v>
      </c>
      <c r="K584" s="93">
        <f t="shared" si="23"/>
        <v>70590</v>
      </c>
      <c r="L584" s="52"/>
      <c r="M584" s="237">
        <v>505</v>
      </c>
      <c r="N584" s="237">
        <v>0</v>
      </c>
      <c r="O584" s="236">
        <v>0</v>
      </c>
      <c r="P584" s="93">
        <f t="shared" si="24"/>
        <v>505</v>
      </c>
      <c r="Q584" s="52"/>
      <c r="R584" s="237">
        <v>27084</v>
      </c>
      <c r="S584" s="236">
        <v>6681</v>
      </c>
      <c r="T584" s="238">
        <v>33765</v>
      </c>
    </row>
    <row r="585" spans="1:20">
      <c r="A585" s="50">
        <v>96310</v>
      </c>
      <c r="B585" s="51" t="s">
        <v>1284</v>
      </c>
      <c r="C585" s="239">
        <v>5.02E-5</v>
      </c>
      <c r="D585" s="239">
        <v>6.1099999999999994E-5</v>
      </c>
      <c r="E585" s="219">
        <v>119092</v>
      </c>
      <c r="F585" s="219" t="s">
        <v>1930</v>
      </c>
      <c r="G585" s="237">
        <v>18373</v>
      </c>
      <c r="H585" s="225">
        <v>16347</v>
      </c>
      <c r="I585" s="237">
        <v>31602</v>
      </c>
      <c r="J585" s="236">
        <v>5953</v>
      </c>
      <c r="K585" s="93">
        <f t="shared" si="23"/>
        <v>72275</v>
      </c>
      <c r="L585" s="52"/>
      <c r="M585" s="237">
        <v>617</v>
      </c>
      <c r="N585" s="237">
        <v>0</v>
      </c>
      <c r="O585" s="236">
        <v>5950</v>
      </c>
      <c r="P585" s="93">
        <f t="shared" si="24"/>
        <v>6567</v>
      </c>
      <c r="Q585" s="52"/>
      <c r="R585" s="237">
        <v>33080</v>
      </c>
      <c r="S585" s="236">
        <v>2495</v>
      </c>
      <c r="T585" s="238">
        <v>35575</v>
      </c>
    </row>
    <row r="586" spans="1:20">
      <c r="A586" s="50">
        <v>96311</v>
      </c>
      <c r="B586" s="51" t="s">
        <v>2349</v>
      </c>
      <c r="C586" s="239">
        <v>1.3328000000000001E-3</v>
      </c>
      <c r="D586" s="239">
        <v>1.3113000000000001E-3</v>
      </c>
      <c r="E586" s="219">
        <v>3161857</v>
      </c>
      <c r="F586" s="219" t="s">
        <v>1930</v>
      </c>
      <c r="G586" s="237">
        <v>487799</v>
      </c>
      <c r="H586" s="225">
        <v>434029</v>
      </c>
      <c r="I586" s="237">
        <v>839035</v>
      </c>
      <c r="J586" s="236">
        <v>0</v>
      </c>
      <c r="K586" s="93">
        <f t="shared" si="23"/>
        <v>1760863</v>
      </c>
      <c r="L586" s="52"/>
      <c r="M586" s="237">
        <v>16368</v>
      </c>
      <c r="N586" s="237">
        <v>0</v>
      </c>
      <c r="O586" s="236">
        <v>112780</v>
      </c>
      <c r="P586" s="93">
        <f t="shared" si="24"/>
        <v>129148</v>
      </c>
      <c r="Q586" s="52"/>
      <c r="R586" s="237">
        <v>878279</v>
      </c>
      <c r="S586" s="236">
        <v>-38768</v>
      </c>
      <c r="T586" s="238">
        <v>839511</v>
      </c>
    </row>
    <row r="587" spans="1:20">
      <c r="A587" s="50">
        <v>96312</v>
      </c>
      <c r="B587" s="51" t="s">
        <v>2350</v>
      </c>
      <c r="C587" s="239">
        <v>6.1E-6</v>
      </c>
      <c r="D587" s="239">
        <v>1.5999999999999999E-5</v>
      </c>
      <c r="E587" s="219">
        <v>14471</v>
      </c>
      <c r="F587" s="219" t="s">
        <v>1930</v>
      </c>
      <c r="G587" s="237">
        <v>2233</v>
      </c>
      <c r="H587" s="225">
        <v>1987</v>
      </c>
      <c r="I587" s="237">
        <v>3840</v>
      </c>
      <c r="J587" s="236">
        <v>5741</v>
      </c>
      <c r="K587" s="93">
        <f t="shared" si="23"/>
        <v>13801</v>
      </c>
      <c r="L587" s="52"/>
      <c r="M587" s="237">
        <v>75</v>
      </c>
      <c r="N587" s="237">
        <v>0</v>
      </c>
      <c r="O587" s="236">
        <v>7008</v>
      </c>
      <c r="P587" s="93">
        <f t="shared" si="24"/>
        <v>7083</v>
      </c>
      <c r="Q587" s="52"/>
      <c r="R587" s="237">
        <v>4020</v>
      </c>
      <c r="S587" s="236">
        <v>-1283</v>
      </c>
      <c r="T587" s="238">
        <v>2737</v>
      </c>
    </row>
    <row r="588" spans="1:20">
      <c r="A588" s="50">
        <v>96318</v>
      </c>
      <c r="B588" s="51" t="s">
        <v>1287</v>
      </c>
      <c r="C588" s="239">
        <v>2.2098999999999999E-3</v>
      </c>
      <c r="D588" s="239">
        <v>2.1684999999999999E-3</v>
      </c>
      <c r="E588" s="219">
        <v>5242639</v>
      </c>
      <c r="F588" s="219" t="s">
        <v>1930</v>
      </c>
      <c r="G588" s="237">
        <v>808815</v>
      </c>
      <c r="H588" s="225">
        <v>719659</v>
      </c>
      <c r="I588" s="237">
        <v>1391194</v>
      </c>
      <c r="J588" s="236">
        <v>5150573</v>
      </c>
      <c r="K588" s="93">
        <f t="shared" si="23"/>
        <v>8070241</v>
      </c>
      <c r="L588" s="52"/>
      <c r="M588" s="237">
        <v>27140</v>
      </c>
      <c r="N588" s="237">
        <v>0</v>
      </c>
      <c r="O588" s="236">
        <v>0</v>
      </c>
      <c r="P588" s="93">
        <f t="shared" si="24"/>
        <v>27140</v>
      </c>
      <c r="Q588" s="52"/>
      <c r="R588" s="237">
        <v>1456264</v>
      </c>
      <c r="S588" s="236">
        <v>2691083</v>
      </c>
      <c r="T588" s="238">
        <v>4147347</v>
      </c>
    </row>
    <row r="589" spans="1:20">
      <c r="A589" s="50">
        <v>96321</v>
      </c>
      <c r="B589" s="51" t="s">
        <v>2351</v>
      </c>
      <c r="C589" s="239">
        <v>3.7299999999999999E-5</v>
      </c>
      <c r="D589" s="239">
        <v>3.6900000000000002E-5</v>
      </c>
      <c r="E589" s="219">
        <v>88488</v>
      </c>
      <c r="F589" s="219" t="s">
        <v>1930</v>
      </c>
      <c r="G589" s="237">
        <v>13652</v>
      </c>
      <c r="H589" s="225">
        <v>12147</v>
      </c>
      <c r="I589" s="237">
        <v>23481</v>
      </c>
      <c r="J589" s="236">
        <v>2037</v>
      </c>
      <c r="K589" s="93">
        <f t="shared" si="23"/>
        <v>51317</v>
      </c>
      <c r="L589" s="52"/>
      <c r="M589" s="237">
        <v>458</v>
      </c>
      <c r="N589" s="237">
        <v>0</v>
      </c>
      <c r="O589" s="236">
        <v>1391</v>
      </c>
      <c r="P589" s="93">
        <f t="shared" si="24"/>
        <v>1849</v>
      </c>
      <c r="Q589" s="52"/>
      <c r="R589" s="237">
        <v>24580</v>
      </c>
      <c r="S589" s="236">
        <v>-243</v>
      </c>
      <c r="T589" s="238">
        <v>24337</v>
      </c>
    </row>
    <row r="590" spans="1:20">
      <c r="A590" s="50">
        <v>96331</v>
      </c>
      <c r="B590" s="51" t="s">
        <v>2352</v>
      </c>
      <c r="C590" s="239">
        <v>7.0220000000000005E-4</v>
      </c>
      <c r="D590" s="239">
        <v>7.0850000000000004E-4</v>
      </c>
      <c r="E590" s="219">
        <v>1665859</v>
      </c>
      <c r="F590" s="219" t="s">
        <v>1930</v>
      </c>
      <c r="G590" s="237">
        <v>257002</v>
      </c>
      <c r="H590" s="225">
        <v>228672</v>
      </c>
      <c r="I590" s="237">
        <v>442055</v>
      </c>
      <c r="J590" s="236">
        <v>1400</v>
      </c>
      <c r="K590" s="93">
        <f t="shared" si="23"/>
        <v>929129</v>
      </c>
      <c r="L590" s="52"/>
      <c r="M590" s="237">
        <v>8624</v>
      </c>
      <c r="N590" s="237">
        <v>0</v>
      </c>
      <c r="O590" s="236">
        <v>67389</v>
      </c>
      <c r="P590" s="93">
        <f t="shared" si="24"/>
        <v>76013</v>
      </c>
      <c r="Q590" s="52"/>
      <c r="R590" s="237">
        <v>462731</v>
      </c>
      <c r="S590" s="236">
        <v>-31677</v>
      </c>
      <c r="T590" s="238">
        <v>431054</v>
      </c>
    </row>
    <row r="591" spans="1:20">
      <c r="A591" s="50">
        <v>96341</v>
      </c>
      <c r="B591" s="51" t="s">
        <v>2353</v>
      </c>
      <c r="C591" s="239">
        <v>9.1399999999999999E-5</v>
      </c>
      <c r="D591" s="239">
        <v>8.3800000000000004E-5</v>
      </c>
      <c r="E591" s="219">
        <v>216832</v>
      </c>
      <c r="F591" s="219" t="s">
        <v>1930</v>
      </c>
      <c r="G591" s="237">
        <v>33452</v>
      </c>
      <c r="H591" s="225">
        <v>29765</v>
      </c>
      <c r="I591" s="237">
        <v>57539</v>
      </c>
      <c r="J591" s="236">
        <v>7342</v>
      </c>
      <c r="K591" s="93">
        <f t="shared" si="23"/>
        <v>128098</v>
      </c>
      <c r="L591" s="52"/>
      <c r="M591" s="237">
        <v>1122</v>
      </c>
      <c r="N591" s="237">
        <v>0</v>
      </c>
      <c r="O591" s="236">
        <v>5984</v>
      </c>
      <c r="P591" s="93">
        <f t="shared" si="24"/>
        <v>7106</v>
      </c>
      <c r="Q591" s="52"/>
      <c r="R591" s="237">
        <v>60230</v>
      </c>
      <c r="S591" s="236">
        <v>-2239</v>
      </c>
      <c r="T591" s="238">
        <v>57991</v>
      </c>
    </row>
    <row r="592" spans="1:20">
      <c r="A592" s="50">
        <v>96351</v>
      </c>
      <c r="B592" s="51" t="s">
        <v>2488</v>
      </c>
      <c r="C592" s="239">
        <v>1.0456E-3</v>
      </c>
      <c r="D592" s="239">
        <v>1.0616E-3</v>
      </c>
      <c r="E592" s="219">
        <v>2480521</v>
      </c>
      <c r="F592" s="219" t="s">
        <v>1930</v>
      </c>
      <c r="G592" s="237">
        <v>382685</v>
      </c>
      <c r="H592" s="225">
        <v>340501</v>
      </c>
      <c r="I592" s="237">
        <v>658234</v>
      </c>
      <c r="J592" s="236">
        <v>1398</v>
      </c>
      <c r="K592" s="93">
        <f t="shared" si="23"/>
        <v>1382818</v>
      </c>
      <c r="L592" s="52"/>
      <c r="M592" s="237">
        <v>12841</v>
      </c>
      <c r="N592" s="237">
        <v>0</v>
      </c>
      <c r="O592" s="236">
        <v>35067</v>
      </c>
      <c r="P592" s="93">
        <f t="shared" si="24"/>
        <v>47908</v>
      </c>
      <c r="Q592" s="52"/>
      <c r="R592" s="237">
        <v>689022</v>
      </c>
      <c r="S592" s="236">
        <v>-9188</v>
      </c>
      <c r="T592" s="238">
        <v>679834</v>
      </c>
    </row>
    <row r="593" spans="1:20">
      <c r="A593" s="50">
        <v>96361</v>
      </c>
      <c r="B593" s="51" t="s">
        <v>2354</v>
      </c>
      <c r="C593" s="239">
        <v>4.9400000000000001E-5</v>
      </c>
      <c r="D593" s="239">
        <v>5.5699999999999999E-5</v>
      </c>
      <c r="E593" s="219">
        <v>117194</v>
      </c>
      <c r="F593" s="219" t="s">
        <v>1930</v>
      </c>
      <c r="G593" s="237">
        <v>18080</v>
      </c>
      <c r="H593" s="225">
        <v>16088</v>
      </c>
      <c r="I593" s="237">
        <v>31099</v>
      </c>
      <c r="J593" s="236">
        <v>1546</v>
      </c>
      <c r="K593" s="93">
        <f t="shared" si="23"/>
        <v>66813</v>
      </c>
      <c r="L593" s="52"/>
      <c r="M593" s="237">
        <v>607</v>
      </c>
      <c r="N593" s="237">
        <v>0</v>
      </c>
      <c r="O593" s="236">
        <v>5439</v>
      </c>
      <c r="P593" s="93">
        <f t="shared" si="24"/>
        <v>6046</v>
      </c>
      <c r="Q593" s="52"/>
      <c r="R593" s="237">
        <v>32553</v>
      </c>
      <c r="S593" s="236">
        <v>190</v>
      </c>
      <c r="T593" s="238">
        <v>32743</v>
      </c>
    </row>
    <row r="594" spans="1:20">
      <c r="A594" s="50">
        <v>96371</v>
      </c>
      <c r="B594" s="51" t="s">
        <v>2489</v>
      </c>
      <c r="C594" s="239">
        <v>1.4200000000000001E-4</v>
      </c>
      <c r="D594" s="239">
        <v>1.5249999999999999E-4</v>
      </c>
      <c r="E594" s="219">
        <v>336873</v>
      </c>
      <c r="F594" s="219" t="s">
        <v>1930</v>
      </c>
      <c r="G594" s="237">
        <v>51971</v>
      </c>
      <c r="H594" s="225">
        <v>46242</v>
      </c>
      <c r="I594" s="237">
        <v>89393</v>
      </c>
      <c r="J594" s="236">
        <v>0</v>
      </c>
      <c r="K594" s="93">
        <f t="shared" si="23"/>
        <v>187606</v>
      </c>
      <c r="L594" s="52"/>
      <c r="M594" s="237">
        <v>1744</v>
      </c>
      <c r="N594" s="237">
        <v>0</v>
      </c>
      <c r="O594" s="236">
        <v>16072</v>
      </c>
      <c r="P594" s="93">
        <f t="shared" si="24"/>
        <v>17816</v>
      </c>
      <c r="Q594" s="52"/>
      <c r="R594" s="237">
        <v>93574</v>
      </c>
      <c r="S594" s="236">
        <v>-4573</v>
      </c>
      <c r="T594" s="238">
        <v>89001</v>
      </c>
    </row>
    <row r="595" spans="1:20">
      <c r="A595" s="50">
        <v>96381</v>
      </c>
      <c r="B595" s="51" t="s">
        <v>1294</v>
      </c>
      <c r="C595" s="239">
        <v>3.5200000000000002E-5</v>
      </c>
      <c r="D595" s="239">
        <v>3.2100000000000001E-5</v>
      </c>
      <c r="E595" s="219">
        <v>83506</v>
      </c>
      <c r="F595" s="219" t="s">
        <v>1930</v>
      </c>
      <c r="G595" s="237">
        <v>12883</v>
      </c>
      <c r="H595" s="225">
        <v>11463</v>
      </c>
      <c r="I595" s="237">
        <v>22159</v>
      </c>
      <c r="J595" s="236">
        <v>1710</v>
      </c>
      <c r="K595" s="93">
        <f t="shared" si="23"/>
        <v>48215</v>
      </c>
      <c r="L595" s="52"/>
      <c r="M595" s="237">
        <v>432</v>
      </c>
      <c r="N595" s="237">
        <v>0</v>
      </c>
      <c r="O595" s="236">
        <v>634</v>
      </c>
      <c r="P595" s="93">
        <f t="shared" si="24"/>
        <v>1066</v>
      </c>
      <c r="Q595" s="52"/>
      <c r="R595" s="237">
        <v>23196</v>
      </c>
      <c r="S595" s="236">
        <v>-775</v>
      </c>
      <c r="T595" s="238">
        <v>22421</v>
      </c>
    </row>
    <row r="596" spans="1:20">
      <c r="A596" s="50">
        <v>96391</v>
      </c>
      <c r="B596" s="51" t="s">
        <v>2355</v>
      </c>
      <c r="C596" s="239">
        <v>2.1350000000000001E-4</v>
      </c>
      <c r="D596" s="239">
        <v>2.029E-4</v>
      </c>
      <c r="E596" s="219">
        <v>506495</v>
      </c>
      <c r="F596" s="219" t="s">
        <v>1930</v>
      </c>
      <c r="G596" s="237">
        <v>78140</v>
      </c>
      <c r="H596" s="225">
        <v>69527</v>
      </c>
      <c r="I596" s="237">
        <v>134404</v>
      </c>
      <c r="J596" s="236">
        <v>0</v>
      </c>
      <c r="K596" s="93">
        <f t="shared" ref="K596:K660" si="25">G596+H596+I596+J596</f>
        <v>282071</v>
      </c>
      <c r="L596" s="52"/>
      <c r="M596" s="237">
        <v>2622</v>
      </c>
      <c r="N596" s="237">
        <v>0</v>
      </c>
      <c r="O596" s="236">
        <v>20575</v>
      </c>
      <c r="P596" s="93">
        <f t="shared" ref="P596:P660" si="26">M596+N596+O596</f>
        <v>23197</v>
      </c>
      <c r="Q596" s="52"/>
      <c r="R596" s="237">
        <v>140691</v>
      </c>
      <c r="S596" s="236">
        <v>-665</v>
      </c>
      <c r="T596" s="238">
        <v>140026</v>
      </c>
    </row>
    <row r="597" spans="1:20">
      <c r="A597" s="50">
        <v>96401</v>
      </c>
      <c r="B597" s="51" t="s">
        <v>1296</v>
      </c>
      <c r="C597" s="239">
        <v>4.4764999999999996E-3</v>
      </c>
      <c r="D597" s="239">
        <v>4.5672000000000004E-3</v>
      </c>
      <c r="E597" s="219">
        <v>10619789</v>
      </c>
      <c r="F597" s="219" t="s">
        <v>1930</v>
      </c>
      <c r="G597" s="237">
        <v>1638381</v>
      </c>
      <c r="H597" s="225">
        <v>1457781</v>
      </c>
      <c r="I597" s="237">
        <v>2818082</v>
      </c>
      <c r="J597" s="236">
        <v>0</v>
      </c>
      <c r="K597" s="93">
        <f t="shared" si="25"/>
        <v>5914244</v>
      </c>
      <c r="L597" s="52"/>
      <c r="M597" s="237">
        <v>54976</v>
      </c>
      <c r="N597" s="237">
        <v>0</v>
      </c>
      <c r="O597" s="236">
        <v>163892</v>
      </c>
      <c r="P597" s="93">
        <f t="shared" si="26"/>
        <v>218868</v>
      </c>
      <c r="Q597" s="52"/>
      <c r="R597" s="237">
        <v>2949893</v>
      </c>
      <c r="S597" s="236">
        <v>-37128</v>
      </c>
      <c r="T597" s="238">
        <v>2912765</v>
      </c>
    </row>
    <row r="598" spans="1:20">
      <c r="A598" s="50">
        <v>96404</v>
      </c>
      <c r="B598" s="51" t="s">
        <v>1297</v>
      </c>
      <c r="C598" s="239">
        <v>9.98E-5</v>
      </c>
      <c r="D598" s="239">
        <v>1.026E-4</v>
      </c>
      <c r="E598" s="219">
        <v>236760</v>
      </c>
      <c r="F598" s="219" t="s">
        <v>1930</v>
      </c>
      <c r="G598" s="237">
        <v>36526</v>
      </c>
      <c r="H598" s="225">
        <v>32500</v>
      </c>
      <c r="I598" s="237">
        <v>62827</v>
      </c>
      <c r="J598" s="236">
        <v>25677</v>
      </c>
      <c r="K598" s="93">
        <f t="shared" si="25"/>
        <v>157530</v>
      </c>
      <c r="L598" s="52"/>
      <c r="M598" s="237">
        <v>1226</v>
      </c>
      <c r="N598" s="237">
        <v>0</v>
      </c>
      <c r="O598" s="236">
        <v>0</v>
      </c>
      <c r="P598" s="93">
        <f t="shared" si="26"/>
        <v>1226</v>
      </c>
      <c r="Q598" s="52"/>
      <c r="R598" s="237">
        <v>65766</v>
      </c>
      <c r="S598" s="236">
        <v>12826</v>
      </c>
      <c r="T598" s="238">
        <v>78592</v>
      </c>
    </row>
    <row r="599" spans="1:20">
      <c r="A599" s="50">
        <v>96405</v>
      </c>
      <c r="B599" s="51" t="s">
        <v>1298</v>
      </c>
      <c r="C599" s="239">
        <v>1.3219999999999999E-4</v>
      </c>
      <c r="D599" s="239">
        <v>1.6139999999999999E-4</v>
      </c>
      <c r="E599" s="219">
        <v>313624</v>
      </c>
      <c r="F599" s="219" t="s">
        <v>1930</v>
      </c>
      <c r="G599" s="237">
        <v>48385</v>
      </c>
      <c r="H599" s="225">
        <v>43051</v>
      </c>
      <c r="I599" s="237">
        <v>83224</v>
      </c>
      <c r="J599" s="236">
        <v>4606</v>
      </c>
      <c r="K599" s="93">
        <f t="shared" si="25"/>
        <v>179266</v>
      </c>
      <c r="L599" s="52"/>
      <c r="M599" s="237">
        <v>1624</v>
      </c>
      <c r="N599" s="237">
        <v>0</v>
      </c>
      <c r="O599" s="236">
        <v>1578</v>
      </c>
      <c r="P599" s="93">
        <f t="shared" si="26"/>
        <v>3202</v>
      </c>
      <c r="Q599" s="52"/>
      <c r="R599" s="237">
        <v>87116</v>
      </c>
      <c r="S599" s="236">
        <v>4206</v>
      </c>
      <c r="T599" s="238">
        <v>91322</v>
      </c>
    </row>
    <row r="600" spans="1:20">
      <c r="A600" s="50">
        <v>96411</v>
      </c>
      <c r="B600" s="51" t="s">
        <v>2356</v>
      </c>
      <c r="C600" s="239">
        <v>7.1899999999999999E-5</v>
      </c>
      <c r="D600" s="239">
        <v>7.2299999999999996E-5</v>
      </c>
      <c r="E600" s="219">
        <v>170571</v>
      </c>
      <c r="F600" s="219" t="s">
        <v>1930</v>
      </c>
      <c r="G600" s="237">
        <v>26315</v>
      </c>
      <c r="H600" s="225">
        <v>23414</v>
      </c>
      <c r="I600" s="237">
        <v>45263</v>
      </c>
      <c r="J600" s="236">
        <v>7628</v>
      </c>
      <c r="K600" s="93">
        <f t="shared" si="25"/>
        <v>102620</v>
      </c>
      <c r="L600" s="52"/>
      <c r="M600" s="237">
        <v>883</v>
      </c>
      <c r="N600" s="237">
        <v>0</v>
      </c>
      <c r="O600" s="236">
        <v>5714</v>
      </c>
      <c r="P600" s="93">
        <f t="shared" si="26"/>
        <v>6597</v>
      </c>
      <c r="Q600" s="52"/>
      <c r="R600" s="237">
        <v>47380</v>
      </c>
      <c r="S600" s="236">
        <v>1584</v>
      </c>
      <c r="T600" s="238">
        <v>48964</v>
      </c>
    </row>
    <row r="601" spans="1:20">
      <c r="A601" s="50">
        <v>96421</v>
      </c>
      <c r="B601" s="51" t="s">
        <v>2357</v>
      </c>
      <c r="C601" s="239">
        <v>4.2880000000000001E-4</v>
      </c>
      <c r="D601" s="239">
        <v>4.2529999999999998E-4</v>
      </c>
      <c r="E601" s="219">
        <v>1017260</v>
      </c>
      <c r="F601" s="219" t="s">
        <v>1930</v>
      </c>
      <c r="G601" s="237">
        <v>156939</v>
      </c>
      <c r="H601" s="225">
        <v>139640</v>
      </c>
      <c r="I601" s="237">
        <v>269942</v>
      </c>
      <c r="J601" s="236">
        <v>0</v>
      </c>
      <c r="K601" s="93">
        <f t="shared" si="25"/>
        <v>566521</v>
      </c>
      <c r="L601" s="52"/>
      <c r="M601" s="237">
        <v>5266</v>
      </c>
      <c r="N601" s="237">
        <v>0</v>
      </c>
      <c r="O601" s="236">
        <v>60679</v>
      </c>
      <c r="P601" s="93">
        <f t="shared" si="26"/>
        <v>65945</v>
      </c>
      <c r="Q601" s="52"/>
      <c r="R601" s="237">
        <v>282568</v>
      </c>
      <c r="S601" s="236">
        <v>-39301</v>
      </c>
      <c r="T601" s="238">
        <v>243267</v>
      </c>
    </row>
    <row r="602" spans="1:20">
      <c r="A602" s="50">
        <v>96431</v>
      </c>
      <c r="B602" s="51" t="s">
        <v>2358</v>
      </c>
      <c r="C602" s="239">
        <v>3.0599999999999998E-5</v>
      </c>
      <c r="D602" s="239">
        <v>4.2799999999999997E-5</v>
      </c>
      <c r="E602" s="219">
        <v>72594</v>
      </c>
      <c r="F602" s="219" t="s">
        <v>1930</v>
      </c>
      <c r="G602" s="237">
        <v>11199</v>
      </c>
      <c r="H602" s="225">
        <v>9965</v>
      </c>
      <c r="I602" s="237">
        <v>19264</v>
      </c>
      <c r="J602" s="236">
        <v>4082</v>
      </c>
      <c r="K602" s="93">
        <f t="shared" si="25"/>
        <v>44510</v>
      </c>
      <c r="L602" s="52"/>
      <c r="M602" s="237">
        <v>376</v>
      </c>
      <c r="N602" s="237">
        <v>0</v>
      </c>
      <c r="O602" s="236">
        <v>9581</v>
      </c>
      <c r="P602" s="93">
        <f t="shared" si="26"/>
        <v>9957</v>
      </c>
      <c r="Q602" s="52"/>
      <c r="R602" s="237">
        <v>20165</v>
      </c>
      <c r="S602" s="236">
        <v>-2392</v>
      </c>
      <c r="T602" s="238">
        <v>17773</v>
      </c>
    </row>
    <row r="603" spans="1:20">
      <c r="A603" s="50">
        <v>96441</v>
      </c>
      <c r="B603" s="51" t="s">
        <v>2359</v>
      </c>
      <c r="C603" s="239">
        <v>2.8E-5</v>
      </c>
      <c r="D603" s="239">
        <v>2.97E-5</v>
      </c>
      <c r="E603" s="219">
        <v>66426</v>
      </c>
      <c r="F603" s="219" t="s">
        <v>1930</v>
      </c>
      <c r="G603" s="237">
        <v>10248</v>
      </c>
      <c r="H603" s="225">
        <v>9118</v>
      </c>
      <c r="I603" s="237">
        <v>17627</v>
      </c>
      <c r="J603" s="236">
        <v>4392</v>
      </c>
      <c r="K603" s="93">
        <f t="shared" si="25"/>
        <v>41385</v>
      </c>
      <c r="L603" s="52"/>
      <c r="M603" s="237">
        <v>344</v>
      </c>
      <c r="N603" s="237">
        <v>0</v>
      </c>
      <c r="O603" s="236">
        <v>57</v>
      </c>
      <c r="P603" s="93">
        <f t="shared" si="26"/>
        <v>401</v>
      </c>
      <c r="Q603" s="52"/>
      <c r="R603" s="237">
        <v>18451</v>
      </c>
      <c r="S603" s="236">
        <v>2845</v>
      </c>
      <c r="T603" s="238">
        <v>21296</v>
      </c>
    </row>
    <row r="604" spans="1:20">
      <c r="A604" s="50">
        <v>96451</v>
      </c>
      <c r="B604" s="51" t="s">
        <v>2360</v>
      </c>
      <c r="C604" s="239">
        <v>1.8700000000000001E-5</v>
      </c>
      <c r="D604" s="239">
        <v>2.0299999999999999E-5</v>
      </c>
      <c r="E604" s="219">
        <v>44363</v>
      </c>
      <c r="F604" s="219" t="s">
        <v>1930</v>
      </c>
      <c r="G604" s="237">
        <v>6844</v>
      </c>
      <c r="H604" s="225">
        <v>6089</v>
      </c>
      <c r="I604" s="237">
        <v>11772</v>
      </c>
      <c r="J604" s="236">
        <v>4558</v>
      </c>
      <c r="K604" s="93">
        <f t="shared" si="25"/>
        <v>29263</v>
      </c>
      <c r="L604" s="52"/>
      <c r="M604" s="237">
        <v>230</v>
      </c>
      <c r="N604" s="237">
        <v>0</v>
      </c>
      <c r="O604" s="236">
        <v>2079</v>
      </c>
      <c r="P604" s="93">
        <f t="shared" si="26"/>
        <v>2309</v>
      </c>
      <c r="Q604" s="52"/>
      <c r="R604" s="237">
        <v>12323</v>
      </c>
      <c r="S604" s="236">
        <v>588</v>
      </c>
      <c r="T604" s="238">
        <v>12911</v>
      </c>
    </row>
    <row r="605" spans="1:20">
      <c r="A605" s="50">
        <v>96461</v>
      </c>
      <c r="B605" s="51" t="s">
        <v>2361</v>
      </c>
      <c r="C605" s="239">
        <v>1.538E-4</v>
      </c>
      <c r="D605" s="239">
        <v>1.361E-4</v>
      </c>
      <c r="E605" s="219">
        <v>364866</v>
      </c>
      <c r="F605" s="219" t="s">
        <v>1930</v>
      </c>
      <c r="G605" s="237">
        <v>56290</v>
      </c>
      <c r="H605" s="225">
        <v>50085</v>
      </c>
      <c r="I605" s="237">
        <v>96821</v>
      </c>
      <c r="J605" s="236">
        <v>11947</v>
      </c>
      <c r="K605" s="93">
        <f t="shared" si="25"/>
        <v>215143</v>
      </c>
      <c r="L605" s="52"/>
      <c r="M605" s="237">
        <v>1889</v>
      </c>
      <c r="N605" s="237">
        <v>0</v>
      </c>
      <c r="O605" s="236">
        <v>9861</v>
      </c>
      <c r="P605" s="93">
        <f t="shared" si="26"/>
        <v>11750</v>
      </c>
      <c r="Q605" s="52"/>
      <c r="R605" s="237">
        <v>101350</v>
      </c>
      <c r="S605" s="236">
        <v>-1446</v>
      </c>
      <c r="T605" s="238">
        <v>99904</v>
      </c>
    </row>
    <row r="606" spans="1:20">
      <c r="A606" s="50">
        <v>96501</v>
      </c>
      <c r="B606" s="51" t="s">
        <v>1305</v>
      </c>
      <c r="C606" s="239">
        <v>1.453E-2</v>
      </c>
      <c r="D606" s="239">
        <v>1.44739E-2</v>
      </c>
      <c r="E606" s="219">
        <v>34470129</v>
      </c>
      <c r="F606" s="219" t="s">
        <v>1930</v>
      </c>
      <c r="G606" s="237">
        <v>5317922</v>
      </c>
      <c r="H606" s="225">
        <v>4731723</v>
      </c>
      <c r="I606" s="237">
        <v>9147042</v>
      </c>
      <c r="J606" s="236">
        <v>113402</v>
      </c>
      <c r="K606" s="93">
        <f t="shared" si="25"/>
        <v>19310089</v>
      </c>
      <c r="L606" s="52"/>
      <c r="M606" s="237">
        <v>178443</v>
      </c>
      <c r="N606" s="237">
        <v>0</v>
      </c>
      <c r="O606" s="236">
        <v>280861</v>
      </c>
      <c r="P606" s="93">
        <f t="shared" si="26"/>
        <v>459304</v>
      </c>
      <c r="Q606" s="52"/>
      <c r="R606" s="237">
        <v>9574878</v>
      </c>
      <c r="S606" s="236">
        <v>126655</v>
      </c>
      <c r="T606" s="238">
        <v>9701533</v>
      </c>
    </row>
    <row r="607" spans="1:20">
      <c r="A607" s="50">
        <v>96502</v>
      </c>
      <c r="B607" s="51" t="s">
        <v>2765</v>
      </c>
      <c r="C607" s="239">
        <v>4.059E-4</v>
      </c>
      <c r="D607" s="239">
        <v>4.2440000000000002E-4</v>
      </c>
      <c r="E607" s="219">
        <v>962934</v>
      </c>
      <c r="F607" s="219" t="s">
        <v>1930</v>
      </c>
      <c r="G607" s="237">
        <v>148558</v>
      </c>
      <c r="H607" s="225">
        <v>132183</v>
      </c>
      <c r="I607" s="237">
        <v>255525</v>
      </c>
      <c r="J607" s="236">
        <v>16491</v>
      </c>
      <c r="K607" s="93">
        <f t="shared" si="25"/>
        <v>552757</v>
      </c>
      <c r="L607" s="52"/>
      <c r="M607" s="237">
        <v>4985</v>
      </c>
      <c r="N607" s="237">
        <v>0</v>
      </c>
      <c r="O607" s="236">
        <v>0</v>
      </c>
      <c r="P607" s="93">
        <f t="shared" si="26"/>
        <v>4985</v>
      </c>
      <c r="Q607" s="52"/>
      <c r="R607" s="237">
        <v>267477</v>
      </c>
      <c r="S607" s="236">
        <v>23122</v>
      </c>
      <c r="T607" s="238">
        <v>290599</v>
      </c>
    </row>
    <row r="608" spans="1:20">
      <c r="A608" s="50">
        <v>96503</v>
      </c>
      <c r="B608" s="51" t="s">
        <v>1307</v>
      </c>
      <c r="C608" s="239">
        <v>2.856E-4</v>
      </c>
      <c r="D608" s="239">
        <v>3.0039999999999998E-4</v>
      </c>
      <c r="E608" s="219">
        <v>677541</v>
      </c>
      <c r="F608" s="219" t="s">
        <v>1930</v>
      </c>
      <c r="G608" s="237">
        <v>104528</v>
      </c>
      <c r="H608" s="225">
        <v>93006</v>
      </c>
      <c r="I608" s="237">
        <v>179793</v>
      </c>
      <c r="J608" s="236">
        <v>287738</v>
      </c>
      <c r="K608" s="93">
        <f t="shared" si="25"/>
        <v>665065</v>
      </c>
      <c r="L608" s="52"/>
      <c r="M608" s="237">
        <v>3507</v>
      </c>
      <c r="N608" s="237">
        <v>0</v>
      </c>
      <c r="O608" s="236">
        <v>0</v>
      </c>
      <c r="P608" s="93">
        <f t="shared" si="26"/>
        <v>3507</v>
      </c>
      <c r="Q608" s="52"/>
      <c r="R608" s="237">
        <v>188203</v>
      </c>
      <c r="S608" s="236">
        <v>104796</v>
      </c>
      <c r="T608" s="238">
        <v>292999</v>
      </c>
    </row>
    <row r="609" spans="1:20">
      <c r="A609" s="50">
        <v>96504</v>
      </c>
      <c r="B609" s="51" t="s">
        <v>1308</v>
      </c>
      <c r="C609" s="239">
        <v>4.0900000000000002E-4</v>
      </c>
      <c r="D609" s="239">
        <v>4.1760000000000001E-4</v>
      </c>
      <c r="E609" s="219">
        <v>970288</v>
      </c>
      <c r="F609" s="219" t="s">
        <v>1930</v>
      </c>
      <c r="G609" s="237">
        <v>149692</v>
      </c>
      <c r="H609" s="225">
        <v>133192</v>
      </c>
      <c r="I609" s="237">
        <v>257477</v>
      </c>
      <c r="J609" s="236">
        <v>30948</v>
      </c>
      <c r="K609" s="93">
        <f t="shared" si="25"/>
        <v>571309</v>
      </c>
      <c r="L609" s="52"/>
      <c r="M609" s="237">
        <v>5023</v>
      </c>
      <c r="N609" s="237">
        <v>0</v>
      </c>
      <c r="O609" s="236">
        <v>3438</v>
      </c>
      <c r="P609" s="93">
        <f t="shared" si="26"/>
        <v>8461</v>
      </c>
      <c r="Q609" s="52"/>
      <c r="R609" s="237">
        <v>269520</v>
      </c>
      <c r="S609" s="236">
        <v>11348</v>
      </c>
      <c r="T609" s="238">
        <v>280868</v>
      </c>
    </row>
    <row r="610" spans="1:20">
      <c r="A610" s="50">
        <v>96507</v>
      </c>
      <c r="B610" s="51" t="s">
        <v>1309</v>
      </c>
      <c r="C610" s="239">
        <v>2.2176000000000001E-3</v>
      </c>
      <c r="D610" s="239">
        <v>2.2147E-3</v>
      </c>
      <c r="E610" s="219">
        <v>5260906</v>
      </c>
      <c r="F610" s="219" t="s">
        <v>1930</v>
      </c>
      <c r="G610" s="237">
        <v>811633</v>
      </c>
      <c r="H610" s="225">
        <v>722166</v>
      </c>
      <c r="I610" s="237">
        <v>1396041</v>
      </c>
      <c r="J610" s="236">
        <v>85460</v>
      </c>
      <c r="K610" s="93">
        <f t="shared" si="25"/>
        <v>3015300</v>
      </c>
      <c r="L610" s="52"/>
      <c r="M610" s="237">
        <v>27234</v>
      </c>
      <c r="N610" s="237">
        <v>0</v>
      </c>
      <c r="O610" s="236">
        <v>17095</v>
      </c>
      <c r="P610" s="93">
        <f t="shared" si="26"/>
        <v>44329</v>
      </c>
      <c r="Q610" s="52"/>
      <c r="R610" s="237">
        <v>1461339</v>
      </c>
      <c r="S610" s="236">
        <v>67118</v>
      </c>
      <c r="T610" s="238">
        <v>1528457</v>
      </c>
    </row>
    <row r="611" spans="1:20">
      <c r="A611" s="50">
        <v>96508</v>
      </c>
      <c r="B611" s="51" t="s">
        <v>2766</v>
      </c>
      <c r="C611" s="239">
        <v>7.4000000000000003E-6</v>
      </c>
      <c r="D611" s="239">
        <v>8.6000000000000007E-6</v>
      </c>
      <c r="E611" s="220">
        <v>17555</v>
      </c>
      <c r="F611" s="220" t="s">
        <v>1930</v>
      </c>
      <c r="G611" s="237">
        <v>2708</v>
      </c>
      <c r="H611" s="225">
        <v>2410</v>
      </c>
      <c r="I611" s="237">
        <v>4659</v>
      </c>
      <c r="J611" s="236">
        <v>12344</v>
      </c>
      <c r="K611" s="93">
        <f t="shared" si="25"/>
        <v>22121</v>
      </c>
      <c r="L611" s="52"/>
      <c r="M611" s="237">
        <v>91</v>
      </c>
      <c r="N611" s="237">
        <v>0</v>
      </c>
      <c r="O611" s="236">
        <v>0</v>
      </c>
      <c r="P611" s="93">
        <f t="shared" si="26"/>
        <v>91</v>
      </c>
      <c r="Q611" s="52"/>
      <c r="R611" s="237">
        <v>4876</v>
      </c>
      <c r="S611" s="236">
        <v>5799</v>
      </c>
      <c r="T611" s="238">
        <v>10675</v>
      </c>
    </row>
    <row r="612" spans="1:20">
      <c r="A612" s="50">
        <v>96511</v>
      </c>
      <c r="B612" s="51" t="s">
        <v>2362</v>
      </c>
      <c r="C612" s="239">
        <v>6.1580000000000001E-4</v>
      </c>
      <c r="D612" s="239">
        <v>6.2069999999999996E-4</v>
      </c>
      <c r="E612" s="220">
        <v>1460888</v>
      </c>
      <c r="F612" s="220" t="s">
        <v>1930</v>
      </c>
      <c r="G612" s="237">
        <v>225380</v>
      </c>
      <c r="H612" s="225">
        <v>200536</v>
      </c>
      <c r="I612" s="237">
        <v>387663</v>
      </c>
      <c r="J612" s="236">
        <v>0</v>
      </c>
      <c r="K612" s="93">
        <f t="shared" si="25"/>
        <v>813579</v>
      </c>
      <c r="L612" s="52"/>
      <c r="M612" s="237">
        <v>7563</v>
      </c>
      <c r="N612" s="237">
        <v>0</v>
      </c>
      <c r="O612" s="236">
        <v>55836</v>
      </c>
      <c r="P612" s="93">
        <f t="shared" si="26"/>
        <v>63399</v>
      </c>
      <c r="Q612" s="52"/>
      <c r="R612" s="237">
        <v>405796</v>
      </c>
      <c r="S612" s="236">
        <v>-51447</v>
      </c>
      <c r="T612" s="238">
        <v>354349</v>
      </c>
    </row>
    <row r="613" spans="1:20">
      <c r="A613" s="50">
        <v>96512</v>
      </c>
      <c r="B613" s="51" t="s">
        <v>1312</v>
      </c>
      <c r="C613" s="239">
        <v>1.5899999999999999E-4</v>
      </c>
      <c r="D613" s="239">
        <v>1.5119999999999999E-4</v>
      </c>
      <c r="E613" s="220">
        <v>377202</v>
      </c>
      <c r="F613" s="220" t="s">
        <v>1930</v>
      </c>
      <c r="G613" s="237">
        <v>58193</v>
      </c>
      <c r="H613" s="225">
        <v>51778</v>
      </c>
      <c r="I613" s="237">
        <v>100095</v>
      </c>
      <c r="J613" s="236">
        <v>10002</v>
      </c>
      <c r="K613" s="93">
        <f t="shared" si="25"/>
        <v>220068</v>
      </c>
      <c r="L613" s="52"/>
      <c r="M613" s="237">
        <v>1953</v>
      </c>
      <c r="N613" s="237">
        <v>0</v>
      </c>
      <c r="O613" s="236">
        <v>7472</v>
      </c>
      <c r="P613" s="93">
        <f t="shared" si="26"/>
        <v>9425</v>
      </c>
      <c r="Q613" s="52"/>
      <c r="R613" s="237">
        <v>104777</v>
      </c>
      <c r="S613" s="236">
        <v>1973</v>
      </c>
      <c r="T613" s="238">
        <v>106750</v>
      </c>
    </row>
    <row r="615" spans="1:20">
      <c r="A615" s="50">
        <v>96521</v>
      </c>
      <c r="B615" s="51" t="s">
        <v>2363</v>
      </c>
      <c r="C615" s="239">
        <v>9.6719999999999998E-4</v>
      </c>
      <c r="D615" s="239">
        <v>9.881E-4</v>
      </c>
      <c r="E615" s="220">
        <v>2294529</v>
      </c>
      <c r="F615" s="220" t="s">
        <v>1930</v>
      </c>
      <c r="G615" s="237">
        <v>353991</v>
      </c>
      <c r="H615" s="225">
        <v>314971</v>
      </c>
      <c r="I615" s="237">
        <v>608879</v>
      </c>
      <c r="J615" s="236">
        <v>13526</v>
      </c>
      <c r="K615" s="93">
        <f t="shared" si="25"/>
        <v>1291367</v>
      </c>
      <c r="L615" s="52"/>
      <c r="M615" s="237">
        <v>11878</v>
      </c>
      <c r="N615" s="237">
        <v>0</v>
      </c>
      <c r="O615" s="236">
        <v>66754</v>
      </c>
      <c r="P615" s="93">
        <f t="shared" si="26"/>
        <v>78632</v>
      </c>
      <c r="Q615" s="52"/>
      <c r="R615" s="237">
        <v>637359</v>
      </c>
      <c r="S615" s="236">
        <v>-6086</v>
      </c>
      <c r="T615" s="238">
        <v>631273</v>
      </c>
    </row>
    <row r="616" spans="1:20">
      <c r="A616" s="50">
        <v>96531</v>
      </c>
      <c r="B616" s="51" t="s">
        <v>1314</v>
      </c>
      <c r="C616" s="239">
        <v>8.7183999999999994E-3</v>
      </c>
      <c r="D616" s="239">
        <v>8.5845000000000001E-3</v>
      </c>
      <c r="E616" s="220">
        <v>20683026</v>
      </c>
      <c r="F616" s="220" t="s">
        <v>1930</v>
      </c>
      <c r="G616" s="237">
        <v>3190900</v>
      </c>
      <c r="H616" s="225">
        <v>2839165</v>
      </c>
      <c r="I616" s="237">
        <v>5488477</v>
      </c>
      <c r="J616" s="236">
        <v>21971</v>
      </c>
      <c r="K616" s="93">
        <f t="shared" si="25"/>
        <v>11540513</v>
      </c>
      <c r="L616" s="52"/>
      <c r="M616" s="237">
        <v>107071</v>
      </c>
      <c r="N616" s="237">
        <v>0</v>
      </c>
      <c r="O616" s="236">
        <v>363715</v>
      </c>
      <c r="P616" s="93">
        <f t="shared" si="26"/>
        <v>470786</v>
      </c>
      <c r="Q616" s="52"/>
      <c r="R616" s="237">
        <v>5745190</v>
      </c>
      <c r="S616" s="236">
        <v>-139676</v>
      </c>
      <c r="T616" s="238">
        <v>5605514</v>
      </c>
    </row>
    <row r="617" spans="1:20">
      <c r="A617" s="50">
        <v>96541</v>
      </c>
      <c r="B617" s="51" t="s">
        <v>2364</v>
      </c>
      <c r="C617" s="239">
        <v>3.5780000000000002E-4</v>
      </c>
      <c r="D617" s="239">
        <v>3.5950000000000001E-4</v>
      </c>
      <c r="E617" s="220">
        <v>848824</v>
      </c>
      <c r="F617" s="220" t="s">
        <v>1930</v>
      </c>
      <c r="G617" s="237">
        <v>130953</v>
      </c>
      <c r="H617" s="225">
        <v>116518</v>
      </c>
      <c r="I617" s="237">
        <v>225245</v>
      </c>
      <c r="J617" s="236">
        <v>11846</v>
      </c>
      <c r="K617" s="93">
        <f t="shared" si="25"/>
        <v>484562</v>
      </c>
      <c r="L617" s="52"/>
      <c r="M617" s="237">
        <v>4394</v>
      </c>
      <c r="N617" s="237">
        <v>0</v>
      </c>
      <c r="O617" s="236">
        <v>5150</v>
      </c>
      <c r="P617" s="93">
        <f t="shared" si="26"/>
        <v>9544</v>
      </c>
      <c r="Q617" s="52"/>
      <c r="R617" s="237">
        <v>235781</v>
      </c>
      <c r="S617" s="236">
        <v>11668</v>
      </c>
      <c r="T617" s="238">
        <v>247449</v>
      </c>
    </row>
    <row r="618" spans="1:20">
      <c r="A618" s="50">
        <v>96601</v>
      </c>
      <c r="B618" s="51" t="s">
        <v>1316</v>
      </c>
      <c r="C618" s="239">
        <v>1.7382999999999999E-3</v>
      </c>
      <c r="D618" s="239">
        <v>1.8169E-3</v>
      </c>
      <c r="E618" s="220">
        <v>4123842</v>
      </c>
      <c r="F618" s="220" t="s">
        <v>1930</v>
      </c>
      <c r="G618" s="237">
        <v>636211</v>
      </c>
      <c r="H618" s="225">
        <v>566081</v>
      </c>
      <c r="I618" s="237">
        <v>1094309</v>
      </c>
      <c r="J618" s="236">
        <v>18007</v>
      </c>
      <c r="K618" s="93">
        <f t="shared" si="25"/>
        <v>2314608</v>
      </c>
      <c r="L618" s="52"/>
      <c r="M618" s="237">
        <v>21348</v>
      </c>
      <c r="N618" s="237">
        <v>0</v>
      </c>
      <c r="O618" s="236">
        <v>78122</v>
      </c>
      <c r="P618" s="93">
        <f t="shared" si="26"/>
        <v>99470</v>
      </c>
      <c r="Q618" s="52"/>
      <c r="R618" s="237">
        <v>1145493</v>
      </c>
      <c r="S618" s="236">
        <v>10810</v>
      </c>
      <c r="T618" s="238">
        <v>1156303</v>
      </c>
    </row>
    <row r="619" spans="1:20">
      <c r="A619" s="50">
        <v>96604</v>
      </c>
      <c r="B619" s="51" t="s">
        <v>1317</v>
      </c>
      <c r="C619" s="239">
        <v>5.5999999999999997E-6</v>
      </c>
      <c r="D619" s="239">
        <v>7.6000000000000001E-6</v>
      </c>
      <c r="E619" s="220">
        <v>13285</v>
      </c>
      <c r="F619" s="220" t="s">
        <v>1930</v>
      </c>
      <c r="G619" s="237">
        <v>2050</v>
      </c>
      <c r="H619" s="225">
        <v>1823</v>
      </c>
      <c r="I619" s="237">
        <v>3525</v>
      </c>
      <c r="J619" s="236">
        <v>1487</v>
      </c>
      <c r="K619" s="93">
        <f t="shared" si="25"/>
        <v>8885</v>
      </c>
      <c r="L619" s="52"/>
      <c r="M619" s="237">
        <v>69</v>
      </c>
      <c r="N619" s="237">
        <v>0</v>
      </c>
      <c r="O619" s="236">
        <v>31</v>
      </c>
      <c r="P619" s="93">
        <f t="shared" si="26"/>
        <v>100</v>
      </c>
      <c r="Q619" s="52"/>
      <c r="R619" s="237">
        <v>3690</v>
      </c>
      <c r="S619" s="236">
        <v>870</v>
      </c>
      <c r="T619" s="238">
        <v>4560</v>
      </c>
    </row>
    <row r="620" spans="1:20">
      <c r="A620" s="50">
        <v>96611</v>
      </c>
      <c r="B620" s="51" t="s">
        <v>2365</v>
      </c>
      <c r="C620" s="239">
        <v>2.41E-5</v>
      </c>
      <c r="D620" s="239">
        <v>2.83E-5</v>
      </c>
      <c r="E620" s="220">
        <v>57173</v>
      </c>
      <c r="F620" s="220" t="s">
        <v>1930</v>
      </c>
      <c r="G620" s="237">
        <v>8821</v>
      </c>
      <c r="H620" s="225">
        <v>7848</v>
      </c>
      <c r="I620" s="237">
        <v>15172</v>
      </c>
      <c r="J620" s="236">
        <v>263</v>
      </c>
      <c r="K620" s="93">
        <f t="shared" si="25"/>
        <v>32104</v>
      </c>
      <c r="L620" s="52"/>
      <c r="M620" s="237">
        <v>296</v>
      </c>
      <c r="N620" s="237">
        <v>0</v>
      </c>
      <c r="O620" s="236">
        <v>5198</v>
      </c>
      <c r="P620" s="93">
        <f t="shared" si="26"/>
        <v>5494</v>
      </c>
      <c r="Q620" s="52"/>
      <c r="R620" s="237">
        <v>15881</v>
      </c>
      <c r="S620" s="236">
        <v>-426</v>
      </c>
      <c r="T620" s="238">
        <v>15455</v>
      </c>
    </row>
    <row r="621" spans="1:20">
      <c r="A621" s="50">
        <v>96612</v>
      </c>
      <c r="B621" s="51" t="s">
        <v>2767</v>
      </c>
      <c r="C621" s="239">
        <v>5.4500000000000003E-5</v>
      </c>
      <c r="D621" s="239">
        <v>6.3299999999999994E-5</v>
      </c>
      <c r="E621" s="220">
        <v>129293</v>
      </c>
      <c r="F621" s="220" t="s">
        <v>1930</v>
      </c>
      <c r="G621" s="237">
        <v>19947</v>
      </c>
      <c r="H621" s="225">
        <v>17748</v>
      </c>
      <c r="I621" s="237">
        <v>34309</v>
      </c>
      <c r="J621" s="236">
        <v>4765</v>
      </c>
      <c r="K621" s="93">
        <f t="shared" si="25"/>
        <v>76769</v>
      </c>
      <c r="L621" s="52"/>
      <c r="M621" s="237">
        <v>669</v>
      </c>
      <c r="N621" s="237">
        <v>0</v>
      </c>
      <c r="O621" s="236">
        <v>2264</v>
      </c>
      <c r="P621" s="93">
        <f t="shared" si="26"/>
        <v>2933</v>
      </c>
      <c r="Q621" s="52"/>
      <c r="R621" s="237">
        <v>35914</v>
      </c>
      <c r="S621" s="236">
        <v>1711</v>
      </c>
      <c r="T621" s="238">
        <v>37625</v>
      </c>
    </row>
    <row r="622" spans="1:20">
      <c r="A622" s="50">
        <v>96621</v>
      </c>
      <c r="B622" s="51" t="s">
        <v>2366</v>
      </c>
      <c r="C622" s="239">
        <v>1.9199999999999999E-5</v>
      </c>
      <c r="D622" s="239">
        <v>2.5999999999999998E-5</v>
      </c>
      <c r="E622" s="220">
        <v>45549</v>
      </c>
      <c r="F622" s="220" t="s">
        <v>1930</v>
      </c>
      <c r="G622" s="237">
        <v>7027</v>
      </c>
      <c r="H622" s="225">
        <v>6253</v>
      </c>
      <c r="I622" s="237">
        <v>12087</v>
      </c>
      <c r="J622" s="236">
        <v>856</v>
      </c>
      <c r="K622" s="93">
        <f t="shared" si="25"/>
        <v>26223</v>
      </c>
      <c r="L622" s="52"/>
      <c r="M622" s="237">
        <v>236</v>
      </c>
      <c r="N622" s="237">
        <v>0</v>
      </c>
      <c r="O622" s="236">
        <v>4283</v>
      </c>
      <c r="P622" s="93">
        <f t="shared" si="26"/>
        <v>4519</v>
      </c>
      <c r="Q622" s="52"/>
      <c r="R622" s="237">
        <v>12652</v>
      </c>
      <c r="S622" s="236">
        <v>-2837</v>
      </c>
      <c r="T622" s="238">
        <v>9815</v>
      </c>
    </row>
    <row r="623" spans="1:20">
      <c r="A623" s="50">
        <v>96631</v>
      </c>
      <c r="B623" s="51" t="s">
        <v>2367</v>
      </c>
      <c r="C623" s="239">
        <v>2.3600000000000001E-5</v>
      </c>
      <c r="D623" s="239">
        <v>2.51E-5</v>
      </c>
      <c r="E623" s="220">
        <v>55987</v>
      </c>
      <c r="F623" s="220" t="s">
        <v>1930</v>
      </c>
      <c r="G623" s="237">
        <v>8638</v>
      </c>
      <c r="H623" s="225">
        <v>7685</v>
      </c>
      <c r="I623" s="237">
        <v>14857</v>
      </c>
      <c r="J623" s="236">
        <v>1094</v>
      </c>
      <c r="K623" s="93">
        <f t="shared" si="25"/>
        <v>32274</v>
      </c>
      <c r="L623" s="52"/>
      <c r="M623" s="237">
        <v>290</v>
      </c>
      <c r="N623" s="237">
        <v>0</v>
      </c>
      <c r="O623" s="236">
        <v>531</v>
      </c>
      <c r="P623" s="93">
        <f t="shared" si="26"/>
        <v>821</v>
      </c>
      <c r="Q623" s="52"/>
      <c r="R623" s="237">
        <v>15552</v>
      </c>
      <c r="S623" s="236">
        <v>2111</v>
      </c>
      <c r="T623" s="238">
        <v>17663</v>
      </c>
    </row>
    <row r="624" spans="1:20">
      <c r="A624" s="50">
        <v>96641</v>
      </c>
      <c r="B624" s="51" t="s">
        <v>2368</v>
      </c>
      <c r="C624" s="239">
        <v>3.2100000000000001E-5</v>
      </c>
      <c r="D624" s="239">
        <v>3.2199999999999997E-5</v>
      </c>
      <c r="E624" s="220">
        <v>76152</v>
      </c>
      <c r="F624" s="220" t="s">
        <v>1930</v>
      </c>
      <c r="G624" s="237">
        <v>11748</v>
      </c>
      <c r="H624" s="225">
        <v>10453</v>
      </c>
      <c r="I624" s="237">
        <v>20208</v>
      </c>
      <c r="J624" s="236">
        <v>14432</v>
      </c>
      <c r="K624" s="93">
        <f t="shared" si="25"/>
        <v>56841</v>
      </c>
      <c r="L624" s="52"/>
      <c r="M624" s="237">
        <v>394</v>
      </c>
      <c r="N624" s="237">
        <v>0</v>
      </c>
      <c r="O624" s="236">
        <v>0</v>
      </c>
      <c r="P624" s="93">
        <f t="shared" si="26"/>
        <v>394</v>
      </c>
      <c r="Q624" s="52"/>
      <c r="R624" s="237">
        <v>21153</v>
      </c>
      <c r="S624" s="236">
        <v>7161</v>
      </c>
      <c r="T624" s="238">
        <v>28314</v>
      </c>
    </row>
    <row r="625" spans="1:20">
      <c r="A625" s="50">
        <v>96651</v>
      </c>
      <c r="B625" s="51" t="s">
        <v>2369</v>
      </c>
      <c r="C625" s="239">
        <v>1.9400000000000001E-5</v>
      </c>
      <c r="D625" s="239">
        <v>1.7399999999999999E-5</v>
      </c>
      <c r="E625" s="220">
        <v>46023</v>
      </c>
      <c r="F625" s="220" t="s">
        <v>1930</v>
      </c>
      <c r="G625" s="237">
        <v>7100</v>
      </c>
      <c r="H625" s="225">
        <v>6317</v>
      </c>
      <c r="I625" s="237">
        <v>12213</v>
      </c>
      <c r="J625" s="236">
        <v>2918</v>
      </c>
      <c r="K625" s="93">
        <f t="shared" si="25"/>
        <v>28548</v>
      </c>
      <c r="L625" s="52"/>
      <c r="M625" s="237">
        <v>238</v>
      </c>
      <c r="N625" s="237">
        <v>0</v>
      </c>
      <c r="O625" s="236">
        <v>392</v>
      </c>
      <c r="P625" s="93">
        <f t="shared" si="26"/>
        <v>630</v>
      </c>
      <c r="Q625" s="52"/>
      <c r="R625" s="237">
        <v>12784</v>
      </c>
      <c r="S625" s="236">
        <v>12</v>
      </c>
      <c r="T625" s="238">
        <v>12796</v>
      </c>
    </row>
    <row r="626" spans="1:20">
      <c r="A626" s="50">
        <v>96661</v>
      </c>
      <c r="B626" s="51" t="s">
        <v>2370</v>
      </c>
      <c r="C626" s="239">
        <v>1.9000000000000001E-5</v>
      </c>
      <c r="D626" s="239">
        <v>1.9700000000000001E-5</v>
      </c>
      <c r="E626" s="220">
        <v>45074</v>
      </c>
      <c r="F626" s="220" t="s">
        <v>1930</v>
      </c>
      <c r="G626" s="237">
        <v>6954</v>
      </c>
      <c r="H626" s="225">
        <v>6187</v>
      </c>
      <c r="I626" s="237">
        <v>11961</v>
      </c>
      <c r="J626" s="236">
        <v>3696</v>
      </c>
      <c r="K626" s="93">
        <f t="shared" si="25"/>
        <v>28798</v>
      </c>
      <c r="L626" s="52"/>
      <c r="M626" s="237">
        <v>233</v>
      </c>
      <c r="N626" s="237">
        <v>0</v>
      </c>
      <c r="O626" s="236">
        <v>0</v>
      </c>
      <c r="P626" s="93">
        <f t="shared" si="26"/>
        <v>233</v>
      </c>
      <c r="Q626" s="52"/>
      <c r="R626" s="237">
        <v>12520</v>
      </c>
      <c r="S626" s="236">
        <v>2708</v>
      </c>
      <c r="T626" s="238">
        <v>15228</v>
      </c>
    </row>
    <row r="627" spans="1:20">
      <c r="A627" s="50">
        <v>96671</v>
      </c>
      <c r="B627" s="51" t="s">
        <v>2371</v>
      </c>
      <c r="C627" s="239">
        <v>1.3900000000000001E-5</v>
      </c>
      <c r="D627" s="239">
        <v>1.49E-5</v>
      </c>
      <c r="E627" s="220">
        <v>32976</v>
      </c>
      <c r="F627" s="220" t="s">
        <v>1930</v>
      </c>
      <c r="G627" s="237">
        <v>5087</v>
      </c>
      <c r="H627" s="225">
        <v>4527</v>
      </c>
      <c r="I627" s="237">
        <v>8750</v>
      </c>
      <c r="J627" s="236">
        <v>5736</v>
      </c>
      <c r="K627" s="93">
        <f t="shared" si="25"/>
        <v>24100</v>
      </c>
      <c r="L627" s="52"/>
      <c r="M627" s="237">
        <v>171</v>
      </c>
      <c r="N627" s="237">
        <v>0</v>
      </c>
      <c r="O627" s="236">
        <v>0</v>
      </c>
      <c r="P627" s="93">
        <f t="shared" si="26"/>
        <v>171</v>
      </c>
      <c r="Q627" s="52"/>
      <c r="R627" s="237">
        <v>9160</v>
      </c>
      <c r="S627" s="236">
        <v>3860</v>
      </c>
      <c r="T627" s="238">
        <v>13020</v>
      </c>
    </row>
    <row r="628" spans="1:20">
      <c r="A628" s="50">
        <v>96681</v>
      </c>
      <c r="B628" s="51" t="s">
        <v>2372</v>
      </c>
      <c r="C628" s="239">
        <v>2.0599999999999999E-5</v>
      </c>
      <c r="D628" s="239">
        <v>1.7499999999999998E-5</v>
      </c>
      <c r="E628" s="220">
        <v>48870</v>
      </c>
      <c r="F628" s="220" t="s">
        <v>1930</v>
      </c>
      <c r="G628" s="237">
        <v>7540</v>
      </c>
      <c r="H628" s="225">
        <v>6709</v>
      </c>
      <c r="I628" s="237">
        <v>12968</v>
      </c>
      <c r="J628" s="236">
        <v>13276</v>
      </c>
      <c r="K628" s="93">
        <f t="shared" si="25"/>
        <v>40493</v>
      </c>
      <c r="L628" s="52"/>
      <c r="M628" s="237">
        <v>253</v>
      </c>
      <c r="N628" s="237">
        <v>0</v>
      </c>
      <c r="O628" s="236">
        <v>6212</v>
      </c>
      <c r="P628" s="93">
        <f t="shared" si="26"/>
        <v>6465</v>
      </c>
      <c r="Q628" s="52"/>
      <c r="R628" s="237">
        <v>13575</v>
      </c>
      <c r="S628" s="236">
        <v>4774</v>
      </c>
      <c r="T628" s="238">
        <v>18349</v>
      </c>
    </row>
    <row r="629" spans="1:20">
      <c r="A629" s="50">
        <v>96701</v>
      </c>
      <c r="B629" s="51" t="s">
        <v>1327</v>
      </c>
      <c r="C629" s="239">
        <v>8.5999000000000006E-3</v>
      </c>
      <c r="D629" s="239">
        <v>8.4206000000000003E-3</v>
      </c>
      <c r="E629" s="220">
        <v>20401904</v>
      </c>
      <c r="F629" s="220" t="s">
        <v>1930</v>
      </c>
      <c r="G629" s="237">
        <v>3147529</v>
      </c>
      <c r="H629" s="225">
        <v>2800575</v>
      </c>
      <c r="I629" s="237">
        <v>5413878</v>
      </c>
      <c r="J629" s="236">
        <v>278573</v>
      </c>
      <c r="K629" s="93">
        <f t="shared" si="25"/>
        <v>11640555</v>
      </c>
      <c r="L629" s="52"/>
      <c r="M629" s="237">
        <v>105615</v>
      </c>
      <c r="N629" s="237">
        <v>0</v>
      </c>
      <c r="O629" s="236">
        <v>118719</v>
      </c>
      <c r="P629" s="93">
        <f t="shared" si="26"/>
        <v>224334</v>
      </c>
      <c r="Q629" s="52"/>
      <c r="R629" s="237">
        <v>5667102</v>
      </c>
      <c r="S629" s="236">
        <v>115986</v>
      </c>
      <c r="T629" s="238">
        <v>5783088</v>
      </c>
    </row>
    <row r="630" spans="1:20">
      <c r="A630" s="50">
        <v>96704</v>
      </c>
      <c r="B630" s="51" t="s">
        <v>1328</v>
      </c>
      <c r="C630" s="239">
        <v>1.7550000000000001E-4</v>
      </c>
      <c r="D630" s="239">
        <v>1.7259999999999999E-4</v>
      </c>
      <c r="E630" s="220">
        <v>416346</v>
      </c>
      <c r="F630" s="220" t="s">
        <v>1930</v>
      </c>
      <c r="G630" s="237">
        <v>64232</v>
      </c>
      <c r="H630" s="225">
        <v>57152</v>
      </c>
      <c r="I630" s="237">
        <v>110482</v>
      </c>
      <c r="J630" s="236">
        <v>38151</v>
      </c>
      <c r="K630" s="93">
        <f t="shared" si="25"/>
        <v>270017</v>
      </c>
      <c r="L630" s="52"/>
      <c r="M630" s="237">
        <v>2155</v>
      </c>
      <c r="N630" s="237">
        <v>0</v>
      </c>
      <c r="O630" s="236">
        <v>0</v>
      </c>
      <c r="P630" s="93">
        <f t="shared" si="26"/>
        <v>2155</v>
      </c>
      <c r="Q630" s="52"/>
      <c r="R630" s="237">
        <v>115650</v>
      </c>
      <c r="S630" s="236">
        <v>14330</v>
      </c>
      <c r="T630" s="238">
        <v>129980</v>
      </c>
    </row>
    <row r="631" spans="1:20">
      <c r="A631" s="50">
        <v>96708</v>
      </c>
      <c r="B631" s="51" t="s">
        <v>1329</v>
      </c>
      <c r="C631" s="239">
        <v>8.8579999999999996E-4</v>
      </c>
      <c r="D631" s="239">
        <v>9.031E-4</v>
      </c>
      <c r="E631" s="220">
        <v>2101421</v>
      </c>
      <c r="F631" s="220" t="s">
        <v>1930</v>
      </c>
      <c r="G631" s="237">
        <v>324199</v>
      </c>
      <c r="H631" s="225">
        <v>288462</v>
      </c>
      <c r="I631" s="237">
        <v>557636</v>
      </c>
      <c r="J631" s="236">
        <v>83209</v>
      </c>
      <c r="K631" s="93">
        <f t="shared" si="25"/>
        <v>1253506</v>
      </c>
      <c r="L631" s="52"/>
      <c r="M631" s="237">
        <v>10879</v>
      </c>
      <c r="N631" s="237">
        <v>0</v>
      </c>
      <c r="O631" s="236">
        <v>12940</v>
      </c>
      <c r="P631" s="93">
        <f t="shared" si="26"/>
        <v>23819</v>
      </c>
      <c r="Q631" s="52"/>
      <c r="R631" s="237">
        <v>583718</v>
      </c>
      <c r="S631" s="236">
        <v>35387</v>
      </c>
      <c r="T631" s="238">
        <v>619105</v>
      </c>
    </row>
    <row r="632" spans="1:20">
      <c r="A632" s="50">
        <v>96711</v>
      </c>
      <c r="B632" s="51" t="s">
        <v>1330</v>
      </c>
      <c r="C632" s="239">
        <v>3.9007999999999998E-3</v>
      </c>
      <c r="D632" s="239">
        <v>4.0464000000000003E-3</v>
      </c>
      <c r="E632" s="220">
        <v>9254032</v>
      </c>
      <c r="F632" s="220" t="s">
        <v>1930</v>
      </c>
      <c r="G632" s="237">
        <v>1427677</v>
      </c>
      <c r="H632" s="225">
        <v>1270303</v>
      </c>
      <c r="I632" s="237">
        <v>2455663</v>
      </c>
      <c r="J632" s="236">
        <v>0</v>
      </c>
      <c r="K632" s="93">
        <f t="shared" si="25"/>
        <v>5153643</v>
      </c>
      <c r="L632" s="52"/>
      <c r="M632" s="237">
        <v>47906</v>
      </c>
      <c r="N632" s="237">
        <v>0</v>
      </c>
      <c r="O632" s="236">
        <v>409014</v>
      </c>
      <c r="P632" s="93">
        <f t="shared" si="26"/>
        <v>456920</v>
      </c>
      <c r="Q632" s="52"/>
      <c r="R632" s="237">
        <v>2570522</v>
      </c>
      <c r="S632" s="236">
        <v>-194188</v>
      </c>
      <c r="T632" s="238">
        <v>2376334</v>
      </c>
    </row>
    <row r="633" spans="1:20">
      <c r="A633" s="50">
        <v>96721</v>
      </c>
      <c r="B633" s="51" t="s">
        <v>2373</v>
      </c>
      <c r="C633" s="239">
        <v>2.1790000000000001E-4</v>
      </c>
      <c r="D633" s="239">
        <v>2.1379999999999999E-4</v>
      </c>
      <c r="E633" s="220">
        <v>516933</v>
      </c>
      <c r="F633" s="220" t="s">
        <v>1930</v>
      </c>
      <c r="G633" s="237">
        <v>79751</v>
      </c>
      <c r="H633" s="225">
        <v>70959</v>
      </c>
      <c r="I633" s="237">
        <v>137174</v>
      </c>
      <c r="J633" s="236">
        <v>8328</v>
      </c>
      <c r="K633" s="93">
        <f t="shared" si="25"/>
        <v>296212</v>
      </c>
      <c r="L633" s="52"/>
      <c r="M633" s="237">
        <v>2676</v>
      </c>
      <c r="N633" s="237">
        <v>0</v>
      </c>
      <c r="O633" s="236">
        <v>16609</v>
      </c>
      <c r="P633" s="93">
        <f t="shared" si="26"/>
        <v>19285</v>
      </c>
      <c r="Q633" s="52"/>
      <c r="R633" s="237">
        <v>143590</v>
      </c>
      <c r="S633" s="236">
        <v>-991</v>
      </c>
      <c r="T633" s="238">
        <v>142599</v>
      </c>
    </row>
    <row r="634" spans="1:20">
      <c r="A634" s="50">
        <v>96731</v>
      </c>
      <c r="B634" s="51" t="s">
        <v>2374</v>
      </c>
      <c r="C634" s="239">
        <v>1.7019999999999999E-4</v>
      </c>
      <c r="D634" s="239">
        <v>1.697E-4</v>
      </c>
      <c r="E634" s="220">
        <v>403773</v>
      </c>
      <c r="F634" s="220" t="s">
        <v>1930</v>
      </c>
      <c r="G634" s="237">
        <v>62293</v>
      </c>
      <c r="H634" s="225">
        <v>55426</v>
      </c>
      <c r="I634" s="237">
        <v>107146</v>
      </c>
      <c r="J634" s="236">
        <v>13647</v>
      </c>
      <c r="K634" s="93">
        <f t="shared" si="25"/>
        <v>238512</v>
      </c>
      <c r="L634" s="52"/>
      <c r="M634" s="237">
        <v>2090</v>
      </c>
      <c r="N634" s="237">
        <v>0</v>
      </c>
      <c r="O634" s="236">
        <v>1770</v>
      </c>
      <c r="P634" s="93">
        <f t="shared" si="26"/>
        <v>3860</v>
      </c>
      <c r="Q634" s="52"/>
      <c r="R634" s="237">
        <v>112157</v>
      </c>
      <c r="S634" s="236">
        <v>6857</v>
      </c>
      <c r="T634" s="238">
        <v>119014</v>
      </c>
    </row>
    <row r="635" spans="1:20">
      <c r="A635" s="50">
        <v>96733</v>
      </c>
      <c r="B635" s="51" t="s">
        <v>1333</v>
      </c>
      <c r="C635" s="239">
        <v>1.1800000000000001E-5</v>
      </c>
      <c r="D635" s="239">
        <v>7.3000000000000004E-6</v>
      </c>
      <c r="E635" s="220">
        <v>27994</v>
      </c>
      <c r="F635" s="220" t="s">
        <v>1930</v>
      </c>
      <c r="G635" s="237">
        <v>4319</v>
      </c>
      <c r="H635" s="225">
        <v>3843</v>
      </c>
      <c r="I635" s="237">
        <v>7428</v>
      </c>
      <c r="J635" s="236">
        <v>4117</v>
      </c>
      <c r="K635" s="93">
        <f t="shared" si="25"/>
        <v>19707</v>
      </c>
      <c r="L635" s="52"/>
      <c r="M635" s="237">
        <v>145</v>
      </c>
      <c r="N635" s="237">
        <v>0</v>
      </c>
      <c r="O635" s="236">
        <v>705</v>
      </c>
      <c r="P635" s="93">
        <f t="shared" si="26"/>
        <v>850</v>
      </c>
      <c r="Q635" s="52"/>
      <c r="R635" s="237">
        <v>7776</v>
      </c>
      <c r="S635" s="236">
        <v>2113</v>
      </c>
      <c r="T635" s="238">
        <v>9889</v>
      </c>
    </row>
    <row r="636" spans="1:20">
      <c r="A636" s="50">
        <v>96741</v>
      </c>
      <c r="B636" s="51" t="s">
        <v>2375</v>
      </c>
      <c r="C636" s="239">
        <v>9.8900000000000005E-5</v>
      </c>
      <c r="D636" s="239">
        <v>9.0799999999999998E-5</v>
      </c>
      <c r="E636" s="220">
        <v>234625</v>
      </c>
      <c r="F636" s="220" t="s">
        <v>1930</v>
      </c>
      <c r="G636" s="237">
        <v>36197</v>
      </c>
      <c r="H636" s="225">
        <v>32207</v>
      </c>
      <c r="I636" s="237">
        <v>62260</v>
      </c>
      <c r="J636" s="236">
        <v>4092</v>
      </c>
      <c r="K636" s="93">
        <f t="shared" si="25"/>
        <v>134756</v>
      </c>
      <c r="L636" s="52"/>
      <c r="M636" s="237">
        <v>1215</v>
      </c>
      <c r="N636" s="237">
        <v>0</v>
      </c>
      <c r="O636" s="236">
        <v>1693</v>
      </c>
      <c r="P636" s="93">
        <f t="shared" si="26"/>
        <v>2908</v>
      </c>
      <c r="Q636" s="52"/>
      <c r="R636" s="237">
        <v>65172</v>
      </c>
      <c r="S636" s="236">
        <v>2903</v>
      </c>
      <c r="T636" s="238">
        <v>68075</v>
      </c>
    </row>
    <row r="637" spans="1:20">
      <c r="A637" s="50">
        <v>96751</v>
      </c>
      <c r="B637" s="51" t="s">
        <v>2376</v>
      </c>
      <c r="C637" s="239">
        <v>2.7920000000000001E-4</v>
      </c>
      <c r="D637" s="239">
        <v>2.5809999999999999E-4</v>
      </c>
      <c r="E637" s="220">
        <v>662358</v>
      </c>
      <c r="F637" s="220" t="s">
        <v>1930</v>
      </c>
      <c r="G637" s="237">
        <v>102186</v>
      </c>
      <c r="H637" s="225">
        <v>90922</v>
      </c>
      <c r="I637" s="237">
        <v>175764</v>
      </c>
      <c r="J637" s="236">
        <v>1710</v>
      </c>
      <c r="K637" s="93">
        <f t="shared" si="25"/>
        <v>370582</v>
      </c>
      <c r="L637" s="52"/>
      <c r="M637" s="237">
        <v>3429</v>
      </c>
      <c r="N637" s="237">
        <v>0</v>
      </c>
      <c r="O637" s="236">
        <v>19725</v>
      </c>
      <c r="P637" s="93">
        <f t="shared" si="26"/>
        <v>23154</v>
      </c>
      <c r="Q637" s="52"/>
      <c r="R637" s="237">
        <v>183985</v>
      </c>
      <c r="S637" s="236">
        <v>-418</v>
      </c>
      <c r="T637" s="238">
        <v>183567</v>
      </c>
    </row>
    <row r="638" spans="1:20">
      <c r="A638" s="50">
        <v>96801</v>
      </c>
      <c r="B638" s="51" t="s">
        <v>1336</v>
      </c>
      <c r="C638" s="239">
        <v>7.6252999999999998E-3</v>
      </c>
      <c r="D638" s="239">
        <v>7.5814000000000003E-3</v>
      </c>
      <c r="E638" s="220">
        <v>18089819</v>
      </c>
      <c r="F638" s="220" t="s">
        <v>1930</v>
      </c>
      <c r="G638" s="237">
        <v>2790829</v>
      </c>
      <c r="H638" s="225">
        <v>2483194</v>
      </c>
      <c r="I638" s="237">
        <v>4800340</v>
      </c>
      <c r="J638" s="236">
        <v>244257</v>
      </c>
      <c r="K638" s="93">
        <f t="shared" si="25"/>
        <v>10318620</v>
      </c>
      <c r="L638" s="52"/>
      <c r="M638" s="237">
        <v>93646</v>
      </c>
      <c r="N638" s="237">
        <v>0</v>
      </c>
      <c r="O638" s="236">
        <v>54881</v>
      </c>
      <c r="P638" s="93">
        <f t="shared" si="26"/>
        <v>148527</v>
      </c>
      <c r="Q638" s="52"/>
      <c r="R638" s="237">
        <v>5024867</v>
      </c>
      <c r="S638" s="236">
        <v>234375</v>
      </c>
      <c r="T638" s="238">
        <v>5259242</v>
      </c>
    </row>
    <row r="639" spans="1:20">
      <c r="A639" s="50">
        <v>96804</v>
      </c>
      <c r="B639" s="51" t="s">
        <v>1337</v>
      </c>
      <c r="C639" s="239">
        <v>2.5539999999999997E-4</v>
      </c>
      <c r="D639" s="239">
        <v>2.654E-4</v>
      </c>
      <c r="E639" s="220">
        <v>605896</v>
      </c>
      <c r="F639" s="220" t="s">
        <v>1930</v>
      </c>
      <c r="G639" s="237">
        <v>93475</v>
      </c>
      <c r="H639" s="225">
        <v>83171</v>
      </c>
      <c r="I639" s="237">
        <v>160781</v>
      </c>
      <c r="J639" s="236">
        <v>4075</v>
      </c>
      <c r="K639" s="93">
        <f t="shared" si="25"/>
        <v>341502</v>
      </c>
      <c r="L639" s="52"/>
      <c r="M639" s="237">
        <v>3137</v>
      </c>
      <c r="N639" s="237">
        <v>0</v>
      </c>
      <c r="O639" s="236">
        <v>20354</v>
      </c>
      <c r="P639" s="93">
        <f t="shared" si="26"/>
        <v>23491</v>
      </c>
      <c r="Q639" s="52"/>
      <c r="R639" s="237">
        <v>168302</v>
      </c>
      <c r="S639" s="236">
        <v>-2456</v>
      </c>
      <c r="T639" s="238">
        <v>165846</v>
      </c>
    </row>
    <row r="640" spans="1:20">
      <c r="A640" s="50">
        <v>96808</v>
      </c>
      <c r="B640" s="51" t="s">
        <v>1338</v>
      </c>
      <c r="C640" s="239">
        <v>1.2572E-3</v>
      </c>
      <c r="D640" s="239">
        <v>1.2711000000000001E-3</v>
      </c>
      <c r="E640" s="220">
        <v>2982508</v>
      </c>
      <c r="F640" s="220" t="s">
        <v>1930</v>
      </c>
      <c r="G640" s="237">
        <v>460130</v>
      </c>
      <c r="H640" s="225">
        <v>409410</v>
      </c>
      <c r="I640" s="237">
        <v>791443</v>
      </c>
      <c r="J640" s="236">
        <v>18089</v>
      </c>
      <c r="K640" s="93">
        <f t="shared" si="25"/>
        <v>1679072</v>
      </c>
      <c r="L640" s="52"/>
      <c r="M640" s="237">
        <v>15440</v>
      </c>
      <c r="N640" s="237">
        <v>0</v>
      </c>
      <c r="O640" s="236">
        <v>15050</v>
      </c>
      <c r="P640" s="93">
        <f t="shared" si="26"/>
        <v>30490</v>
      </c>
      <c r="Q640" s="52"/>
      <c r="R640" s="237">
        <v>828461</v>
      </c>
      <c r="S640" s="236">
        <v>20446</v>
      </c>
      <c r="T640" s="238">
        <v>848907</v>
      </c>
    </row>
    <row r="641" spans="1:20">
      <c r="A641" s="50">
        <v>96811</v>
      </c>
      <c r="B641" s="51" t="s">
        <v>2377</v>
      </c>
      <c r="C641" s="239">
        <v>6.1249E-3</v>
      </c>
      <c r="D641" s="239">
        <v>6.0096999999999998E-3</v>
      </c>
      <c r="E641" s="220">
        <v>14530358</v>
      </c>
      <c r="F641" s="220" t="s">
        <v>1930</v>
      </c>
      <c r="G641" s="237">
        <v>2241689</v>
      </c>
      <c r="H641" s="225">
        <v>1994586</v>
      </c>
      <c r="I641" s="237">
        <v>3855796</v>
      </c>
      <c r="J641" s="236">
        <v>28059</v>
      </c>
      <c r="K641" s="93">
        <f t="shared" si="25"/>
        <v>8120130</v>
      </c>
      <c r="L641" s="52"/>
      <c r="M641" s="237">
        <v>75220</v>
      </c>
      <c r="N641" s="237">
        <v>0</v>
      </c>
      <c r="O641" s="236">
        <v>73994</v>
      </c>
      <c r="P641" s="93">
        <f t="shared" si="26"/>
        <v>149214</v>
      </c>
      <c r="Q641" s="52"/>
      <c r="R641" s="237">
        <v>4036144</v>
      </c>
      <c r="S641" s="236">
        <v>-36406</v>
      </c>
      <c r="T641" s="238">
        <v>3999738</v>
      </c>
    </row>
    <row r="642" spans="1:20">
      <c r="A642" s="50">
        <v>96821</v>
      </c>
      <c r="B642" s="51" t="s">
        <v>2378</v>
      </c>
      <c r="C642" s="239">
        <v>1.1529999999999999E-3</v>
      </c>
      <c r="D642" s="239">
        <v>1.3247000000000001E-3</v>
      </c>
      <c r="E642" s="220">
        <v>2735310</v>
      </c>
      <c r="F642" s="220" t="s">
        <v>1930</v>
      </c>
      <c r="G642" s="237">
        <v>421993</v>
      </c>
      <c r="H642" s="225">
        <v>375477</v>
      </c>
      <c r="I642" s="237">
        <v>725846</v>
      </c>
      <c r="J642" s="236">
        <v>0</v>
      </c>
      <c r="K642" s="93">
        <f t="shared" si="25"/>
        <v>1523316</v>
      </c>
      <c r="L642" s="52"/>
      <c r="M642" s="237">
        <v>14160</v>
      </c>
      <c r="N642" s="237">
        <v>0</v>
      </c>
      <c r="O642" s="236">
        <v>169149</v>
      </c>
      <c r="P642" s="93">
        <f t="shared" si="26"/>
        <v>183309</v>
      </c>
      <c r="Q642" s="52"/>
      <c r="R642" s="237">
        <v>759796</v>
      </c>
      <c r="S642" s="236">
        <v>-77119</v>
      </c>
      <c r="T642" s="238">
        <v>682677</v>
      </c>
    </row>
    <row r="643" spans="1:20">
      <c r="A643" s="50">
        <v>96831</v>
      </c>
      <c r="B643" s="51" t="s">
        <v>2379</v>
      </c>
      <c r="C643" s="239">
        <v>9.3130000000000003E-4</v>
      </c>
      <c r="D643" s="239">
        <v>9.1929999999999996E-4</v>
      </c>
      <c r="E643" s="220">
        <v>2209362</v>
      </c>
      <c r="F643" s="220" t="s">
        <v>1930</v>
      </c>
      <c r="G643" s="237">
        <v>340852</v>
      </c>
      <c r="H643" s="225">
        <v>303280</v>
      </c>
      <c r="I643" s="237">
        <v>586279</v>
      </c>
      <c r="J643" s="236">
        <v>18400</v>
      </c>
      <c r="K643" s="93">
        <f t="shared" si="25"/>
        <v>1248811</v>
      </c>
      <c r="L643" s="52"/>
      <c r="M643" s="237">
        <v>11437</v>
      </c>
      <c r="N643" s="237">
        <v>0</v>
      </c>
      <c r="O643" s="236">
        <v>5806</v>
      </c>
      <c r="P643" s="93">
        <f t="shared" si="26"/>
        <v>17243</v>
      </c>
      <c r="Q643" s="52"/>
      <c r="R643" s="237">
        <v>613702</v>
      </c>
      <c r="S643" s="236">
        <v>17873</v>
      </c>
      <c r="T643" s="238">
        <v>631575</v>
      </c>
    </row>
    <row r="644" spans="1:20">
      <c r="A644" s="50">
        <v>96901</v>
      </c>
      <c r="B644" s="51" t="s">
        <v>1342</v>
      </c>
      <c r="C644" s="239">
        <v>9.1089999999999997E-4</v>
      </c>
      <c r="D644" s="239">
        <v>8.9820000000000004E-4</v>
      </c>
      <c r="E644" s="220">
        <v>2160966</v>
      </c>
      <c r="F644" s="220" t="s">
        <v>1930</v>
      </c>
      <c r="G644" s="237">
        <v>333386</v>
      </c>
      <c r="H644" s="225">
        <v>296636</v>
      </c>
      <c r="I644" s="237">
        <v>573437</v>
      </c>
      <c r="J644" s="236">
        <v>68835</v>
      </c>
      <c r="K644" s="93">
        <f t="shared" si="25"/>
        <v>1272294</v>
      </c>
      <c r="L644" s="52"/>
      <c r="M644" s="237">
        <v>11187</v>
      </c>
      <c r="N644" s="237">
        <v>0</v>
      </c>
      <c r="O644" s="236">
        <v>0</v>
      </c>
      <c r="P644" s="93">
        <f t="shared" si="26"/>
        <v>11187</v>
      </c>
      <c r="Q644" s="52"/>
      <c r="R644" s="237">
        <v>600259</v>
      </c>
      <c r="S644" s="236">
        <v>31901</v>
      </c>
      <c r="T644" s="238">
        <v>632160</v>
      </c>
    </row>
    <row r="645" spans="1:20">
      <c r="A645" s="50">
        <v>96911</v>
      </c>
      <c r="B645" s="51" t="s">
        <v>2380</v>
      </c>
      <c r="C645" s="239">
        <v>2.3E-6</v>
      </c>
      <c r="D645" s="239">
        <v>2.3999999999999999E-6</v>
      </c>
      <c r="E645" s="220">
        <v>5456</v>
      </c>
      <c r="F645" s="220" t="s">
        <v>1930</v>
      </c>
      <c r="G645" s="237">
        <v>842</v>
      </c>
      <c r="H645" s="225">
        <v>749</v>
      </c>
      <c r="I645" s="237">
        <v>1448</v>
      </c>
      <c r="J645" s="236">
        <v>1923</v>
      </c>
      <c r="K645" s="93">
        <f t="shared" si="25"/>
        <v>4962</v>
      </c>
      <c r="L645" s="52"/>
      <c r="M645" s="237">
        <v>28</v>
      </c>
      <c r="N645" s="237">
        <v>0</v>
      </c>
      <c r="O645" s="236">
        <v>1941</v>
      </c>
      <c r="P645" s="93">
        <f t="shared" si="26"/>
        <v>1969</v>
      </c>
      <c r="Q645" s="52"/>
      <c r="R645" s="237">
        <v>1516</v>
      </c>
      <c r="S645" s="236">
        <v>764</v>
      </c>
      <c r="T645" s="238">
        <v>2280</v>
      </c>
    </row>
    <row r="646" spans="1:20">
      <c r="A646" s="50">
        <v>96912</v>
      </c>
      <c r="B646" s="51" t="s">
        <v>2381</v>
      </c>
      <c r="C646" s="239">
        <v>6.8100000000000002E-5</v>
      </c>
      <c r="D646" s="239">
        <v>6.0099999999999997E-5</v>
      </c>
      <c r="E646" s="221">
        <v>161556</v>
      </c>
      <c r="F646" s="221" t="s">
        <v>1930</v>
      </c>
      <c r="G646" s="237">
        <v>24924</v>
      </c>
      <c r="H646" s="225">
        <v>22177</v>
      </c>
      <c r="I646" s="237">
        <v>42871</v>
      </c>
      <c r="J646" s="236">
        <v>1472</v>
      </c>
      <c r="K646" s="93">
        <f t="shared" si="25"/>
        <v>91444</v>
      </c>
      <c r="L646" s="52"/>
      <c r="M646" s="237">
        <v>836</v>
      </c>
      <c r="N646" s="237">
        <v>0</v>
      </c>
      <c r="O646" s="236">
        <v>2729</v>
      </c>
      <c r="P646" s="93">
        <f t="shared" si="26"/>
        <v>3565</v>
      </c>
      <c r="Q646" s="52"/>
      <c r="R646" s="237">
        <v>44876</v>
      </c>
      <c r="S646" s="236">
        <v>2396</v>
      </c>
      <c r="T646" s="238">
        <v>47272</v>
      </c>
    </row>
    <row r="647" spans="1:20">
      <c r="A647" s="50">
        <v>96918</v>
      </c>
      <c r="B647" s="51" t="s">
        <v>1345</v>
      </c>
      <c r="C647" s="239">
        <v>3.2299999999999999E-5</v>
      </c>
      <c r="D647" s="239">
        <v>3.8000000000000002E-5</v>
      </c>
      <c r="E647" s="221">
        <v>76627</v>
      </c>
      <c r="F647" s="221" t="s">
        <v>1930</v>
      </c>
      <c r="G647" s="237">
        <v>11822</v>
      </c>
      <c r="H647" s="225">
        <v>10519</v>
      </c>
      <c r="I647" s="237">
        <v>20334</v>
      </c>
      <c r="J647" s="236">
        <v>1798</v>
      </c>
      <c r="K647" s="93">
        <f t="shared" si="25"/>
        <v>44473</v>
      </c>
      <c r="L647" s="52"/>
      <c r="M647" s="237">
        <v>397</v>
      </c>
      <c r="N647" s="237">
        <v>0</v>
      </c>
      <c r="O647" s="236">
        <v>3897</v>
      </c>
      <c r="P647" s="93">
        <f t="shared" si="26"/>
        <v>4294</v>
      </c>
      <c r="Q647" s="52"/>
      <c r="R647" s="237">
        <v>21285</v>
      </c>
      <c r="S647" s="236">
        <v>4776</v>
      </c>
      <c r="T647" s="238">
        <v>26061</v>
      </c>
    </row>
    <row r="648" spans="1:20">
      <c r="A648" s="50">
        <v>97001</v>
      </c>
      <c r="B648" s="51" t="s">
        <v>1346</v>
      </c>
      <c r="C648" s="239">
        <v>1.3370999999999999E-3</v>
      </c>
      <c r="D648" s="239">
        <v>1.3778E-3</v>
      </c>
      <c r="E648" s="221">
        <v>3172058</v>
      </c>
      <c r="F648" s="221" t="s">
        <v>1930</v>
      </c>
      <c r="G648" s="237">
        <v>489373</v>
      </c>
      <c r="H648" s="225">
        <v>435430</v>
      </c>
      <c r="I648" s="237">
        <v>841742</v>
      </c>
      <c r="J648" s="236">
        <v>142216</v>
      </c>
      <c r="K648" s="93">
        <f t="shared" si="25"/>
        <v>1908761</v>
      </c>
      <c r="L648" s="52"/>
      <c r="M648" s="237">
        <v>16421</v>
      </c>
      <c r="N648" s="237">
        <v>0</v>
      </c>
      <c r="O648" s="236">
        <v>0</v>
      </c>
      <c r="P648" s="93">
        <f t="shared" si="26"/>
        <v>16421</v>
      </c>
      <c r="Q648" s="52"/>
      <c r="R648" s="237">
        <v>881113</v>
      </c>
      <c r="S648" s="236">
        <v>46843</v>
      </c>
      <c r="T648" s="238">
        <v>927956</v>
      </c>
    </row>
    <row r="649" spans="1:20">
      <c r="A649" s="50">
        <v>97002</v>
      </c>
      <c r="B649" s="51" t="s">
        <v>1347</v>
      </c>
      <c r="C649" s="239">
        <v>4.8569999999999999E-4</v>
      </c>
      <c r="D649" s="239">
        <v>5.2610000000000005E-4</v>
      </c>
      <c r="E649" s="221">
        <v>1152247</v>
      </c>
      <c r="F649" s="221" t="s">
        <v>1930</v>
      </c>
      <c r="G649" s="237">
        <v>177764</v>
      </c>
      <c r="H649" s="225">
        <v>158169</v>
      </c>
      <c r="I649" s="237">
        <v>305762</v>
      </c>
      <c r="J649" s="236">
        <v>5136</v>
      </c>
      <c r="K649" s="93">
        <f t="shared" si="25"/>
        <v>646831</v>
      </c>
      <c r="L649" s="52"/>
      <c r="M649" s="237">
        <v>5965</v>
      </c>
      <c r="N649" s="237">
        <v>0</v>
      </c>
      <c r="O649" s="236">
        <v>75548</v>
      </c>
      <c r="P649" s="93">
        <f t="shared" si="26"/>
        <v>81513</v>
      </c>
      <c r="Q649" s="52"/>
      <c r="R649" s="237">
        <v>320063</v>
      </c>
      <c r="S649" s="236">
        <v>-7630</v>
      </c>
      <c r="T649" s="238">
        <v>312433</v>
      </c>
    </row>
    <row r="650" spans="1:20">
      <c r="A650" s="50">
        <v>97004</v>
      </c>
      <c r="B650" s="51" t="s">
        <v>1348</v>
      </c>
      <c r="C650" s="239">
        <v>8.4999999999999999E-6</v>
      </c>
      <c r="D650" s="239">
        <v>9.7999999999999993E-6</v>
      </c>
      <c r="E650" s="221">
        <v>20165</v>
      </c>
      <c r="F650" s="221" t="s">
        <v>1930</v>
      </c>
      <c r="G650" s="237">
        <v>3111</v>
      </c>
      <c r="H650" s="225">
        <v>2768</v>
      </c>
      <c r="I650" s="237">
        <v>5351</v>
      </c>
      <c r="J650" s="236">
        <v>5157</v>
      </c>
      <c r="K650" s="93">
        <f t="shared" si="25"/>
        <v>16387</v>
      </c>
      <c r="L650" s="52"/>
      <c r="M650" s="237">
        <v>104</v>
      </c>
      <c r="N650" s="237">
        <v>0</v>
      </c>
      <c r="O650" s="236">
        <v>0</v>
      </c>
      <c r="P650" s="93">
        <f t="shared" si="26"/>
        <v>104</v>
      </c>
      <c r="Q650" s="52"/>
      <c r="R650" s="237">
        <v>5601</v>
      </c>
      <c r="S650" s="236">
        <v>2552</v>
      </c>
      <c r="T650" s="238">
        <v>8153</v>
      </c>
    </row>
    <row r="651" spans="1:20">
      <c r="A651" s="50">
        <v>97005</v>
      </c>
      <c r="B651" s="51" t="s">
        <v>1349</v>
      </c>
      <c r="C651" s="239">
        <v>2.7500000000000001E-5</v>
      </c>
      <c r="D651" s="239">
        <v>2.83E-5</v>
      </c>
      <c r="E651" s="221">
        <v>65239</v>
      </c>
      <c r="F651" s="221" t="s">
        <v>1930</v>
      </c>
      <c r="G651" s="237">
        <v>10065</v>
      </c>
      <c r="H651" s="225">
        <v>8955</v>
      </c>
      <c r="I651" s="237">
        <v>17312</v>
      </c>
      <c r="J651" s="236">
        <v>9886</v>
      </c>
      <c r="K651" s="93">
        <f t="shared" si="25"/>
        <v>46218</v>
      </c>
      <c r="L651" s="52"/>
      <c r="M651" s="237">
        <v>338</v>
      </c>
      <c r="N651" s="237">
        <v>0</v>
      </c>
      <c r="O651" s="236">
        <v>702</v>
      </c>
      <c r="P651" s="93">
        <f t="shared" si="26"/>
        <v>1040</v>
      </c>
      <c r="Q651" s="52"/>
      <c r="R651" s="237">
        <v>18122</v>
      </c>
      <c r="S651" s="236">
        <v>3372</v>
      </c>
      <c r="T651" s="238">
        <v>21494</v>
      </c>
    </row>
    <row r="652" spans="1:20">
      <c r="A652" s="50">
        <v>97008</v>
      </c>
      <c r="B652" s="51" t="s">
        <v>1350</v>
      </c>
      <c r="C652" s="239">
        <v>2.766E-4</v>
      </c>
      <c r="D652" s="239">
        <v>2.8659999999999997E-4</v>
      </c>
      <c r="E652" s="221">
        <v>656190</v>
      </c>
      <c r="F652" s="221" t="s">
        <v>1930</v>
      </c>
      <c r="G652" s="237">
        <v>101234</v>
      </c>
      <c r="H652" s="225">
        <v>90075</v>
      </c>
      <c r="I652" s="237">
        <v>174127</v>
      </c>
      <c r="J652" s="236">
        <v>3810</v>
      </c>
      <c r="K652" s="93">
        <f t="shared" si="25"/>
        <v>369246</v>
      </c>
      <c r="L652" s="52"/>
      <c r="M652" s="237">
        <v>3397</v>
      </c>
      <c r="N652" s="237">
        <v>0</v>
      </c>
      <c r="O652" s="236">
        <v>5294</v>
      </c>
      <c r="P652" s="93">
        <f t="shared" si="26"/>
        <v>8691</v>
      </c>
      <c r="Q652" s="52"/>
      <c r="R652" s="237">
        <v>182272</v>
      </c>
      <c r="S652" s="236">
        <v>6191</v>
      </c>
      <c r="T652" s="238">
        <v>188463</v>
      </c>
    </row>
    <row r="653" spans="1:20">
      <c r="A653" s="50">
        <v>97010</v>
      </c>
      <c r="B653" s="51" t="s">
        <v>1351</v>
      </c>
      <c r="C653" s="239">
        <v>0</v>
      </c>
      <c r="D653" s="239">
        <v>0</v>
      </c>
      <c r="E653" s="221">
        <v>0</v>
      </c>
      <c r="F653" s="221" t="s">
        <v>1930</v>
      </c>
      <c r="G653" s="237">
        <v>0</v>
      </c>
      <c r="H653" s="225">
        <v>0</v>
      </c>
      <c r="I653" s="237">
        <v>0</v>
      </c>
      <c r="J653" s="236">
        <v>0</v>
      </c>
      <c r="K653" s="93">
        <f t="shared" si="25"/>
        <v>0</v>
      </c>
      <c r="L653" s="52"/>
      <c r="M653" s="237">
        <v>0</v>
      </c>
      <c r="N653" s="237">
        <v>0</v>
      </c>
      <c r="O653" s="236">
        <v>777787</v>
      </c>
      <c r="P653" s="93">
        <f t="shared" si="26"/>
        <v>777787</v>
      </c>
      <c r="Q653" s="52"/>
      <c r="R653" s="237">
        <v>0</v>
      </c>
      <c r="S653" s="236">
        <v>-1279115</v>
      </c>
      <c r="T653" s="238">
        <v>-1279115</v>
      </c>
    </row>
    <row r="654" spans="1:20">
      <c r="A654" s="50">
        <v>97011</v>
      </c>
      <c r="B654" s="51" t="s">
        <v>1352</v>
      </c>
      <c r="C654" s="239">
        <v>1.9426999999999999E-3</v>
      </c>
      <c r="D654" s="239">
        <v>1.9166999999999999E-3</v>
      </c>
      <c r="E654" s="221">
        <v>4608749</v>
      </c>
      <c r="F654" s="221" t="s">
        <v>1930</v>
      </c>
      <c r="G654" s="237">
        <v>711020</v>
      </c>
      <c r="H654" s="225">
        <v>632644</v>
      </c>
      <c r="I654" s="237">
        <v>1222984</v>
      </c>
      <c r="J654" s="236">
        <v>0</v>
      </c>
      <c r="K654" s="93">
        <f t="shared" si="25"/>
        <v>2566648</v>
      </c>
      <c r="L654" s="52"/>
      <c r="M654" s="237">
        <v>23858</v>
      </c>
      <c r="N654" s="237">
        <v>0</v>
      </c>
      <c r="O654" s="236">
        <v>61009</v>
      </c>
      <c r="P654" s="93">
        <f t="shared" si="26"/>
        <v>84867</v>
      </c>
      <c r="Q654" s="52"/>
      <c r="R654" s="237">
        <v>1280187</v>
      </c>
      <c r="S654" s="236">
        <v>-40429</v>
      </c>
      <c r="T654" s="238">
        <v>1239758</v>
      </c>
    </row>
    <row r="655" spans="1:20">
      <c r="A655" s="50">
        <v>97012</v>
      </c>
      <c r="B655" s="51" t="s">
        <v>2768</v>
      </c>
      <c r="C655" s="239">
        <v>3.0700000000000001E-5</v>
      </c>
      <c r="D655" s="239">
        <v>2.9499999999999999E-5</v>
      </c>
      <c r="E655" s="221">
        <v>72831</v>
      </c>
      <c r="F655" s="221" t="s">
        <v>1930</v>
      </c>
      <c r="G655" s="237">
        <v>11236</v>
      </c>
      <c r="H655" s="225">
        <v>9997</v>
      </c>
      <c r="I655" s="237">
        <v>19327</v>
      </c>
      <c r="J655" s="236">
        <v>6719</v>
      </c>
      <c r="K655" s="93">
        <f t="shared" si="25"/>
        <v>47279</v>
      </c>
      <c r="L655" s="52"/>
      <c r="M655" s="237">
        <v>377</v>
      </c>
      <c r="N655" s="237">
        <v>0</v>
      </c>
      <c r="O655" s="236">
        <v>415</v>
      </c>
      <c r="P655" s="93">
        <f t="shared" si="26"/>
        <v>792</v>
      </c>
      <c r="Q655" s="52"/>
      <c r="R655" s="237">
        <v>20230</v>
      </c>
      <c r="S655" s="236">
        <v>1569</v>
      </c>
      <c r="T655" s="238">
        <v>21799</v>
      </c>
    </row>
    <row r="656" spans="1:20">
      <c r="A656" s="50">
        <v>97013</v>
      </c>
      <c r="B656" s="51" t="s">
        <v>1354</v>
      </c>
      <c r="C656" s="239">
        <v>2.19E-5</v>
      </c>
      <c r="D656" s="239">
        <v>1.8199999999999999E-5</v>
      </c>
      <c r="E656" s="221">
        <v>51954</v>
      </c>
      <c r="F656" s="221" t="s">
        <v>1930</v>
      </c>
      <c r="G656" s="237">
        <v>8015</v>
      </c>
      <c r="H656" s="225">
        <v>7132</v>
      </c>
      <c r="I656" s="237">
        <v>13787</v>
      </c>
      <c r="J656" s="236">
        <v>7375</v>
      </c>
      <c r="K656" s="93">
        <f t="shared" si="25"/>
        <v>36309</v>
      </c>
      <c r="L656" s="52"/>
      <c r="M656" s="237">
        <v>269</v>
      </c>
      <c r="N656" s="237">
        <v>0</v>
      </c>
      <c r="O656" s="236">
        <v>0</v>
      </c>
      <c r="P656" s="93">
        <f t="shared" si="26"/>
        <v>269</v>
      </c>
      <c r="Q656" s="52"/>
      <c r="R656" s="237">
        <v>14432</v>
      </c>
      <c r="S656" s="236">
        <v>2956</v>
      </c>
      <c r="T656" s="238">
        <v>17388</v>
      </c>
    </row>
    <row r="657" spans="1:20">
      <c r="A657" s="50">
        <v>97015</v>
      </c>
      <c r="B657" s="51" t="s">
        <v>1355</v>
      </c>
      <c r="C657" s="239">
        <v>5.1700000000000003E-5</v>
      </c>
      <c r="D657" s="239">
        <v>4.1499999999999999E-5</v>
      </c>
      <c r="E657" s="221">
        <v>122650</v>
      </c>
      <c r="F657" s="221" t="s">
        <v>1930</v>
      </c>
      <c r="G657" s="237">
        <v>18922</v>
      </c>
      <c r="H657" s="225">
        <v>16836</v>
      </c>
      <c r="I657" s="237">
        <v>32547</v>
      </c>
      <c r="J657" s="236">
        <v>9840</v>
      </c>
      <c r="K657" s="93">
        <f t="shared" si="25"/>
        <v>78145</v>
      </c>
      <c r="L657" s="52"/>
      <c r="M657" s="237">
        <v>635</v>
      </c>
      <c r="N657" s="237">
        <v>0</v>
      </c>
      <c r="O657" s="236">
        <v>3745</v>
      </c>
      <c r="P657" s="93">
        <f t="shared" si="26"/>
        <v>4380</v>
      </c>
      <c r="Q657" s="52"/>
      <c r="R657" s="237">
        <v>34069</v>
      </c>
      <c r="S657" s="236">
        <v>1860</v>
      </c>
      <c r="T657" s="238">
        <v>35929</v>
      </c>
    </row>
    <row r="658" spans="1:20">
      <c r="A658" s="50">
        <v>97018</v>
      </c>
      <c r="B658" s="51" t="s">
        <v>1356</v>
      </c>
      <c r="C658" s="239">
        <v>7.4000000000000003E-6</v>
      </c>
      <c r="D658" s="239">
        <v>8.6000000000000007E-6</v>
      </c>
      <c r="E658" s="221">
        <v>17555</v>
      </c>
      <c r="F658" s="221" t="s">
        <v>1930</v>
      </c>
      <c r="G658" s="237">
        <v>2708</v>
      </c>
      <c r="H658" s="225">
        <v>2410</v>
      </c>
      <c r="I658" s="237">
        <v>4659</v>
      </c>
      <c r="J658" s="236">
        <v>7148</v>
      </c>
      <c r="K658" s="93">
        <f t="shared" si="25"/>
        <v>16925</v>
      </c>
      <c r="L658" s="52"/>
      <c r="M658" s="237">
        <v>91</v>
      </c>
      <c r="N658" s="237">
        <v>0</v>
      </c>
      <c r="O658" s="236">
        <v>0</v>
      </c>
      <c r="P658" s="93">
        <f t="shared" si="26"/>
        <v>91</v>
      </c>
      <c r="Q658" s="52"/>
      <c r="R658" s="237">
        <v>4876</v>
      </c>
      <c r="S658" s="236">
        <v>3577</v>
      </c>
      <c r="T658" s="238">
        <v>8453</v>
      </c>
    </row>
    <row r="659" spans="1:20">
      <c r="A659" s="50">
        <v>97101</v>
      </c>
      <c r="B659" s="51" t="s">
        <v>1357</v>
      </c>
      <c r="C659" s="239">
        <v>2.4805000000000001E-3</v>
      </c>
      <c r="D659" s="239">
        <v>2.5790000000000001E-3</v>
      </c>
      <c r="E659" s="221">
        <v>5884594</v>
      </c>
      <c r="F659" s="221" t="s">
        <v>1930</v>
      </c>
      <c r="G659" s="237">
        <v>907853</v>
      </c>
      <c r="H659" s="225">
        <v>807780</v>
      </c>
      <c r="I659" s="237">
        <v>1561544</v>
      </c>
      <c r="J659" s="236">
        <v>35145</v>
      </c>
      <c r="K659" s="93">
        <f t="shared" si="25"/>
        <v>3312322</v>
      </c>
      <c r="L659" s="52"/>
      <c r="M659" s="237">
        <v>30463</v>
      </c>
      <c r="N659" s="237">
        <v>0</v>
      </c>
      <c r="O659" s="236">
        <v>0</v>
      </c>
      <c r="P659" s="93">
        <f t="shared" si="26"/>
        <v>30463</v>
      </c>
      <c r="Q659" s="52"/>
      <c r="R659" s="237">
        <v>1634583</v>
      </c>
      <c r="S659" s="236">
        <v>9399</v>
      </c>
      <c r="T659" s="238">
        <v>1643982</v>
      </c>
    </row>
    <row r="660" spans="1:20">
      <c r="A660" s="50">
        <v>97104</v>
      </c>
      <c r="B660" s="51" t="s">
        <v>1358</v>
      </c>
      <c r="C660" s="239">
        <v>5.6100000000000002E-5</v>
      </c>
      <c r="D660" s="239">
        <v>5.4299999999999998E-5</v>
      </c>
      <c r="E660" s="221">
        <v>133088</v>
      </c>
      <c r="F660" s="221" t="s">
        <v>1930</v>
      </c>
      <c r="G660" s="237">
        <v>20532</v>
      </c>
      <c r="H660" s="225">
        <v>18269</v>
      </c>
      <c r="I660" s="237">
        <v>35317</v>
      </c>
      <c r="J660" s="236">
        <v>11210</v>
      </c>
      <c r="K660" s="93">
        <f t="shared" si="25"/>
        <v>85328</v>
      </c>
      <c r="L660" s="52"/>
      <c r="M660" s="237">
        <v>689</v>
      </c>
      <c r="N660" s="237">
        <v>0</v>
      </c>
      <c r="O660" s="236">
        <v>0</v>
      </c>
      <c r="P660" s="93">
        <f t="shared" si="26"/>
        <v>689</v>
      </c>
      <c r="Q660" s="52"/>
      <c r="R660" s="237">
        <v>36968</v>
      </c>
      <c r="S660" s="236">
        <v>7518</v>
      </c>
      <c r="T660" s="238">
        <v>44486</v>
      </c>
    </row>
    <row r="661" spans="1:20">
      <c r="A661" s="50">
        <v>97111</v>
      </c>
      <c r="B661" s="51" t="s">
        <v>2382</v>
      </c>
      <c r="C661" s="239">
        <v>2.7779999999999998E-4</v>
      </c>
      <c r="D661" s="239">
        <v>2.8200000000000002E-4</v>
      </c>
      <c r="E661" s="221">
        <v>659037</v>
      </c>
      <c r="F661" s="221" t="s">
        <v>1930</v>
      </c>
      <c r="G661" s="237">
        <v>101674</v>
      </c>
      <c r="H661" s="225">
        <v>90466</v>
      </c>
      <c r="I661" s="237">
        <v>174883</v>
      </c>
      <c r="J661" s="236">
        <v>656</v>
      </c>
      <c r="K661" s="93">
        <f t="shared" ref="K661:K726" si="27">G661+H661+I661+J661</f>
        <v>367679</v>
      </c>
      <c r="L661" s="52"/>
      <c r="M661" s="237">
        <v>3412</v>
      </c>
      <c r="N661" s="237">
        <v>0</v>
      </c>
      <c r="O661" s="236">
        <v>19675</v>
      </c>
      <c r="P661" s="93">
        <f t="shared" ref="P661:P726" si="28">M661+N661+O661</f>
        <v>23087</v>
      </c>
      <c r="Q661" s="52"/>
      <c r="R661" s="237">
        <v>183063</v>
      </c>
      <c r="S661" s="236">
        <v>-3431</v>
      </c>
      <c r="T661" s="238">
        <v>179632</v>
      </c>
    </row>
    <row r="662" spans="1:20">
      <c r="A662" s="50">
        <v>97121</v>
      </c>
      <c r="B662" s="51" t="s">
        <v>2383</v>
      </c>
      <c r="C662" s="239">
        <v>1.2980000000000001E-4</v>
      </c>
      <c r="D662" s="239">
        <v>1.3640000000000001E-4</v>
      </c>
      <c r="E662" s="221">
        <v>307930</v>
      </c>
      <c r="F662" s="221" t="s">
        <v>1930</v>
      </c>
      <c r="G662" s="237">
        <v>47506</v>
      </c>
      <c r="H662" s="225">
        <v>42270</v>
      </c>
      <c r="I662" s="237">
        <v>81713</v>
      </c>
      <c r="J662" s="236">
        <v>15643</v>
      </c>
      <c r="K662" s="93">
        <f t="shared" si="27"/>
        <v>187132</v>
      </c>
      <c r="L662" s="52"/>
      <c r="M662" s="237">
        <v>1594</v>
      </c>
      <c r="N662" s="237">
        <v>0</v>
      </c>
      <c r="O662" s="236">
        <v>5525</v>
      </c>
      <c r="P662" s="93">
        <f t="shared" si="28"/>
        <v>7119</v>
      </c>
      <c r="Q662" s="52"/>
      <c r="R662" s="237">
        <v>85535</v>
      </c>
      <c r="S662" s="236">
        <v>263</v>
      </c>
      <c r="T662" s="238">
        <v>85798</v>
      </c>
    </row>
    <row r="663" spans="1:20">
      <c r="A663" s="50">
        <v>97131</v>
      </c>
      <c r="B663" s="51" t="s">
        <v>2384</v>
      </c>
      <c r="C663" s="239">
        <v>6.0749999999999997E-4</v>
      </c>
      <c r="D663" s="239">
        <v>7.358E-4</v>
      </c>
      <c r="E663" s="221">
        <v>1441198</v>
      </c>
      <c r="F663" s="221" t="s">
        <v>1930</v>
      </c>
      <c r="G663" s="237">
        <v>222343</v>
      </c>
      <c r="H663" s="225">
        <v>197834</v>
      </c>
      <c r="I663" s="237">
        <v>382438</v>
      </c>
      <c r="J663" s="236">
        <v>20955</v>
      </c>
      <c r="K663" s="93">
        <f t="shared" si="27"/>
        <v>823570</v>
      </c>
      <c r="L663" s="52"/>
      <c r="M663" s="237">
        <v>7461</v>
      </c>
      <c r="N663" s="237">
        <v>0</v>
      </c>
      <c r="O663" s="236">
        <v>118742</v>
      </c>
      <c r="P663" s="93">
        <f t="shared" si="28"/>
        <v>126203</v>
      </c>
      <c r="Q663" s="52"/>
      <c r="R663" s="237">
        <v>400326</v>
      </c>
      <c r="S663" s="236">
        <v>-21454</v>
      </c>
      <c r="T663" s="238">
        <v>378872</v>
      </c>
    </row>
    <row r="664" spans="1:20">
      <c r="A664" s="50">
        <v>97201</v>
      </c>
      <c r="B664" s="51" t="s">
        <v>1362</v>
      </c>
      <c r="C664" s="239">
        <v>5.1219999999999998E-4</v>
      </c>
      <c r="D664" s="239">
        <v>5.2689999999999996E-4</v>
      </c>
      <c r="E664" s="221">
        <v>1215114</v>
      </c>
      <c r="F664" s="221" t="s">
        <v>1930</v>
      </c>
      <c r="G664" s="237">
        <v>187463</v>
      </c>
      <c r="H664" s="225">
        <v>166799</v>
      </c>
      <c r="I664" s="237">
        <v>322444</v>
      </c>
      <c r="J664" s="236">
        <v>30683</v>
      </c>
      <c r="K664" s="93">
        <f t="shared" si="27"/>
        <v>707389</v>
      </c>
      <c r="L664" s="52"/>
      <c r="M664" s="237">
        <v>6290</v>
      </c>
      <c r="N664" s="237">
        <v>0</v>
      </c>
      <c r="O664" s="236">
        <v>1246</v>
      </c>
      <c r="P664" s="93">
        <f t="shared" si="28"/>
        <v>7536</v>
      </c>
      <c r="Q664" s="52"/>
      <c r="R664" s="237">
        <v>337526</v>
      </c>
      <c r="S664" s="236">
        <v>10658</v>
      </c>
      <c r="T664" s="238">
        <v>348184</v>
      </c>
    </row>
    <row r="665" spans="1:20">
      <c r="A665" s="50">
        <v>97211</v>
      </c>
      <c r="B665" s="51" t="s">
        <v>2385</v>
      </c>
      <c r="C665" s="239">
        <v>1.4569999999999999E-4</v>
      </c>
      <c r="D665" s="239">
        <v>1.5980000000000001E-4</v>
      </c>
      <c r="E665" s="221">
        <v>345650</v>
      </c>
      <c r="F665" s="221" t="s">
        <v>1930</v>
      </c>
      <c r="G665" s="237">
        <v>53326</v>
      </c>
      <c r="H665" s="225">
        <v>47448</v>
      </c>
      <c r="I665" s="237">
        <v>91722</v>
      </c>
      <c r="J665" s="236">
        <v>11315</v>
      </c>
      <c r="K665" s="93">
        <f t="shared" si="27"/>
        <v>203811</v>
      </c>
      <c r="L665" s="52"/>
      <c r="M665" s="237">
        <v>1789</v>
      </c>
      <c r="N665" s="237">
        <v>0</v>
      </c>
      <c r="O665" s="236">
        <v>12606</v>
      </c>
      <c r="P665" s="93">
        <f t="shared" si="28"/>
        <v>14395</v>
      </c>
      <c r="Q665" s="52"/>
      <c r="R665" s="237">
        <v>96012</v>
      </c>
      <c r="S665" s="236">
        <v>-859</v>
      </c>
      <c r="T665" s="238">
        <v>95153</v>
      </c>
    </row>
    <row r="666" spans="1:20">
      <c r="A666" s="50">
        <v>97213</v>
      </c>
      <c r="B666" s="51" t="s">
        <v>2769</v>
      </c>
      <c r="C666" s="239">
        <v>4.5599999999999997E-5</v>
      </c>
      <c r="D666" s="239">
        <v>3.9100000000000002E-5</v>
      </c>
      <c r="E666" s="221">
        <v>108179</v>
      </c>
      <c r="F666" s="221" t="s">
        <v>1930</v>
      </c>
      <c r="G666" s="237">
        <v>16689</v>
      </c>
      <c r="H666" s="225">
        <v>14849</v>
      </c>
      <c r="I666" s="237">
        <v>28706</v>
      </c>
      <c r="J666" s="236">
        <v>8617</v>
      </c>
      <c r="K666" s="93">
        <f t="shared" si="27"/>
        <v>68861</v>
      </c>
      <c r="L666" s="52"/>
      <c r="M666" s="237">
        <v>560</v>
      </c>
      <c r="N666" s="237">
        <v>0</v>
      </c>
      <c r="O666" s="236">
        <v>322</v>
      </c>
      <c r="P666" s="93">
        <f t="shared" si="28"/>
        <v>882</v>
      </c>
      <c r="Q666" s="52"/>
      <c r="R666" s="237">
        <v>30049</v>
      </c>
      <c r="S666" s="236">
        <v>3081</v>
      </c>
      <c r="T666" s="238">
        <v>33130</v>
      </c>
    </row>
    <row r="667" spans="1:20">
      <c r="A667" s="50">
        <v>97217</v>
      </c>
      <c r="B667" s="51" t="s">
        <v>2386</v>
      </c>
      <c r="C667" s="239">
        <v>4.8999999999999997E-6</v>
      </c>
      <c r="D667" s="239">
        <v>4.6E-6</v>
      </c>
      <c r="E667" s="221">
        <v>11624</v>
      </c>
      <c r="F667" s="221" t="s">
        <v>1930</v>
      </c>
      <c r="G667" s="237">
        <v>1793</v>
      </c>
      <c r="H667" s="225">
        <v>1596</v>
      </c>
      <c r="I667" s="237">
        <v>3085</v>
      </c>
      <c r="J667" s="236">
        <v>8394</v>
      </c>
      <c r="K667" s="93">
        <f t="shared" si="27"/>
        <v>14868</v>
      </c>
      <c r="L667" s="52"/>
      <c r="M667" s="237">
        <v>60</v>
      </c>
      <c r="N667" s="237">
        <v>0</v>
      </c>
      <c r="O667" s="236">
        <v>0</v>
      </c>
      <c r="P667" s="93">
        <f t="shared" si="28"/>
        <v>60</v>
      </c>
      <c r="Q667" s="52"/>
      <c r="R667" s="237">
        <v>3229</v>
      </c>
      <c r="S667" s="236">
        <v>4143</v>
      </c>
      <c r="T667" s="238">
        <v>7372</v>
      </c>
    </row>
    <row r="668" spans="1:20">
      <c r="A668" s="50">
        <v>97221</v>
      </c>
      <c r="B668" s="51" t="s">
        <v>2387</v>
      </c>
      <c r="C668" s="239">
        <v>3.9999999999999998E-6</v>
      </c>
      <c r="D668" s="239">
        <v>7.1999999999999997E-6</v>
      </c>
      <c r="E668" s="221">
        <v>9489</v>
      </c>
      <c r="F668" s="221" t="s">
        <v>1930</v>
      </c>
      <c r="G668" s="237">
        <v>1464</v>
      </c>
      <c r="H668" s="225">
        <v>1303</v>
      </c>
      <c r="I668" s="237">
        <v>2518</v>
      </c>
      <c r="J668" s="236">
        <v>6077</v>
      </c>
      <c r="K668" s="93">
        <f t="shared" si="27"/>
        <v>11362</v>
      </c>
      <c r="L668" s="52"/>
      <c r="M668" s="237">
        <v>49</v>
      </c>
      <c r="N668" s="237">
        <v>0</v>
      </c>
      <c r="O668" s="236">
        <v>0</v>
      </c>
      <c r="P668" s="93">
        <f t="shared" si="28"/>
        <v>49</v>
      </c>
      <c r="Q668" s="52"/>
      <c r="R668" s="237">
        <v>2636</v>
      </c>
      <c r="S668" s="236">
        <v>3385</v>
      </c>
      <c r="T668" s="238">
        <v>6021</v>
      </c>
    </row>
    <row r="669" spans="1:20">
      <c r="A669" s="50">
        <v>97301</v>
      </c>
      <c r="B669" s="51" t="s">
        <v>1367</v>
      </c>
      <c r="C669" s="239">
        <v>2.4616E-3</v>
      </c>
      <c r="D669" s="239">
        <v>2.5135999999999999E-3</v>
      </c>
      <c r="E669" s="221">
        <v>5839757</v>
      </c>
      <c r="F669" s="221" t="s">
        <v>1930</v>
      </c>
      <c r="G669" s="237">
        <v>900936</v>
      </c>
      <c r="H669" s="225">
        <v>801625</v>
      </c>
      <c r="I669" s="237">
        <v>1549646</v>
      </c>
      <c r="J669" s="236">
        <v>10684</v>
      </c>
      <c r="K669" s="93">
        <f t="shared" si="27"/>
        <v>3262891</v>
      </c>
      <c r="L669" s="52"/>
      <c r="M669" s="237">
        <v>30231</v>
      </c>
      <c r="N669" s="237">
        <v>0</v>
      </c>
      <c r="O669" s="236">
        <v>48917</v>
      </c>
      <c r="P669" s="93">
        <f t="shared" si="28"/>
        <v>79148</v>
      </c>
      <c r="Q669" s="52"/>
      <c r="R669" s="237">
        <v>1622128</v>
      </c>
      <c r="S669" s="236">
        <v>-14603</v>
      </c>
      <c r="T669" s="238">
        <v>1607525</v>
      </c>
    </row>
    <row r="670" spans="1:20">
      <c r="A670" s="50">
        <v>97304</v>
      </c>
      <c r="B670" s="51" t="s">
        <v>1368</v>
      </c>
      <c r="C670" s="239">
        <v>1.5299999999999999E-5</v>
      </c>
      <c r="D670" s="239">
        <v>1.6799999999999998E-5</v>
      </c>
      <c r="E670" s="221">
        <v>36297</v>
      </c>
      <c r="F670" s="221" t="s">
        <v>1930</v>
      </c>
      <c r="G670" s="237">
        <v>5600</v>
      </c>
      <c r="H670" s="225">
        <v>4983</v>
      </c>
      <c r="I670" s="237">
        <v>9632</v>
      </c>
      <c r="J670" s="236">
        <v>9181</v>
      </c>
      <c r="K670" s="93">
        <f t="shared" si="27"/>
        <v>29396</v>
      </c>
      <c r="L670" s="52"/>
      <c r="M670" s="237">
        <v>188</v>
      </c>
      <c r="N670" s="237">
        <v>0</v>
      </c>
      <c r="O670" s="236">
        <v>0</v>
      </c>
      <c r="P670" s="93">
        <f t="shared" si="28"/>
        <v>188</v>
      </c>
      <c r="Q670" s="52"/>
      <c r="R670" s="237">
        <v>10082</v>
      </c>
      <c r="S670" s="236">
        <v>4481</v>
      </c>
      <c r="T670" s="238">
        <v>14563</v>
      </c>
    </row>
    <row r="671" spans="1:20">
      <c r="A671" s="50">
        <v>97311</v>
      </c>
      <c r="B671" s="51" t="s">
        <v>1369</v>
      </c>
      <c r="C671" s="239">
        <v>8.8420000000000002E-4</v>
      </c>
      <c r="D671" s="239">
        <v>9.1799999999999998E-4</v>
      </c>
      <c r="E671" s="221">
        <v>2097625</v>
      </c>
      <c r="F671" s="221" t="s">
        <v>1930</v>
      </c>
      <c r="G671" s="237">
        <v>323614</v>
      </c>
      <c r="H671" s="225">
        <v>287942</v>
      </c>
      <c r="I671" s="237">
        <v>556629</v>
      </c>
      <c r="J671" s="236">
        <v>0</v>
      </c>
      <c r="K671" s="93">
        <f t="shared" si="27"/>
        <v>1168185</v>
      </c>
      <c r="L671" s="52"/>
      <c r="M671" s="237">
        <v>10859</v>
      </c>
      <c r="N671" s="237">
        <v>0</v>
      </c>
      <c r="O671" s="236">
        <v>82924</v>
      </c>
      <c r="P671" s="93">
        <f t="shared" si="28"/>
        <v>93783</v>
      </c>
      <c r="Q671" s="52"/>
      <c r="R671" s="237">
        <v>582664</v>
      </c>
      <c r="S671" s="236">
        <v>-48862</v>
      </c>
      <c r="T671" s="238">
        <v>533802</v>
      </c>
    </row>
    <row r="672" spans="1:20">
      <c r="A672" s="50">
        <v>97401</v>
      </c>
      <c r="B672" s="51" t="s">
        <v>1370</v>
      </c>
      <c r="C672" s="239">
        <v>7.1440000000000002E-3</v>
      </c>
      <c r="D672" s="239">
        <v>7.1303E-3</v>
      </c>
      <c r="E672" s="221">
        <v>16948011</v>
      </c>
      <c r="F672" s="221" t="s">
        <v>1930</v>
      </c>
      <c r="G672" s="237">
        <v>2614675</v>
      </c>
      <c r="H672" s="225">
        <v>2326458</v>
      </c>
      <c r="I672" s="237">
        <v>4497348</v>
      </c>
      <c r="J672" s="236">
        <v>194684</v>
      </c>
      <c r="K672" s="93">
        <f t="shared" si="27"/>
        <v>9633165</v>
      </c>
      <c r="L672" s="52"/>
      <c r="M672" s="237">
        <v>87735</v>
      </c>
      <c r="N672" s="237">
        <v>0</v>
      </c>
      <c r="O672" s="236">
        <v>24107</v>
      </c>
      <c r="P672" s="93">
        <f t="shared" si="28"/>
        <v>111842</v>
      </c>
      <c r="Q672" s="52"/>
      <c r="R672" s="237">
        <v>4707703</v>
      </c>
      <c r="S672" s="236">
        <v>-954</v>
      </c>
      <c r="T672" s="238">
        <v>4706749</v>
      </c>
    </row>
    <row r="673" spans="1:20">
      <c r="A673" s="50">
        <v>97402</v>
      </c>
      <c r="B673" s="51" t="s">
        <v>1371</v>
      </c>
      <c r="C673" s="239">
        <v>4.8399999999999997E-5</v>
      </c>
      <c r="D673" s="239">
        <v>4.8000000000000001E-5</v>
      </c>
      <c r="E673" s="221">
        <v>114821</v>
      </c>
      <c r="F673" s="221" t="s">
        <v>1930</v>
      </c>
      <c r="G673" s="237">
        <v>17714</v>
      </c>
      <c r="H673" s="225">
        <v>15761</v>
      </c>
      <c r="I673" s="237">
        <v>30469</v>
      </c>
      <c r="J673" s="236">
        <v>12911</v>
      </c>
      <c r="K673" s="93">
        <f t="shared" si="27"/>
        <v>76855</v>
      </c>
      <c r="L673" s="52"/>
      <c r="M673" s="237">
        <v>594</v>
      </c>
      <c r="N673" s="237">
        <v>0</v>
      </c>
      <c r="O673" s="236">
        <v>0</v>
      </c>
      <c r="P673" s="93">
        <f t="shared" si="28"/>
        <v>594</v>
      </c>
      <c r="Q673" s="52"/>
      <c r="R673" s="237">
        <v>31894</v>
      </c>
      <c r="S673" s="236">
        <v>5903</v>
      </c>
      <c r="T673" s="238">
        <v>37797</v>
      </c>
    </row>
    <row r="674" spans="1:20">
      <c r="A674" s="50">
        <v>97404</v>
      </c>
      <c r="B674" s="51" t="s">
        <v>1372</v>
      </c>
      <c r="C674" s="239">
        <v>2.0320000000000001E-4</v>
      </c>
      <c r="D674" s="239">
        <v>2.1010000000000001E-4</v>
      </c>
      <c r="E674" s="221">
        <v>482060</v>
      </c>
      <c r="F674" s="221" t="s">
        <v>1930</v>
      </c>
      <c r="G674" s="237">
        <v>74370</v>
      </c>
      <c r="H674" s="225">
        <v>66173</v>
      </c>
      <c r="I674" s="237">
        <v>127920</v>
      </c>
      <c r="J674" s="236">
        <v>0</v>
      </c>
      <c r="K674" s="93">
        <f t="shared" si="27"/>
        <v>268463</v>
      </c>
      <c r="L674" s="52"/>
      <c r="M674" s="237">
        <v>2495</v>
      </c>
      <c r="N674" s="237">
        <v>0</v>
      </c>
      <c r="O674" s="236">
        <v>26048</v>
      </c>
      <c r="P674" s="93">
        <f t="shared" si="28"/>
        <v>28543</v>
      </c>
      <c r="Q674" s="52"/>
      <c r="R674" s="237">
        <v>133903</v>
      </c>
      <c r="S674" s="236">
        <v>-9082</v>
      </c>
      <c r="T674" s="238">
        <v>124821</v>
      </c>
    </row>
    <row r="675" spans="1:20">
      <c r="A675" s="50">
        <v>97405</v>
      </c>
      <c r="B675" s="51" t="s">
        <v>1373</v>
      </c>
      <c r="C675" s="239">
        <v>1.156E-4</v>
      </c>
      <c r="D675" s="239">
        <v>1.091E-4</v>
      </c>
      <c r="E675" s="221">
        <v>274243</v>
      </c>
      <c r="F675" s="221" t="s">
        <v>1930</v>
      </c>
      <c r="G675" s="237">
        <v>42309</v>
      </c>
      <c r="H675" s="225">
        <v>37646</v>
      </c>
      <c r="I675" s="237">
        <v>72773</v>
      </c>
      <c r="J675" s="236">
        <v>33588</v>
      </c>
      <c r="K675" s="93">
        <f t="shared" si="27"/>
        <v>186316</v>
      </c>
      <c r="L675" s="52"/>
      <c r="M675" s="237">
        <v>1420</v>
      </c>
      <c r="N675" s="237">
        <v>0</v>
      </c>
      <c r="O675" s="236">
        <v>0</v>
      </c>
      <c r="P675" s="93">
        <f t="shared" si="28"/>
        <v>1420</v>
      </c>
      <c r="Q675" s="52"/>
      <c r="R675" s="237">
        <v>76177</v>
      </c>
      <c r="S675" s="236">
        <v>8872</v>
      </c>
      <c r="T675" s="238">
        <v>85049</v>
      </c>
    </row>
    <row r="676" spans="1:20">
      <c r="A676" s="50">
        <v>97408</v>
      </c>
      <c r="B676" s="51" t="s">
        <v>1374</v>
      </c>
      <c r="C676" s="239">
        <v>4.3000000000000002E-5</v>
      </c>
      <c r="D676" s="239">
        <v>4.4499999999999997E-5</v>
      </c>
      <c r="E676" s="221">
        <v>102011</v>
      </c>
      <c r="F676" s="221" t="s">
        <v>1930</v>
      </c>
      <c r="G676" s="237">
        <v>15738</v>
      </c>
      <c r="H676" s="225">
        <v>14003</v>
      </c>
      <c r="I676" s="237">
        <v>27070</v>
      </c>
      <c r="J676" s="236">
        <v>6868</v>
      </c>
      <c r="K676" s="93">
        <f t="shared" si="27"/>
        <v>63679</v>
      </c>
      <c r="L676" s="52"/>
      <c r="M676" s="237">
        <v>528</v>
      </c>
      <c r="N676" s="237">
        <v>0</v>
      </c>
      <c r="O676" s="236">
        <v>0</v>
      </c>
      <c r="P676" s="93">
        <f t="shared" si="28"/>
        <v>528</v>
      </c>
      <c r="Q676" s="52"/>
      <c r="R676" s="237">
        <v>28336</v>
      </c>
      <c r="S676" s="236">
        <v>3527</v>
      </c>
      <c r="T676" s="238">
        <v>31863</v>
      </c>
    </row>
    <row r="677" spans="1:20">
      <c r="A677" s="50">
        <v>97411</v>
      </c>
      <c r="B677" s="51" t="s">
        <v>1375</v>
      </c>
      <c r="C677" s="239">
        <v>6.2385000000000001E-3</v>
      </c>
      <c r="D677" s="239">
        <v>6.6379000000000004E-3</v>
      </c>
      <c r="E677" s="221">
        <v>14799856</v>
      </c>
      <c r="F677" s="221" t="s">
        <v>1930</v>
      </c>
      <c r="G677" s="237">
        <v>2283266</v>
      </c>
      <c r="H677" s="225">
        <v>2031580</v>
      </c>
      <c r="I677" s="237">
        <v>3927310</v>
      </c>
      <c r="J677" s="236">
        <v>0</v>
      </c>
      <c r="K677" s="93">
        <f t="shared" si="27"/>
        <v>8242156</v>
      </c>
      <c r="L677" s="52"/>
      <c r="M677" s="237">
        <v>76615</v>
      </c>
      <c r="N677" s="237">
        <v>0</v>
      </c>
      <c r="O677" s="236">
        <v>667530</v>
      </c>
      <c r="P677" s="93">
        <f t="shared" si="28"/>
        <v>744145</v>
      </c>
      <c r="Q677" s="52"/>
      <c r="R677" s="237">
        <v>4111003</v>
      </c>
      <c r="S677" s="236">
        <v>-393360</v>
      </c>
      <c r="T677" s="238">
        <v>3717643</v>
      </c>
    </row>
    <row r="678" spans="1:20">
      <c r="A678" s="50">
        <v>97412</v>
      </c>
      <c r="B678" s="51" t="s">
        <v>1376</v>
      </c>
      <c r="C678" s="239">
        <v>4.6245000000000001E-3</v>
      </c>
      <c r="D678" s="239">
        <v>4.5082000000000004E-3</v>
      </c>
      <c r="E678" s="221">
        <v>10970896</v>
      </c>
      <c r="F678" s="221" t="s">
        <v>1930</v>
      </c>
      <c r="G678" s="237">
        <v>1692549</v>
      </c>
      <c r="H678" s="225">
        <v>1505978</v>
      </c>
      <c r="I678" s="237">
        <v>2911252</v>
      </c>
      <c r="J678" s="236">
        <v>233378</v>
      </c>
      <c r="K678" s="93">
        <f t="shared" si="27"/>
        <v>6343157</v>
      </c>
      <c r="L678" s="52"/>
      <c r="M678" s="237">
        <v>56793</v>
      </c>
      <c r="N678" s="237">
        <v>0</v>
      </c>
      <c r="O678" s="236">
        <v>0</v>
      </c>
      <c r="P678" s="93">
        <f t="shared" si="28"/>
        <v>56793</v>
      </c>
      <c r="Q678" s="52"/>
      <c r="R678" s="237">
        <v>3047421</v>
      </c>
      <c r="S678" s="236">
        <v>107578</v>
      </c>
      <c r="T678" s="238">
        <v>3154999</v>
      </c>
    </row>
    <row r="679" spans="1:20">
      <c r="A679" s="50">
        <v>97413</v>
      </c>
      <c r="B679" s="51" t="s">
        <v>1377</v>
      </c>
      <c r="C679" s="239">
        <v>2.7E-4</v>
      </c>
      <c r="D679" s="239">
        <v>2.6570000000000001E-4</v>
      </c>
      <c r="E679" s="221">
        <v>640532</v>
      </c>
      <c r="F679" s="221" t="s">
        <v>1930</v>
      </c>
      <c r="G679" s="237">
        <v>98819</v>
      </c>
      <c r="H679" s="225">
        <v>87926</v>
      </c>
      <c r="I679" s="237">
        <v>169973</v>
      </c>
      <c r="J679" s="236">
        <v>21390</v>
      </c>
      <c r="K679" s="93">
        <f t="shared" si="27"/>
        <v>378108</v>
      </c>
      <c r="L679" s="52"/>
      <c r="M679" s="237">
        <v>3316</v>
      </c>
      <c r="N679" s="237">
        <v>0</v>
      </c>
      <c r="O679" s="236">
        <v>439</v>
      </c>
      <c r="P679" s="93">
        <f t="shared" si="28"/>
        <v>3755</v>
      </c>
      <c r="Q679" s="52"/>
      <c r="R679" s="237">
        <v>177923</v>
      </c>
      <c r="S679" s="236">
        <v>1118</v>
      </c>
      <c r="T679" s="238">
        <v>179041</v>
      </c>
    </row>
    <row r="680" spans="1:20">
      <c r="A680" s="50">
        <v>97421</v>
      </c>
      <c r="B680" s="51" t="s">
        <v>2388</v>
      </c>
      <c r="C680" s="239">
        <v>4.4739999999999998E-4</v>
      </c>
      <c r="D680" s="239">
        <v>4.2890000000000002E-4</v>
      </c>
      <c r="E680" s="221">
        <v>1061386</v>
      </c>
      <c r="F680" s="221" t="s">
        <v>1930</v>
      </c>
      <c r="G680" s="237">
        <v>163747</v>
      </c>
      <c r="H680" s="225">
        <v>145696</v>
      </c>
      <c r="I680" s="237">
        <v>281651</v>
      </c>
      <c r="J680" s="236">
        <v>12678</v>
      </c>
      <c r="K680" s="93">
        <f t="shared" si="27"/>
        <v>603772</v>
      </c>
      <c r="L680" s="52"/>
      <c r="M680" s="237">
        <v>5495</v>
      </c>
      <c r="N680" s="237">
        <v>0</v>
      </c>
      <c r="O680" s="236">
        <v>8104</v>
      </c>
      <c r="P680" s="93">
        <f t="shared" si="28"/>
        <v>13599</v>
      </c>
      <c r="Q680" s="52"/>
      <c r="R680" s="237">
        <v>294825</v>
      </c>
      <c r="S680" s="236">
        <v>-12344</v>
      </c>
      <c r="T680" s="238">
        <v>282481</v>
      </c>
    </row>
    <row r="681" spans="1:20">
      <c r="A681" s="50">
        <v>97423</v>
      </c>
      <c r="B681" s="51" t="s">
        <v>1379</v>
      </c>
      <c r="C681" s="239">
        <v>3.93E-5</v>
      </c>
      <c r="D681" s="239">
        <v>4.3600000000000003E-5</v>
      </c>
      <c r="E681" s="222">
        <v>93233</v>
      </c>
      <c r="F681" s="222" t="s">
        <v>1930</v>
      </c>
      <c r="G681" s="237">
        <v>14384</v>
      </c>
      <c r="H681" s="225">
        <v>12798</v>
      </c>
      <c r="I681" s="237">
        <v>24740</v>
      </c>
      <c r="J681" s="236">
        <v>37150</v>
      </c>
      <c r="K681" s="93">
        <f t="shared" si="27"/>
        <v>89072</v>
      </c>
      <c r="L681" s="52"/>
      <c r="M681" s="237">
        <v>483</v>
      </c>
      <c r="N681" s="237">
        <v>0</v>
      </c>
      <c r="O681" s="236">
        <v>0</v>
      </c>
      <c r="P681" s="93">
        <f t="shared" si="28"/>
        <v>483</v>
      </c>
      <c r="Q681" s="52"/>
      <c r="R681" s="237">
        <v>25898</v>
      </c>
      <c r="S681" s="236">
        <v>15711</v>
      </c>
      <c r="T681" s="238">
        <v>41609</v>
      </c>
    </row>
    <row r="682" spans="1:20">
      <c r="A682" s="50">
        <v>97431</v>
      </c>
      <c r="B682" s="51" t="s">
        <v>2389</v>
      </c>
      <c r="C682" s="239">
        <v>1.0349999999999999E-4</v>
      </c>
      <c r="D682" s="239">
        <v>8.5599999999999994E-5</v>
      </c>
      <c r="E682" s="222">
        <v>245537</v>
      </c>
      <c r="F682" s="222" t="s">
        <v>1930</v>
      </c>
      <c r="G682" s="237">
        <v>37881</v>
      </c>
      <c r="H682" s="225">
        <v>33705</v>
      </c>
      <c r="I682" s="237">
        <v>65156</v>
      </c>
      <c r="J682" s="236">
        <v>17263</v>
      </c>
      <c r="K682" s="93">
        <f t="shared" si="27"/>
        <v>154005</v>
      </c>
      <c r="L682" s="52"/>
      <c r="M682" s="237">
        <v>1271</v>
      </c>
      <c r="N682" s="237">
        <v>0</v>
      </c>
      <c r="O682" s="236">
        <v>0</v>
      </c>
      <c r="P682" s="93">
        <f t="shared" si="28"/>
        <v>1271</v>
      </c>
      <c r="Q682" s="52"/>
      <c r="R682" s="237">
        <v>68204</v>
      </c>
      <c r="S682" s="236">
        <v>5239</v>
      </c>
      <c r="T682" s="238">
        <v>73443</v>
      </c>
    </row>
    <row r="683" spans="1:20">
      <c r="A683" s="50">
        <v>97441</v>
      </c>
      <c r="B683" s="51" t="s">
        <v>2390</v>
      </c>
      <c r="C683" s="239">
        <v>5.2899999999999998E-5</v>
      </c>
      <c r="D683" s="239">
        <v>7.5799999999999999E-5</v>
      </c>
      <c r="E683" s="222">
        <v>125497</v>
      </c>
      <c r="F683" s="222" t="s">
        <v>1930</v>
      </c>
      <c r="G683" s="237">
        <v>19361</v>
      </c>
      <c r="H683" s="225">
        <v>17227</v>
      </c>
      <c r="I683" s="237">
        <v>33302</v>
      </c>
      <c r="J683" s="236">
        <v>0</v>
      </c>
      <c r="K683" s="93">
        <f t="shared" si="27"/>
        <v>69890</v>
      </c>
      <c r="L683" s="52"/>
      <c r="M683" s="237">
        <v>650</v>
      </c>
      <c r="N683" s="237">
        <v>0</v>
      </c>
      <c r="O683" s="236">
        <v>25076</v>
      </c>
      <c r="P683" s="93">
        <f t="shared" si="28"/>
        <v>25726</v>
      </c>
      <c r="Q683" s="52"/>
      <c r="R683" s="237">
        <v>34860</v>
      </c>
      <c r="S683" s="236">
        <v>-7198</v>
      </c>
      <c r="T683" s="238">
        <v>27662</v>
      </c>
    </row>
    <row r="684" spans="1:20">
      <c r="A684" s="50">
        <v>97451</v>
      </c>
      <c r="B684" s="51" t="s">
        <v>2391</v>
      </c>
      <c r="C684" s="239">
        <v>6.3380000000000001E-4</v>
      </c>
      <c r="D684" s="239">
        <v>5.5820000000000002E-4</v>
      </c>
      <c r="E684" s="222">
        <v>1503590</v>
      </c>
      <c r="F684" s="222" t="s">
        <v>1930</v>
      </c>
      <c r="G684" s="237">
        <v>231968</v>
      </c>
      <c r="H684" s="225">
        <v>206398</v>
      </c>
      <c r="I684" s="237">
        <v>398995</v>
      </c>
      <c r="J684" s="236">
        <v>21165</v>
      </c>
      <c r="K684" s="93">
        <f t="shared" si="27"/>
        <v>858526</v>
      </c>
      <c r="L684" s="52"/>
      <c r="M684" s="237">
        <v>7784</v>
      </c>
      <c r="N684" s="237">
        <v>0</v>
      </c>
      <c r="O684" s="236">
        <v>34586</v>
      </c>
      <c r="P684" s="93">
        <f t="shared" si="28"/>
        <v>42370</v>
      </c>
      <c r="Q684" s="52"/>
      <c r="R684" s="237">
        <v>417657</v>
      </c>
      <c r="S684" s="236">
        <v>81</v>
      </c>
      <c r="T684" s="238">
        <v>417738</v>
      </c>
    </row>
    <row r="685" spans="1:20" s="334" customFormat="1">
      <c r="A685" s="336" t="s">
        <v>3516</v>
      </c>
      <c r="B685" s="337" t="s">
        <v>2392</v>
      </c>
      <c r="C685" s="332">
        <v>5.3019999999999999E-4</v>
      </c>
      <c r="D685" s="332">
        <v>5.5650000000000003E-4</v>
      </c>
      <c r="E685" s="333">
        <v>1257816</v>
      </c>
      <c r="F685" s="333" t="s">
        <v>1930</v>
      </c>
      <c r="G685" s="338">
        <v>194051</v>
      </c>
      <c r="H685" s="338">
        <v>172661</v>
      </c>
      <c r="I685" s="338">
        <v>333776</v>
      </c>
      <c r="J685" s="333">
        <v>2730</v>
      </c>
      <c r="K685" s="338">
        <f t="shared" si="27"/>
        <v>703218</v>
      </c>
      <c r="L685" s="333"/>
      <c r="M685" s="338">
        <v>6511</v>
      </c>
      <c r="N685" s="338">
        <v>0</v>
      </c>
      <c r="O685" s="333">
        <v>55903</v>
      </c>
      <c r="P685" s="338">
        <f t="shared" si="28"/>
        <v>62414</v>
      </c>
      <c r="Q685" s="333"/>
      <c r="R685" s="338">
        <v>349387</v>
      </c>
      <c r="S685" s="333">
        <v>-21034</v>
      </c>
      <c r="T685" s="339">
        <v>328353</v>
      </c>
    </row>
    <row r="686" spans="1:20" s="334" customFormat="1">
      <c r="A686" s="336" t="s">
        <v>3517</v>
      </c>
      <c r="B686" s="337" t="s">
        <v>1384</v>
      </c>
      <c r="C686" s="332">
        <v>0</v>
      </c>
      <c r="D686" s="332">
        <v>4.1100000000000003E-5</v>
      </c>
      <c r="E686" s="333">
        <v>0</v>
      </c>
      <c r="F686" s="333" t="s">
        <v>1930</v>
      </c>
      <c r="G686" s="338">
        <v>0</v>
      </c>
      <c r="H686" s="338">
        <v>0</v>
      </c>
      <c r="I686" s="338">
        <v>0</v>
      </c>
      <c r="J686" s="333">
        <v>310</v>
      </c>
      <c r="K686" s="338">
        <f t="shared" si="27"/>
        <v>310</v>
      </c>
      <c r="L686" s="333"/>
      <c r="M686" s="338">
        <v>0</v>
      </c>
      <c r="N686" s="338">
        <v>0</v>
      </c>
      <c r="O686" s="333">
        <v>31362</v>
      </c>
      <c r="P686" s="338">
        <f t="shared" si="28"/>
        <v>31362</v>
      </c>
      <c r="Q686" s="333"/>
      <c r="R686" s="338">
        <v>0</v>
      </c>
      <c r="S686" s="333">
        <v>-8061</v>
      </c>
      <c r="T686" s="339">
        <v>-8061</v>
      </c>
    </row>
    <row r="687" spans="1:20" s="230" customFormat="1">
      <c r="A687" s="231">
        <v>97461</v>
      </c>
      <c r="B687" s="232" t="s">
        <v>2392</v>
      </c>
      <c r="C687" s="239">
        <f>SUM(C685:C686)</f>
        <v>5.3019999999999999E-4</v>
      </c>
      <c r="D687" s="239">
        <f t="shared" ref="D687:T687" si="29">SUM(D685:D686)</f>
        <v>5.976E-4</v>
      </c>
      <c r="E687" s="236">
        <f t="shared" si="29"/>
        <v>1257816</v>
      </c>
      <c r="F687" s="236"/>
      <c r="G687" s="237">
        <f t="shared" si="29"/>
        <v>194051</v>
      </c>
      <c r="H687" s="225">
        <f t="shared" si="29"/>
        <v>172661</v>
      </c>
      <c r="I687" s="237">
        <f t="shared" si="29"/>
        <v>333776</v>
      </c>
      <c r="J687" s="236">
        <f t="shared" si="29"/>
        <v>3040</v>
      </c>
      <c r="K687" s="225">
        <f t="shared" si="29"/>
        <v>703528</v>
      </c>
      <c r="L687" s="236"/>
      <c r="M687" s="237">
        <f t="shared" si="29"/>
        <v>6511</v>
      </c>
      <c r="N687" s="237">
        <f t="shared" si="29"/>
        <v>0</v>
      </c>
      <c r="O687" s="236">
        <f t="shared" si="29"/>
        <v>87265</v>
      </c>
      <c r="P687" s="225">
        <f t="shared" si="29"/>
        <v>93776</v>
      </c>
      <c r="Q687" s="236"/>
      <c r="R687" s="237">
        <f t="shared" si="29"/>
        <v>349387</v>
      </c>
      <c r="S687" s="236">
        <f t="shared" si="29"/>
        <v>-29095</v>
      </c>
      <c r="T687" s="238">
        <f t="shared" si="29"/>
        <v>320292</v>
      </c>
    </row>
    <row r="688" spans="1:20">
      <c r="A688" s="50">
        <v>97471</v>
      </c>
      <c r="B688" s="51" t="s">
        <v>2393</v>
      </c>
      <c r="C688" s="239">
        <v>1.66E-5</v>
      </c>
      <c r="D688" s="239">
        <v>1.22E-5</v>
      </c>
      <c r="E688" s="222">
        <v>39381</v>
      </c>
      <c r="F688" s="222" t="s">
        <v>1930</v>
      </c>
      <c r="G688" s="237">
        <v>6076</v>
      </c>
      <c r="H688" s="225">
        <v>5406</v>
      </c>
      <c r="I688" s="237">
        <v>10450</v>
      </c>
      <c r="J688" s="236">
        <v>10650</v>
      </c>
      <c r="K688" s="93">
        <f t="shared" si="27"/>
        <v>32582</v>
      </c>
      <c r="L688" s="52"/>
      <c r="M688" s="237">
        <v>204</v>
      </c>
      <c r="N688" s="237">
        <v>0</v>
      </c>
      <c r="O688" s="236">
        <v>0</v>
      </c>
      <c r="P688" s="93">
        <f t="shared" si="28"/>
        <v>204</v>
      </c>
      <c r="Q688" s="52"/>
      <c r="R688" s="237">
        <v>10939</v>
      </c>
      <c r="S688" s="236">
        <v>4239</v>
      </c>
      <c r="T688" s="238">
        <v>15178</v>
      </c>
    </row>
    <row r="689" spans="1:20">
      <c r="A689" s="50">
        <v>97481</v>
      </c>
      <c r="B689" s="51" t="s">
        <v>2490</v>
      </c>
      <c r="C689" s="239">
        <v>1.26E-5</v>
      </c>
      <c r="D689" s="239">
        <v>9.9000000000000001E-6</v>
      </c>
      <c r="E689" s="222">
        <v>29892</v>
      </c>
      <c r="F689" s="222" t="s">
        <v>1930</v>
      </c>
      <c r="G689" s="237">
        <v>4612</v>
      </c>
      <c r="H689" s="225">
        <v>4103</v>
      </c>
      <c r="I689" s="237">
        <v>7932</v>
      </c>
      <c r="J689" s="236">
        <v>1760</v>
      </c>
      <c r="K689" s="93">
        <f t="shared" si="27"/>
        <v>18407</v>
      </c>
      <c r="L689" s="52"/>
      <c r="M689" s="237">
        <v>155</v>
      </c>
      <c r="N689" s="237">
        <v>0</v>
      </c>
      <c r="O689" s="236">
        <v>2336</v>
      </c>
      <c r="P689" s="93">
        <f t="shared" si="28"/>
        <v>2491</v>
      </c>
      <c r="Q689" s="52"/>
      <c r="R689" s="237">
        <v>8303</v>
      </c>
      <c r="S689" s="236">
        <v>1709</v>
      </c>
      <c r="T689" s="238">
        <v>10012</v>
      </c>
    </row>
    <row r="690" spans="1:20">
      <c r="A690" s="50">
        <v>97491</v>
      </c>
      <c r="B690" s="51" t="s">
        <v>2394</v>
      </c>
      <c r="C690" s="239">
        <v>0</v>
      </c>
      <c r="D690" s="239">
        <v>0</v>
      </c>
      <c r="E690" s="222">
        <v>0</v>
      </c>
      <c r="F690" s="222" t="s">
        <v>1930</v>
      </c>
      <c r="G690" s="237">
        <v>0</v>
      </c>
      <c r="H690" s="225">
        <v>0</v>
      </c>
      <c r="I690" s="237">
        <v>0</v>
      </c>
      <c r="J690" s="236">
        <v>0</v>
      </c>
      <c r="K690" s="93">
        <f t="shared" si="27"/>
        <v>0</v>
      </c>
      <c r="L690" s="52"/>
      <c r="M690" s="237">
        <v>0</v>
      </c>
      <c r="N690" s="237">
        <v>0</v>
      </c>
      <c r="O690" s="236">
        <v>2921</v>
      </c>
      <c r="P690" s="93">
        <f t="shared" si="28"/>
        <v>2921</v>
      </c>
      <c r="Q690" s="52"/>
      <c r="R690" s="237">
        <v>0</v>
      </c>
      <c r="S690" s="236">
        <v>-4927</v>
      </c>
      <c r="T690" s="238">
        <v>-4927</v>
      </c>
    </row>
    <row r="691" spans="1:20">
      <c r="A691" s="50">
        <v>97501</v>
      </c>
      <c r="B691" s="51" t="s">
        <v>1388</v>
      </c>
      <c r="C691" s="239">
        <v>1.0767999999999999E-3</v>
      </c>
      <c r="D691" s="239">
        <v>1.1000999999999999E-3</v>
      </c>
      <c r="E691" s="222">
        <v>2554538</v>
      </c>
      <c r="F691" s="222" t="s">
        <v>1930</v>
      </c>
      <c r="G691" s="237">
        <v>394104</v>
      </c>
      <c r="H691" s="225">
        <v>350662</v>
      </c>
      <c r="I691" s="237">
        <v>677876</v>
      </c>
      <c r="J691" s="236">
        <v>80569</v>
      </c>
      <c r="K691" s="93">
        <f t="shared" si="27"/>
        <v>1503211</v>
      </c>
      <c r="L691" s="52"/>
      <c r="M691" s="237">
        <v>13224</v>
      </c>
      <c r="N691" s="237">
        <v>0</v>
      </c>
      <c r="O691" s="236">
        <v>3282</v>
      </c>
      <c r="P691" s="93">
        <f t="shared" si="28"/>
        <v>16506</v>
      </c>
      <c r="Q691" s="52"/>
      <c r="R691" s="237">
        <v>709582</v>
      </c>
      <c r="S691" s="236">
        <v>43661</v>
      </c>
      <c r="T691" s="238">
        <v>753243</v>
      </c>
    </row>
    <row r="692" spans="1:20">
      <c r="A692" s="50">
        <v>97511</v>
      </c>
      <c r="B692" s="51" t="s">
        <v>2395</v>
      </c>
      <c r="C692" s="239">
        <v>1.8090000000000001E-4</v>
      </c>
      <c r="D692" s="239">
        <v>2.3450000000000001E-4</v>
      </c>
      <c r="E692" s="222">
        <v>429157</v>
      </c>
      <c r="F692" s="222" t="s">
        <v>1930</v>
      </c>
      <c r="G692" s="237">
        <v>66209</v>
      </c>
      <c r="H692" s="225">
        <v>58911</v>
      </c>
      <c r="I692" s="237">
        <v>113882</v>
      </c>
      <c r="J692" s="236">
        <v>8581</v>
      </c>
      <c r="K692" s="93">
        <f t="shared" si="27"/>
        <v>247583</v>
      </c>
      <c r="L692" s="52"/>
      <c r="M692" s="237">
        <v>2222</v>
      </c>
      <c r="N692" s="237">
        <v>0</v>
      </c>
      <c r="O692" s="236">
        <v>27881</v>
      </c>
      <c r="P692" s="93">
        <f t="shared" si="28"/>
        <v>30103</v>
      </c>
      <c r="Q692" s="52"/>
      <c r="R692" s="237">
        <v>119208</v>
      </c>
      <c r="S692" s="236">
        <v>-3085</v>
      </c>
      <c r="T692" s="238">
        <v>116123</v>
      </c>
    </row>
    <row r="693" spans="1:20">
      <c r="A693" s="50">
        <v>97521</v>
      </c>
      <c r="B693" s="51" t="s">
        <v>2396</v>
      </c>
      <c r="C693" s="239">
        <v>1.2640000000000001E-4</v>
      </c>
      <c r="D693" s="239">
        <v>1.2870000000000001E-4</v>
      </c>
      <c r="E693" s="222">
        <v>299864</v>
      </c>
      <c r="F693" s="222" t="s">
        <v>1930</v>
      </c>
      <c r="G693" s="237">
        <v>46262</v>
      </c>
      <c r="H693" s="225">
        <v>41162</v>
      </c>
      <c r="I693" s="237">
        <v>79572</v>
      </c>
      <c r="J693" s="236">
        <v>0</v>
      </c>
      <c r="K693" s="93">
        <f t="shared" si="27"/>
        <v>166996</v>
      </c>
      <c r="L693" s="52"/>
      <c r="M693" s="237">
        <v>1552</v>
      </c>
      <c r="N693" s="237">
        <v>0</v>
      </c>
      <c r="O693" s="236">
        <v>13218</v>
      </c>
      <c r="P693" s="93">
        <f t="shared" si="28"/>
        <v>14770</v>
      </c>
      <c r="Q693" s="52"/>
      <c r="R693" s="237">
        <v>83294</v>
      </c>
      <c r="S693" s="236">
        <v>-4767</v>
      </c>
      <c r="T693" s="238">
        <v>78527</v>
      </c>
    </row>
    <row r="694" spans="1:20" s="185" customFormat="1">
      <c r="A694" s="183">
        <v>97527</v>
      </c>
      <c r="B694" s="184" t="s">
        <v>1641</v>
      </c>
      <c r="C694" s="239">
        <v>1.3999999999999999E-6</v>
      </c>
      <c r="D694" s="239">
        <v>0</v>
      </c>
      <c r="E694" s="222">
        <v>3321</v>
      </c>
      <c r="F694" s="222" t="s">
        <v>1930</v>
      </c>
      <c r="G694" s="237">
        <v>512</v>
      </c>
      <c r="H694" s="225">
        <v>456</v>
      </c>
      <c r="I694" s="237">
        <v>881</v>
      </c>
      <c r="J694" s="236">
        <v>3462</v>
      </c>
      <c r="K694" s="93">
        <f t="shared" si="27"/>
        <v>5311</v>
      </c>
      <c r="L694" s="182"/>
      <c r="M694" s="237">
        <v>17</v>
      </c>
      <c r="N694" s="237">
        <v>0</v>
      </c>
      <c r="O694" s="236">
        <v>0</v>
      </c>
      <c r="P694" s="93">
        <f t="shared" si="28"/>
        <v>17</v>
      </c>
      <c r="Q694" s="182"/>
      <c r="R694" s="237">
        <v>923</v>
      </c>
      <c r="S694" s="236">
        <v>866</v>
      </c>
      <c r="T694" s="238">
        <v>1789</v>
      </c>
    </row>
    <row r="695" spans="1:20">
      <c r="A695" s="50">
        <v>97531</v>
      </c>
      <c r="B695" s="51" t="s">
        <v>1391</v>
      </c>
      <c r="C695" s="239">
        <v>5.2800000000000003E-5</v>
      </c>
      <c r="D695" s="239">
        <v>4.32E-5</v>
      </c>
      <c r="E695" s="222">
        <v>125260</v>
      </c>
      <c r="F695" s="222" t="s">
        <v>1930</v>
      </c>
      <c r="G695" s="237">
        <v>19325</v>
      </c>
      <c r="H695" s="225">
        <v>17194</v>
      </c>
      <c r="I695" s="237">
        <v>33239</v>
      </c>
      <c r="J695" s="236">
        <v>18303</v>
      </c>
      <c r="K695" s="93">
        <f t="shared" si="27"/>
        <v>88061</v>
      </c>
      <c r="L695" s="52"/>
      <c r="M695" s="237">
        <v>648</v>
      </c>
      <c r="N695" s="237">
        <v>0</v>
      </c>
      <c r="O695" s="236">
        <v>3521</v>
      </c>
      <c r="P695" s="93">
        <f t="shared" si="28"/>
        <v>4169</v>
      </c>
      <c r="Q695" s="52"/>
      <c r="R695" s="237">
        <v>34794</v>
      </c>
      <c r="S695" s="236">
        <v>42</v>
      </c>
      <c r="T695" s="238">
        <v>34836</v>
      </c>
    </row>
    <row r="696" spans="1:20">
      <c r="A696" s="50">
        <v>97601</v>
      </c>
      <c r="B696" s="51" t="s">
        <v>1392</v>
      </c>
      <c r="C696" s="239">
        <v>5.2467E-3</v>
      </c>
      <c r="D696" s="239">
        <v>5.1672000000000003E-3</v>
      </c>
      <c r="E696" s="222">
        <v>12446967</v>
      </c>
      <c r="F696" s="222" t="s">
        <v>1930</v>
      </c>
      <c r="G696" s="237">
        <v>1920271</v>
      </c>
      <c r="H696" s="225">
        <v>1708599</v>
      </c>
      <c r="I696" s="237">
        <v>3302945</v>
      </c>
      <c r="J696" s="236">
        <v>143195</v>
      </c>
      <c r="K696" s="93">
        <f t="shared" si="27"/>
        <v>7075010</v>
      </c>
      <c r="L696" s="52"/>
      <c r="M696" s="237">
        <v>64435</v>
      </c>
      <c r="N696" s="237">
        <v>0</v>
      </c>
      <c r="O696" s="236">
        <v>56258</v>
      </c>
      <c r="P696" s="93">
        <f t="shared" si="28"/>
        <v>120693</v>
      </c>
      <c r="Q696" s="52"/>
      <c r="R696" s="237">
        <v>3457434</v>
      </c>
      <c r="S696" s="236">
        <v>-900</v>
      </c>
      <c r="T696" s="238">
        <v>3456534</v>
      </c>
    </row>
    <row r="697" spans="1:20">
      <c r="A697" s="50">
        <v>97607</v>
      </c>
      <c r="B697" s="51" t="s">
        <v>1393</v>
      </c>
      <c r="C697" s="239">
        <v>2.23E-5</v>
      </c>
      <c r="D697" s="239">
        <v>2.3200000000000001E-5</v>
      </c>
      <c r="E697" s="222">
        <v>52903</v>
      </c>
      <c r="F697" s="222" t="s">
        <v>1930</v>
      </c>
      <c r="G697" s="237">
        <v>8162</v>
      </c>
      <c r="H697" s="225">
        <v>7262</v>
      </c>
      <c r="I697" s="237">
        <v>14038</v>
      </c>
      <c r="J697" s="236">
        <v>13674</v>
      </c>
      <c r="K697" s="93">
        <f t="shared" si="27"/>
        <v>43136</v>
      </c>
      <c r="L697" s="52"/>
      <c r="M697" s="237">
        <v>274</v>
      </c>
      <c r="N697" s="237">
        <v>0</v>
      </c>
      <c r="O697" s="236">
        <v>0</v>
      </c>
      <c r="P697" s="93">
        <f t="shared" si="28"/>
        <v>274</v>
      </c>
      <c r="Q697" s="52"/>
      <c r="R697" s="237">
        <v>14695</v>
      </c>
      <c r="S697" s="236">
        <v>6841</v>
      </c>
      <c r="T697" s="238">
        <v>21536</v>
      </c>
    </row>
    <row r="698" spans="1:20">
      <c r="A698" s="50">
        <v>97611</v>
      </c>
      <c r="B698" s="51" t="s">
        <v>1394</v>
      </c>
      <c r="C698" s="239">
        <v>2.3620999999999998E-3</v>
      </c>
      <c r="D698" s="239">
        <v>2.4767999999999999E-3</v>
      </c>
      <c r="E698" s="222">
        <v>5603709</v>
      </c>
      <c r="F698" s="222" t="s">
        <v>1930</v>
      </c>
      <c r="G698" s="237">
        <v>864519</v>
      </c>
      <c r="H698" s="225">
        <v>769222</v>
      </c>
      <c r="I698" s="237">
        <v>1487008</v>
      </c>
      <c r="J698" s="236">
        <v>0</v>
      </c>
      <c r="K698" s="93">
        <f t="shared" si="27"/>
        <v>3120749</v>
      </c>
      <c r="L698" s="52"/>
      <c r="M698" s="237">
        <v>29009</v>
      </c>
      <c r="N698" s="237">
        <v>0</v>
      </c>
      <c r="O698" s="236">
        <v>262473</v>
      </c>
      <c r="P698" s="93">
        <f t="shared" si="28"/>
        <v>291482</v>
      </c>
      <c r="Q698" s="52"/>
      <c r="R698" s="237">
        <v>1556560</v>
      </c>
      <c r="S698" s="236">
        <v>-141266</v>
      </c>
      <c r="T698" s="238">
        <v>1415294</v>
      </c>
    </row>
    <row r="699" spans="1:20">
      <c r="A699" s="50">
        <v>97613</v>
      </c>
      <c r="B699" s="51" t="s">
        <v>2753</v>
      </c>
      <c r="C699" s="239">
        <v>1.155E-4</v>
      </c>
      <c r="D699" s="239">
        <v>1.1629999999999999E-4</v>
      </c>
      <c r="E699" s="222">
        <v>274006</v>
      </c>
      <c r="F699" s="222" t="s">
        <v>1930</v>
      </c>
      <c r="G699" s="237">
        <v>42273</v>
      </c>
      <c r="H699" s="225">
        <v>37613</v>
      </c>
      <c r="I699" s="237">
        <v>72710</v>
      </c>
      <c r="J699" s="236">
        <v>7279</v>
      </c>
      <c r="K699" s="93">
        <f t="shared" si="27"/>
        <v>159875</v>
      </c>
      <c r="L699" s="52"/>
      <c r="M699" s="237">
        <v>1418</v>
      </c>
      <c r="N699" s="237">
        <v>0</v>
      </c>
      <c r="O699" s="236">
        <v>1649</v>
      </c>
      <c r="P699" s="93">
        <f t="shared" si="28"/>
        <v>3067</v>
      </c>
      <c r="Q699" s="52"/>
      <c r="R699" s="237">
        <v>76111</v>
      </c>
      <c r="S699" s="236">
        <v>633</v>
      </c>
      <c r="T699" s="238">
        <v>76744</v>
      </c>
    </row>
    <row r="700" spans="1:20">
      <c r="A700" s="50">
        <v>97621</v>
      </c>
      <c r="B700" s="51" t="s">
        <v>1396</v>
      </c>
      <c r="C700" s="239">
        <v>4.4650000000000001E-4</v>
      </c>
      <c r="D700" s="239">
        <v>4.5179999999999998E-4</v>
      </c>
      <c r="E700" s="222">
        <v>1059251</v>
      </c>
      <c r="F700" s="222" t="s">
        <v>1930</v>
      </c>
      <c r="G700" s="237">
        <v>163417</v>
      </c>
      <c r="H700" s="225">
        <v>145404</v>
      </c>
      <c r="I700" s="237">
        <v>281084</v>
      </c>
      <c r="J700" s="236">
        <v>7112</v>
      </c>
      <c r="K700" s="93">
        <f t="shared" si="27"/>
        <v>597017</v>
      </c>
      <c r="L700" s="52"/>
      <c r="M700" s="237">
        <v>5483</v>
      </c>
      <c r="N700" s="237">
        <v>0</v>
      </c>
      <c r="O700" s="236">
        <v>77672</v>
      </c>
      <c r="P700" s="93">
        <f t="shared" si="28"/>
        <v>83155</v>
      </c>
      <c r="Q700" s="52"/>
      <c r="R700" s="237">
        <v>294231</v>
      </c>
      <c r="S700" s="236">
        <v>-19086</v>
      </c>
      <c r="T700" s="238">
        <v>275145</v>
      </c>
    </row>
    <row r="701" spans="1:20">
      <c r="A701" s="50">
        <v>97623</v>
      </c>
      <c r="B701" s="51" t="s">
        <v>1397</v>
      </c>
      <c r="C701" s="239">
        <v>2.4000000000000001E-5</v>
      </c>
      <c r="D701" s="239">
        <v>2.9499999999999999E-5</v>
      </c>
      <c r="E701" s="222">
        <v>56936</v>
      </c>
      <c r="F701" s="222" t="s">
        <v>1930</v>
      </c>
      <c r="G701" s="237">
        <v>8784</v>
      </c>
      <c r="H701" s="225">
        <v>7815</v>
      </c>
      <c r="I701" s="237">
        <v>15109</v>
      </c>
      <c r="J701" s="236">
        <v>2822</v>
      </c>
      <c r="K701" s="93">
        <f t="shared" si="27"/>
        <v>34530</v>
      </c>
      <c r="L701" s="52"/>
      <c r="M701" s="237">
        <v>295</v>
      </c>
      <c r="N701" s="237">
        <v>0</v>
      </c>
      <c r="O701" s="236">
        <v>5509</v>
      </c>
      <c r="P701" s="93">
        <f t="shared" si="28"/>
        <v>5804</v>
      </c>
      <c r="Q701" s="52"/>
      <c r="R701" s="237">
        <v>15815</v>
      </c>
      <c r="S701" s="236">
        <v>2196</v>
      </c>
      <c r="T701" s="238">
        <v>18011</v>
      </c>
    </row>
    <row r="702" spans="1:20">
      <c r="A702" s="50">
        <v>97627</v>
      </c>
      <c r="B702" s="51" t="s">
        <v>1398</v>
      </c>
      <c r="C702" s="239">
        <v>9.5000000000000005E-6</v>
      </c>
      <c r="D702" s="239">
        <v>9.7000000000000003E-6</v>
      </c>
      <c r="E702" s="222">
        <v>22537</v>
      </c>
      <c r="F702" s="222" t="s">
        <v>1930</v>
      </c>
      <c r="G702" s="237">
        <v>3477</v>
      </c>
      <c r="H702" s="225">
        <v>3094</v>
      </c>
      <c r="I702" s="237">
        <v>5981</v>
      </c>
      <c r="J702" s="236">
        <v>860</v>
      </c>
      <c r="K702" s="93">
        <f t="shared" si="27"/>
        <v>13412</v>
      </c>
      <c r="L702" s="52"/>
      <c r="M702" s="237">
        <v>117</v>
      </c>
      <c r="N702" s="237">
        <v>0</v>
      </c>
      <c r="O702" s="236">
        <v>455</v>
      </c>
      <c r="P702" s="93">
        <f t="shared" si="28"/>
        <v>572</v>
      </c>
      <c r="Q702" s="52"/>
      <c r="R702" s="237">
        <v>6260</v>
      </c>
      <c r="S702" s="236">
        <v>-64</v>
      </c>
      <c r="T702" s="238">
        <v>6196</v>
      </c>
    </row>
    <row r="703" spans="1:20">
      <c r="A703" s="50">
        <v>97631</v>
      </c>
      <c r="B703" s="51" t="s">
        <v>2397</v>
      </c>
      <c r="C703" s="239">
        <v>2.0909999999999999E-4</v>
      </c>
      <c r="D703" s="239">
        <v>2.051E-4</v>
      </c>
      <c r="E703" s="222">
        <v>496057</v>
      </c>
      <c r="F703" s="222" t="s">
        <v>1930</v>
      </c>
      <c r="G703" s="237">
        <v>76530</v>
      </c>
      <c r="H703" s="225">
        <v>68094</v>
      </c>
      <c r="I703" s="237">
        <v>131634</v>
      </c>
      <c r="J703" s="236">
        <v>3847</v>
      </c>
      <c r="K703" s="93">
        <f t="shared" si="27"/>
        <v>280105</v>
      </c>
      <c r="L703" s="52"/>
      <c r="M703" s="237">
        <v>2568</v>
      </c>
      <c r="N703" s="237">
        <v>0</v>
      </c>
      <c r="O703" s="236">
        <v>7878</v>
      </c>
      <c r="P703" s="93">
        <f t="shared" si="28"/>
        <v>10446</v>
      </c>
      <c r="Q703" s="52"/>
      <c r="R703" s="237">
        <v>137791</v>
      </c>
      <c r="S703" s="236">
        <v>3264</v>
      </c>
      <c r="T703" s="238">
        <v>141055</v>
      </c>
    </row>
    <row r="704" spans="1:20">
      <c r="A704" s="50">
        <v>97637</v>
      </c>
      <c r="B704" s="51" t="s">
        <v>1400</v>
      </c>
      <c r="C704" s="239">
        <v>3.7000000000000002E-6</v>
      </c>
      <c r="D704" s="239">
        <v>4.3000000000000003E-6</v>
      </c>
      <c r="E704" s="222">
        <v>8778</v>
      </c>
      <c r="F704" s="222" t="s">
        <v>1930</v>
      </c>
      <c r="G704" s="237">
        <v>1354</v>
      </c>
      <c r="H704" s="225">
        <v>1205</v>
      </c>
      <c r="I704" s="237">
        <v>2329</v>
      </c>
      <c r="J704" s="236">
        <v>1324</v>
      </c>
      <c r="K704" s="93">
        <f t="shared" si="27"/>
        <v>6212</v>
      </c>
      <c r="L704" s="52"/>
      <c r="M704" s="237">
        <v>45</v>
      </c>
      <c r="N704" s="237">
        <v>0</v>
      </c>
      <c r="O704" s="236">
        <v>20</v>
      </c>
      <c r="P704" s="93">
        <f t="shared" si="28"/>
        <v>65</v>
      </c>
      <c r="Q704" s="52"/>
      <c r="R704" s="237">
        <v>2438</v>
      </c>
      <c r="S704" s="236">
        <v>571</v>
      </c>
      <c r="T704" s="238">
        <v>3009</v>
      </c>
    </row>
    <row r="705" spans="1:20">
      <c r="A705" s="50">
        <v>97641</v>
      </c>
      <c r="B705" s="51" t="s">
        <v>2398</v>
      </c>
      <c r="C705" s="239">
        <v>5.1400000000000003E-5</v>
      </c>
      <c r="D705" s="239">
        <v>6.8899999999999994E-5</v>
      </c>
      <c r="E705" s="222">
        <v>121938</v>
      </c>
      <c r="F705" s="222" t="s">
        <v>1930</v>
      </c>
      <c r="G705" s="237">
        <v>18812</v>
      </c>
      <c r="H705" s="225">
        <v>16739</v>
      </c>
      <c r="I705" s="237">
        <v>32358</v>
      </c>
      <c r="J705" s="236">
        <v>8101</v>
      </c>
      <c r="K705" s="93">
        <f t="shared" si="27"/>
        <v>76010</v>
      </c>
      <c r="L705" s="52"/>
      <c r="M705" s="237">
        <v>631</v>
      </c>
      <c r="N705" s="237">
        <v>0</v>
      </c>
      <c r="O705" s="236">
        <v>8286</v>
      </c>
      <c r="P705" s="93">
        <f t="shared" si="28"/>
        <v>8917</v>
      </c>
      <c r="Q705" s="52"/>
      <c r="R705" s="237">
        <v>33871</v>
      </c>
      <c r="S705" s="236">
        <v>0</v>
      </c>
      <c r="T705" s="238">
        <v>33871</v>
      </c>
    </row>
    <row r="706" spans="1:20">
      <c r="A706" s="50">
        <v>97651</v>
      </c>
      <c r="B706" s="51" t="s">
        <v>1402</v>
      </c>
      <c r="C706" s="239">
        <v>5.1929999999999999E-4</v>
      </c>
      <c r="D706" s="239">
        <v>5.1979999999999995E-4</v>
      </c>
      <c r="E706" s="222">
        <v>1231957</v>
      </c>
      <c r="F706" s="222" t="s">
        <v>1930</v>
      </c>
      <c r="G706" s="237">
        <v>190062</v>
      </c>
      <c r="H706" s="225">
        <v>169112</v>
      </c>
      <c r="I706" s="237">
        <v>326914</v>
      </c>
      <c r="J706" s="236">
        <v>1180</v>
      </c>
      <c r="K706" s="93">
        <f t="shared" si="27"/>
        <v>687268</v>
      </c>
      <c r="L706" s="52"/>
      <c r="M706" s="237">
        <v>6378</v>
      </c>
      <c r="N706" s="237">
        <v>0</v>
      </c>
      <c r="O706" s="236">
        <v>40115</v>
      </c>
      <c r="P706" s="93">
        <f t="shared" si="28"/>
        <v>46493</v>
      </c>
      <c r="Q706" s="52"/>
      <c r="R706" s="237">
        <v>342205</v>
      </c>
      <c r="S706" s="236">
        <v>-23900</v>
      </c>
      <c r="T706" s="238">
        <v>318305</v>
      </c>
    </row>
    <row r="707" spans="1:20">
      <c r="A707" s="50">
        <v>97661</v>
      </c>
      <c r="B707" s="51" t="s">
        <v>1403</v>
      </c>
      <c r="C707" s="239">
        <v>4.3999999999999999E-5</v>
      </c>
      <c r="D707" s="239">
        <v>5.1600000000000001E-5</v>
      </c>
      <c r="E707" s="222">
        <v>104383</v>
      </c>
      <c r="F707" s="222" t="s">
        <v>1930</v>
      </c>
      <c r="G707" s="237">
        <v>16104</v>
      </c>
      <c r="H707" s="225">
        <v>14329</v>
      </c>
      <c r="I707" s="237">
        <v>27699</v>
      </c>
      <c r="J707" s="236">
        <v>7695</v>
      </c>
      <c r="K707" s="93">
        <f t="shared" si="27"/>
        <v>65827</v>
      </c>
      <c r="L707" s="52"/>
      <c r="M707" s="237">
        <v>540</v>
      </c>
      <c r="N707" s="237">
        <v>0</v>
      </c>
      <c r="O707" s="236">
        <v>2802</v>
      </c>
      <c r="P707" s="93">
        <f t="shared" si="28"/>
        <v>3342</v>
      </c>
      <c r="Q707" s="52"/>
      <c r="R707" s="237">
        <v>28995</v>
      </c>
      <c r="S707" s="236">
        <v>4350</v>
      </c>
      <c r="T707" s="238">
        <v>33345</v>
      </c>
    </row>
    <row r="708" spans="1:20">
      <c r="A708" s="50">
        <v>97701</v>
      </c>
      <c r="B708" s="51" t="s">
        <v>1404</v>
      </c>
      <c r="C708" s="239">
        <v>2.5590000000000001E-3</v>
      </c>
      <c r="D708" s="239">
        <v>2.4975000000000002E-3</v>
      </c>
      <c r="E708" s="222">
        <v>6070823</v>
      </c>
      <c r="F708" s="222" t="s">
        <v>1930</v>
      </c>
      <c r="G708" s="237">
        <v>936584</v>
      </c>
      <c r="H708" s="225">
        <v>833344</v>
      </c>
      <c r="I708" s="237">
        <v>1610962</v>
      </c>
      <c r="J708" s="236">
        <v>51260</v>
      </c>
      <c r="K708" s="93">
        <f t="shared" si="27"/>
        <v>3432150</v>
      </c>
      <c r="L708" s="52"/>
      <c r="M708" s="237">
        <v>31427</v>
      </c>
      <c r="N708" s="237">
        <v>0</v>
      </c>
      <c r="O708" s="236">
        <v>0</v>
      </c>
      <c r="P708" s="93">
        <f t="shared" si="28"/>
        <v>31427</v>
      </c>
      <c r="Q708" s="52"/>
      <c r="R708" s="237">
        <v>1686312</v>
      </c>
      <c r="S708" s="236">
        <v>10250</v>
      </c>
      <c r="T708" s="238">
        <v>1696562</v>
      </c>
    </row>
    <row r="709" spans="1:20">
      <c r="A709" s="50">
        <v>97705</v>
      </c>
      <c r="B709" s="51" t="s">
        <v>1405</v>
      </c>
      <c r="C709" s="239">
        <v>4.5500000000000001E-5</v>
      </c>
      <c r="D709" s="239">
        <v>4.7700000000000001E-5</v>
      </c>
      <c r="E709" s="222">
        <v>107942</v>
      </c>
      <c r="F709" s="222" t="s">
        <v>1930</v>
      </c>
      <c r="G709" s="237">
        <v>16653</v>
      </c>
      <c r="H709" s="225">
        <v>14818</v>
      </c>
      <c r="I709" s="237">
        <v>28644</v>
      </c>
      <c r="J709" s="236">
        <v>1548</v>
      </c>
      <c r="K709" s="93">
        <f t="shared" si="27"/>
        <v>61663</v>
      </c>
      <c r="L709" s="52"/>
      <c r="M709" s="237">
        <v>559</v>
      </c>
      <c r="N709" s="237">
        <v>0</v>
      </c>
      <c r="O709" s="236">
        <v>9592</v>
      </c>
      <c r="P709" s="93">
        <f t="shared" si="28"/>
        <v>10151</v>
      </c>
      <c r="Q709" s="52"/>
      <c r="R709" s="237">
        <v>29983</v>
      </c>
      <c r="S709" s="236">
        <v>-54</v>
      </c>
      <c r="T709" s="238">
        <v>29929</v>
      </c>
    </row>
    <row r="710" spans="1:20">
      <c r="A710" s="50">
        <v>97711</v>
      </c>
      <c r="B710" s="51" t="s">
        <v>1406</v>
      </c>
      <c r="C710" s="239">
        <v>9.1239999999999995E-4</v>
      </c>
      <c r="D710" s="239">
        <v>9.0879999999999997E-4</v>
      </c>
      <c r="E710" s="222">
        <v>2164525</v>
      </c>
      <c r="F710" s="222" t="s">
        <v>1930</v>
      </c>
      <c r="G710" s="237">
        <v>333935</v>
      </c>
      <c r="H710" s="225">
        <v>297125</v>
      </c>
      <c r="I710" s="237">
        <v>574381</v>
      </c>
      <c r="J710" s="236">
        <v>12495</v>
      </c>
      <c r="K710" s="93">
        <f t="shared" si="27"/>
        <v>1217936</v>
      </c>
      <c r="L710" s="52"/>
      <c r="M710" s="237">
        <v>11205</v>
      </c>
      <c r="N710" s="237">
        <v>0</v>
      </c>
      <c r="O710" s="236">
        <v>22125</v>
      </c>
      <c r="P710" s="93">
        <f t="shared" si="28"/>
        <v>33330</v>
      </c>
      <c r="Q710" s="52"/>
      <c r="R710" s="237">
        <v>601247</v>
      </c>
      <c r="S710" s="236">
        <v>1420</v>
      </c>
      <c r="T710" s="238">
        <v>602667</v>
      </c>
    </row>
    <row r="711" spans="1:20">
      <c r="A711" s="50">
        <v>97713</v>
      </c>
      <c r="B711" s="51" t="s">
        <v>1407</v>
      </c>
      <c r="C711" s="239">
        <v>5.0500000000000001E-5</v>
      </c>
      <c r="D711" s="239">
        <v>4.1199999999999999E-5</v>
      </c>
      <c r="E711" s="222">
        <v>119803</v>
      </c>
      <c r="F711" s="222" t="s">
        <v>1930</v>
      </c>
      <c r="G711" s="237">
        <v>18483</v>
      </c>
      <c r="H711" s="225">
        <v>16445</v>
      </c>
      <c r="I711" s="237">
        <v>31791</v>
      </c>
      <c r="J711" s="236">
        <v>4434</v>
      </c>
      <c r="K711" s="93">
        <f t="shared" si="27"/>
        <v>71153</v>
      </c>
      <c r="L711" s="52"/>
      <c r="M711" s="237">
        <v>620</v>
      </c>
      <c r="N711" s="237">
        <v>0</v>
      </c>
      <c r="O711" s="236">
        <v>11193</v>
      </c>
      <c r="P711" s="93">
        <f t="shared" si="28"/>
        <v>11813</v>
      </c>
      <c r="Q711" s="52"/>
      <c r="R711" s="237">
        <v>33278</v>
      </c>
      <c r="S711" s="236">
        <v>-3702</v>
      </c>
      <c r="T711" s="238">
        <v>29576</v>
      </c>
    </row>
    <row r="712" spans="1:20">
      <c r="A712" s="50">
        <v>97717</v>
      </c>
      <c r="B712" s="51" t="s">
        <v>1408</v>
      </c>
      <c r="C712" s="239">
        <v>5.3000000000000001E-6</v>
      </c>
      <c r="D712" s="239">
        <v>4.6999999999999999E-6</v>
      </c>
      <c r="E712" s="222">
        <v>12573</v>
      </c>
      <c r="F712" s="222" t="s">
        <v>1930</v>
      </c>
      <c r="G712" s="237">
        <v>1940</v>
      </c>
      <c r="H712" s="225">
        <v>1726</v>
      </c>
      <c r="I712" s="237">
        <v>3336</v>
      </c>
      <c r="J712" s="236">
        <v>1033</v>
      </c>
      <c r="K712" s="93">
        <f t="shared" si="27"/>
        <v>8035</v>
      </c>
      <c r="L712" s="52"/>
      <c r="M712" s="237">
        <v>65</v>
      </c>
      <c r="N712" s="237">
        <v>0</v>
      </c>
      <c r="O712" s="236">
        <v>1481</v>
      </c>
      <c r="P712" s="93">
        <f t="shared" si="28"/>
        <v>1546</v>
      </c>
      <c r="Q712" s="52"/>
      <c r="R712" s="237">
        <v>3493</v>
      </c>
      <c r="S712" s="236">
        <v>-1455</v>
      </c>
      <c r="T712" s="238">
        <v>2038</v>
      </c>
    </row>
    <row r="713" spans="1:20">
      <c r="A713" s="50">
        <v>97721</v>
      </c>
      <c r="B713" s="51" t="s">
        <v>1409</v>
      </c>
      <c r="C713" s="239">
        <v>5.9069999999999999E-4</v>
      </c>
      <c r="D713" s="239">
        <v>5.6599999999999999E-4</v>
      </c>
      <c r="E713" s="222">
        <v>1401342</v>
      </c>
      <c r="F713" s="222" t="s">
        <v>1930</v>
      </c>
      <c r="G713" s="237">
        <v>216194</v>
      </c>
      <c r="H713" s="225">
        <v>192363</v>
      </c>
      <c r="I713" s="237">
        <v>371862</v>
      </c>
      <c r="J713" s="236">
        <v>11194</v>
      </c>
      <c r="K713" s="93">
        <f t="shared" si="27"/>
        <v>791613</v>
      </c>
      <c r="L713" s="52"/>
      <c r="M713" s="237">
        <v>7254</v>
      </c>
      <c r="N713" s="237">
        <v>0</v>
      </c>
      <c r="O713" s="236">
        <v>16380</v>
      </c>
      <c r="P713" s="93">
        <f t="shared" si="28"/>
        <v>23634</v>
      </c>
      <c r="Q713" s="52"/>
      <c r="R713" s="237">
        <v>389255</v>
      </c>
      <c r="S713" s="236">
        <v>-8177</v>
      </c>
      <c r="T713" s="238">
        <v>381078</v>
      </c>
    </row>
    <row r="714" spans="1:20">
      <c r="A714" s="50">
        <v>97727</v>
      </c>
      <c r="B714" s="51" t="s">
        <v>1410</v>
      </c>
      <c r="C714" s="239">
        <v>2.0599999999999999E-5</v>
      </c>
      <c r="D714" s="239">
        <v>2.27E-5</v>
      </c>
      <c r="E714" s="222">
        <v>48870</v>
      </c>
      <c r="F714" s="222" t="s">
        <v>1930</v>
      </c>
      <c r="G714" s="237">
        <v>7540</v>
      </c>
      <c r="H714" s="225">
        <v>6709</v>
      </c>
      <c r="I714" s="237">
        <v>12968</v>
      </c>
      <c r="J714" s="236">
        <v>0</v>
      </c>
      <c r="K714" s="93">
        <f t="shared" si="27"/>
        <v>27217</v>
      </c>
      <c r="L714" s="52"/>
      <c r="M714" s="237">
        <v>253</v>
      </c>
      <c r="N714" s="237">
        <v>0</v>
      </c>
      <c r="O714" s="236">
        <v>1628</v>
      </c>
      <c r="P714" s="93">
        <f t="shared" si="28"/>
        <v>1881</v>
      </c>
      <c r="Q714" s="52"/>
      <c r="R714" s="237">
        <v>13575</v>
      </c>
      <c r="S714" s="236">
        <v>-1410</v>
      </c>
      <c r="T714" s="238">
        <v>12165</v>
      </c>
    </row>
    <row r="715" spans="1:20">
      <c r="A715" s="50">
        <v>97731</v>
      </c>
      <c r="B715" s="51" t="s">
        <v>2399</v>
      </c>
      <c r="C715" s="239">
        <v>3.3200000000000001E-5</v>
      </c>
      <c r="D715" s="239">
        <v>3.5500000000000002E-5</v>
      </c>
      <c r="E715" s="222">
        <v>78762</v>
      </c>
      <c r="F715" s="222" t="s">
        <v>1930</v>
      </c>
      <c r="G715" s="237">
        <v>12151</v>
      </c>
      <c r="H715" s="225">
        <v>10811</v>
      </c>
      <c r="I715" s="237">
        <v>20900</v>
      </c>
      <c r="J715" s="236">
        <v>4695</v>
      </c>
      <c r="K715" s="93">
        <f t="shared" si="27"/>
        <v>48557</v>
      </c>
      <c r="L715" s="52"/>
      <c r="M715" s="237">
        <v>408</v>
      </c>
      <c r="N715" s="237">
        <v>0</v>
      </c>
      <c r="O715" s="236">
        <v>0</v>
      </c>
      <c r="P715" s="93">
        <f t="shared" si="28"/>
        <v>408</v>
      </c>
      <c r="Q715" s="52"/>
      <c r="R715" s="237">
        <v>21878</v>
      </c>
      <c r="S715" s="236">
        <v>3280</v>
      </c>
      <c r="T715" s="238">
        <v>25158</v>
      </c>
    </row>
    <row r="716" spans="1:20">
      <c r="A716" s="50">
        <v>97801</v>
      </c>
      <c r="B716" s="51" t="s">
        <v>1412</v>
      </c>
      <c r="C716" s="239">
        <v>6.5702E-3</v>
      </c>
      <c r="D716" s="239">
        <v>6.9303000000000003E-3</v>
      </c>
      <c r="E716" s="222">
        <v>15586761</v>
      </c>
      <c r="F716" s="222" t="s">
        <v>1930</v>
      </c>
      <c r="G716" s="237">
        <v>2404667</v>
      </c>
      <c r="H716" s="225">
        <v>2139599</v>
      </c>
      <c r="I716" s="237">
        <v>4136125</v>
      </c>
      <c r="J716" s="236">
        <v>0</v>
      </c>
      <c r="K716" s="93">
        <f t="shared" si="27"/>
        <v>8680391</v>
      </c>
      <c r="L716" s="52"/>
      <c r="M716" s="237">
        <v>80689</v>
      </c>
      <c r="N716" s="237">
        <v>0</v>
      </c>
      <c r="O716" s="236">
        <v>508951</v>
      </c>
      <c r="P716" s="93">
        <f t="shared" si="28"/>
        <v>589640</v>
      </c>
      <c r="Q716" s="52"/>
      <c r="R716" s="237">
        <v>4329584</v>
      </c>
      <c r="S716" s="236">
        <v>-154797</v>
      </c>
      <c r="T716" s="238">
        <v>4174787</v>
      </c>
    </row>
    <row r="717" spans="1:20">
      <c r="A717" s="50">
        <v>97802</v>
      </c>
      <c r="B717" s="51" t="s">
        <v>1413</v>
      </c>
      <c r="C717" s="239">
        <v>1.684E-4</v>
      </c>
      <c r="D717" s="239">
        <v>1.5300000000000001E-4</v>
      </c>
      <c r="E717" s="223">
        <v>399502</v>
      </c>
      <c r="F717" s="223" t="s">
        <v>1930</v>
      </c>
      <c r="G717" s="237">
        <v>61634</v>
      </c>
      <c r="H717" s="225">
        <v>54840</v>
      </c>
      <c r="I717" s="237">
        <v>106013</v>
      </c>
      <c r="J717" s="236">
        <v>12750</v>
      </c>
      <c r="K717" s="93">
        <f t="shared" si="27"/>
        <v>235237</v>
      </c>
      <c r="L717" s="52"/>
      <c r="M717" s="237">
        <v>2068</v>
      </c>
      <c r="N717" s="237">
        <v>0</v>
      </c>
      <c r="O717" s="236">
        <v>17264</v>
      </c>
      <c r="P717" s="93">
        <f t="shared" si="28"/>
        <v>19332</v>
      </c>
      <c r="Q717" s="52"/>
      <c r="R717" s="237">
        <v>110971</v>
      </c>
      <c r="S717" s="236">
        <v>1914</v>
      </c>
      <c r="T717" s="238">
        <v>112885</v>
      </c>
    </row>
    <row r="718" spans="1:20">
      <c r="A718" s="50">
        <v>97803</v>
      </c>
      <c r="B718" s="51" t="s">
        <v>1414</v>
      </c>
      <c r="C718" s="239">
        <v>8.1699999999999994E-5</v>
      </c>
      <c r="D718" s="239">
        <v>7.5300000000000001E-5</v>
      </c>
      <c r="E718" s="223">
        <v>193820</v>
      </c>
      <c r="F718" s="223" t="s">
        <v>1930</v>
      </c>
      <c r="G718" s="237">
        <v>29902</v>
      </c>
      <c r="H718" s="225">
        <v>26605</v>
      </c>
      <c r="I718" s="237">
        <v>51432</v>
      </c>
      <c r="J718" s="236">
        <v>5367</v>
      </c>
      <c r="K718" s="93">
        <f t="shared" si="27"/>
        <v>113306</v>
      </c>
      <c r="L718" s="52"/>
      <c r="M718" s="237">
        <v>1003</v>
      </c>
      <c r="N718" s="237">
        <v>0</v>
      </c>
      <c r="O718" s="236">
        <v>685</v>
      </c>
      <c r="P718" s="93">
        <f t="shared" si="28"/>
        <v>1688</v>
      </c>
      <c r="Q718" s="52"/>
      <c r="R718" s="237">
        <v>53838</v>
      </c>
      <c r="S718" s="236">
        <v>4391</v>
      </c>
      <c r="T718" s="238">
        <v>58229</v>
      </c>
    </row>
    <row r="719" spans="1:20">
      <c r="A719" s="50">
        <v>97805</v>
      </c>
      <c r="B719" s="51" t="s">
        <v>1415</v>
      </c>
      <c r="C719" s="239">
        <v>8.2700000000000004E-5</v>
      </c>
      <c r="D719" s="239">
        <v>7.9400000000000006E-5</v>
      </c>
      <c r="E719" s="223">
        <v>196193</v>
      </c>
      <c r="F719" s="223" t="s">
        <v>1930</v>
      </c>
      <c r="G719" s="237">
        <v>30268</v>
      </c>
      <c r="H719" s="225">
        <v>26932</v>
      </c>
      <c r="I719" s="237">
        <v>52062</v>
      </c>
      <c r="J719" s="236">
        <v>9379</v>
      </c>
      <c r="K719" s="93">
        <f t="shared" si="27"/>
        <v>118641</v>
      </c>
      <c r="L719" s="52"/>
      <c r="M719" s="237">
        <v>1016</v>
      </c>
      <c r="N719" s="237">
        <v>0</v>
      </c>
      <c r="O719" s="236">
        <v>0</v>
      </c>
      <c r="P719" s="93">
        <f t="shared" si="28"/>
        <v>1016</v>
      </c>
      <c r="Q719" s="52"/>
      <c r="R719" s="237">
        <v>54497</v>
      </c>
      <c r="S719" s="236">
        <v>4756</v>
      </c>
      <c r="T719" s="238">
        <v>59253</v>
      </c>
    </row>
    <row r="720" spans="1:20">
      <c r="A720" s="50">
        <v>97811</v>
      </c>
      <c r="B720" s="51" t="s">
        <v>1416</v>
      </c>
      <c r="C720" s="239">
        <v>2.4342999999999999E-3</v>
      </c>
      <c r="D720" s="239">
        <v>2.4172E-3</v>
      </c>
      <c r="E720" s="223">
        <v>5774992</v>
      </c>
      <c r="F720" s="223" t="s">
        <v>1930</v>
      </c>
      <c r="G720" s="237">
        <v>890944</v>
      </c>
      <c r="H720" s="225">
        <v>792734</v>
      </c>
      <c r="I720" s="237">
        <v>1532460</v>
      </c>
      <c r="J720" s="236">
        <v>0</v>
      </c>
      <c r="K720" s="93">
        <f t="shared" si="27"/>
        <v>3216138</v>
      </c>
      <c r="L720" s="52"/>
      <c r="M720" s="237">
        <v>29896</v>
      </c>
      <c r="N720" s="237">
        <v>0</v>
      </c>
      <c r="O720" s="236">
        <v>95364</v>
      </c>
      <c r="P720" s="93">
        <f t="shared" si="28"/>
        <v>125260</v>
      </c>
      <c r="Q720" s="52"/>
      <c r="R720" s="237">
        <v>1604138</v>
      </c>
      <c r="S720" s="236">
        <v>-74364</v>
      </c>
      <c r="T720" s="238">
        <v>1529774</v>
      </c>
    </row>
    <row r="721" spans="1:20">
      <c r="A721" s="50">
        <v>97817</v>
      </c>
      <c r="B721" s="51" t="s">
        <v>1417</v>
      </c>
      <c r="C721" s="239">
        <v>1.8199999999999999E-5</v>
      </c>
      <c r="D721" s="239">
        <v>2.2200000000000001E-5</v>
      </c>
      <c r="E721" s="223">
        <v>43177</v>
      </c>
      <c r="F721" s="223" t="s">
        <v>1930</v>
      </c>
      <c r="G721" s="237">
        <v>6661</v>
      </c>
      <c r="H721" s="225">
        <v>5927</v>
      </c>
      <c r="I721" s="237">
        <v>11457</v>
      </c>
      <c r="J721" s="236">
        <v>13908</v>
      </c>
      <c r="K721" s="93">
        <f t="shared" si="27"/>
        <v>37953</v>
      </c>
      <c r="L721" s="52"/>
      <c r="M721" s="237">
        <v>224</v>
      </c>
      <c r="N721" s="237">
        <v>0</v>
      </c>
      <c r="O721" s="236">
        <v>1088</v>
      </c>
      <c r="P721" s="93">
        <f t="shared" si="28"/>
        <v>1312</v>
      </c>
      <c r="Q721" s="52"/>
      <c r="R721" s="237">
        <v>11993</v>
      </c>
      <c r="S721" s="236">
        <v>4171</v>
      </c>
      <c r="T721" s="238">
        <v>16164</v>
      </c>
    </row>
    <row r="722" spans="1:20">
      <c r="A722" s="50">
        <v>97818</v>
      </c>
      <c r="B722" s="51" t="s">
        <v>1418</v>
      </c>
      <c r="C722" s="239">
        <v>2.0299999999999999E-5</v>
      </c>
      <c r="D722" s="239">
        <v>2.1999999999999999E-5</v>
      </c>
      <c r="E722" s="223">
        <v>48159</v>
      </c>
      <c r="F722" s="223" t="s">
        <v>1930</v>
      </c>
      <c r="G722" s="237">
        <v>7430</v>
      </c>
      <c r="H722" s="225">
        <v>6611</v>
      </c>
      <c r="I722" s="237">
        <v>12779</v>
      </c>
      <c r="J722" s="236">
        <v>3906</v>
      </c>
      <c r="K722" s="93">
        <f t="shared" si="27"/>
        <v>30726</v>
      </c>
      <c r="L722" s="52"/>
      <c r="M722" s="237">
        <v>249</v>
      </c>
      <c r="N722" s="237">
        <v>0</v>
      </c>
      <c r="O722" s="236">
        <v>983</v>
      </c>
      <c r="P722" s="93">
        <f t="shared" si="28"/>
        <v>1232</v>
      </c>
      <c r="Q722" s="52"/>
      <c r="R722" s="237">
        <v>13377</v>
      </c>
      <c r="S722" s="236">
        <v>-89</v>
      </c>
      <c r="T722" s="238">
        <v>13288</v>
      </c>
    </row>
    <row r="723" spans="1:20">
      <c r="A723" s="50">
        <v>97821</v>
      </c>
      <c r="B723" s="51" t="s">
        <v>2400</v>
      </c>
      <c r="C723" s="239">
        <v>1.071E-4</v>
      </c>
      <c r="D723" s="239">
        <v>1.126E-4</v>
      </c>
      <c r="E723" s="223">
        <v>254078</v>
      </c>
      <c r="F723" s="223" t="s">
        <v>1930</v>
      </c>
      <c r="G723" s="237">
        <v>39198</v>
      </c>
      <c r="H723" s="225">
        <v>34878</v>
      </c>
      <c r="I723" s="237">
        <v>67422</v>
      </c>
      <c r="J723" s="236">
        <v>12602</v>
      </c>
      <c r="K723" s="93">
        <f t="shared" si="27"/>
        <v>154100</v>
      </c>
      <c r="L723" s="52"/>
      <c r="M723" s="237">
        <v>1315</v>
      </c>
      <c r="N723" s="237">
        <v>0</v>
      </c>
      <c r="O723" s="236">
        <v>5606</v>
      </c>
      <c r="P723" s="93">
        <f t="shared" si="28"/>
        <v>6921</v>
      </c>
      <c r="Q723" s="52"/>
      <c r="R723" s="237">
        <v>70576</v>
      </c>
      <c r="S723" s="236">
        <v>-7137</v>
      </c>
      <c r="T723" s="238">
        <v>63439</v>
      </c>
    </row>
    <row r="724" spans="1:20">
      <c r="A724" s="50">
        <v>97823</v>
      </c>
      <c r="B724" s="51" t="s">
        <v>1420</v>
      </c>
      <c r="C724" s="239">
        <v>1.7200000000000001E-5</v>
      </c>
      <c r="D724" s="239">
        <v>2.3300000000000001E-5</v>
      </c>
      <c r="E724" s="223">
        <v>40804</v>
      </c>
      <c r="F724" s="223" t="s">
        <v>1930</v>
      </c>
      <c r="G724" s="237">
        <v>6295</v>
      </c>
      <c r="H724" s="225">
        <v>5601</v>
      </c>
      <c r="I724" s="237">
        <v>10828</v>
      </c>
      <c r="J724" s="236">
        <v>1190</v>
      </c>
      <c r="K724" s="93">
        <f t="shared" si="27"/>
        <v>23914</v>
      </c>
      <c r="L724" s="52"/>
      <c r="M724" s="237">
        <v>211</v>
      </c>
      <c r="N724" s="237">
        <v>0</v>
      </c>
      <c r="O724" s="236">
        <v>2106</v>
      </c>
      <c r="P724" s="93">
        <f t="shared" si="28"/>
        <v>2317</v>
      </c>
      <c r="Q724" s="52"/>
      <c r="R724" s="237">
        <v>11334</v>
      </c>
      <c r="S724" s="236">
        <v>-598</v>
      </c>
      <c r="T724" s="238">
        <v>10736</v>
      </c>
    </row>
    <row r="725" spans="1:20">
      <c r="A725" s="50">
        <v>97831</v>
      </c>
      <c r="B725" s="51" t="s">
        <v>2401</v>
      </c>
      <c r="C725" s="239">
        <v>1.5200000000000001E-4</v>
      </c>
      <c r="D725" s="239">
        <v>1.7009999999999999E-4</v>
      </c>
      <c r="E725" s="223">
        <v>360596</v>
      </c>
      <c r="F725" s="223" t="s">
        <v>1930</v>
      </c>
      <c r="G725" s="237">
        <v>55631</v>
      </c>
      <c r="H725" s="225">
        <v>49499</v>
      </c>
      <c r="I725" s="237">
        <v>95688</v>
      </c>
      <c r="J725" s="236">
        <v>11447</v>
      </c>
      <c r="K725" s="93">
        <f t="shared" si="27"/>
        <v>212265</v>
      </c>
      <c r="L725" s="52"/>
      <c r="M725" s="237">
        <v>1867</v>
      </c>
      <c r="N725" s="237">
        <v>0</v>
      </c>
      <c r="O725" s="236">
        <v>5865</v>
      </c>
      <c r="P725" s="93">
        <f t="shared" si="28"/>
        <v>7732</v>
      </c>
      <c r="Q725" s="52"/>
      <c r="R725" s="237">
        <v>100164</v>
      </c>
      <c r="S725" s="236">
        <v>-2869</v>
      </c>
      <c r="T725" s="238">
        <v>97295</v>
      </c>
    </row>
    <row r="726" spans="1:20">
      <c r="A726" s="50">
        <v>97837</v>
      </c>
      <c r="B726" s="51" t="s">
        <v>1422</v>
      </c>
      <c r="C726" s="239">
        <v>9.3000000000000007E-6</v>
      </c>
      <c r="D726" s="239">
        <v>1.0200000000000001E-5</v>
      </c>
      <c r="E726" s="223">
        <v>22063</v>
      </c>
      <c r="F726" s="223" t="s">
        <v>1930</v>
      </c>
      <c r="G726" s="237">
        <v>3404</v>
      </c>
      <c r="H726" s="225">
        <v>3029</v>
      </c>
      <c r="I726" s="237">
        <v>5855</v>
      </c>
      <c r="J726" s="236">
        <v>3379</v>
      </c>
      <c r="K726" s="93">
        <f t="shared" si="27"/>
        <v>15667</v>
      </c>
      <c r="L726" s="52"/>
      <c r="M726" s="237">
        <v>114</v>
      </c>
      <c r="N726" s="237">
        <v>0</v>
      </c>
      <c r="O726" s="236">
        <v>139</v>
      </c>
      <c r="P726" s="93">
        <f t="shared" si="28"/>
        <v>253</v>
      </c>
      <c r="Q726" s="52"/>
      <c r="R726" s="237">
        <v>6128</v>
      </c>
      <c r="S726" s="236">
        <v>1610</v>
      </c>
      <c r="T726" s="238">
        <v>7738</v>
      </c>
    </row>
    <row r="727" spans="1:20">
      <c r="A727" s="50">
        <v>97840</v>
      </c>
      <c r="B727" s="51" t="s">
        <v>2402</v>
      </c>
      <c r="C727" s="239">
        <v>1.36E-4</v>
      </c>
      <c r="D727" s="239">
        <v>1.3190000000000001E-4</v>
      </c>
      <c r="E727" s="223">
        <v>322639</v>
      </c>
      <c r="F727" s="223" t="s">
        <v>1930</v>
      </c>
      <c r="G727" s="237">
        <v>49775</v>
      </c>
      <c r="H727" s="225">
        <v>44288</v>
      </c>
      <c r="I727" s="237">
        <v>85616</v>
      </c>
      <c r="J727" s="236">
        <v>90526</v>
      </c>
      <c r="K727" s="93">
        <f t="shared" ref="K727:K790" si="30">G727+H727+I727+J727</f>
        <v>270205</v>
      </c>
      <c r="L727" s="52"/>
      <c r="M727" s="237">
        <v>1670</v>
      </c>
      <c r="N727" s="237">
        <v>0</v>
      </c>
      <c r="O727" s="236">
        <v>0</v>
      </c>
      <c r="P727" s="93">
        <f t="shared" ref="P727:P790" si="31">M727+N727+O727</f>
        <v>1670</v>
      </c>
      <c r="Q727" s="52"/>
      <c r="R727" s="237">
        <v>89620</v>
      </c>
      <c r="S727" s="236">
        <v>37670</v>
      </c>
      <c r="T727" s="238">
        <v>127290</v>
      </c>
    </row>
    <row r="728" spans="1:20">
      <c r="A728" s="50">
        <v>97841</v>
      </c>
      <c r="B728" s="51" t="s">
        <v>2403</v>
      </c>
      <c r="C728" s="239">
        <v>1.2E-5</v>
      </c>
      <c r="D728" s="239">
        <v>1.31E-5</v>
      </c>
      <c r="E728" s="223">
        <v>28468</v>
      </c>
      <c r="F728" s="223" t="s">
        <v>1930</v>
      </c>
      <c r="G728" s="237">
        <v>4392</v>
      </c>
      <c r="H728" s="225">
        <v>3908</v>
      </c>
      <c r="I728" s="237">
        <v>7554</v>
      </c>
      <c r="J728" s="236">
        <v>186</v>
      </c>
      <c r="K728" s="93">
        <f t="shared" si="30"/>
        <v>16040</v>
      </c>
      <c r="L728" s="52"/>
      <c r="M728" s="237">
        <v>147</v>
      </c>
      <c r="N728" s="237">
        <v>0</v>
      </c>
      <c r="O728" s="236">
        <v>783</v>
      </c>
      <c r="P728" s="93">
        <f t="shared" si="31"/>
        <v>930</v>
      </c>
      <c r="Q728" s="52"/>
      <c r="R728" s="237">
        <v>7908</v>
      </c>
      <c r="S728" s="236">
        <v>-3836</v>
      </c>
      <c r="T728" s="238">
        <v>4072</v>
      </c>
    </row>
    <row r="729" spans="1:20">
      <c r="A729" s="50">
        <v>97847</v>
      </c>
      <c r="B729" s="51" t="s">
        <v>1425</v>
      </c>
      <c r="C729" s="239">
        <v>1.9999999999999999E-6</v>
      </c>
      <c r="D729" s="239">
        <v>2.0999999999999998E-6</v>
      </c>
      <c r="E729" s="223">
        <v>4745</v>
      </c>
      <c r="F729" s="223" t="s">
        <v>1930</v>
      </c>
      <c r="G729" s="237">
        <v>732</v>
      </c>
      <c r="H729" s="225">
        <v>651</v>
      </c>
      <c r="I729" s="237">
        <v>1259</v>
      </c>
      <c r="J729" s="236">
        <v>2019</v>
      </c>
      <c r="K729" s="93">
        <f t="shared" si="30"/>
        <v>4661</v>
      </c>
      <c r="L729" s="52"/>
      <c r="M729" s="237">
        <v>25</v>
      </c>
      <c r="N729" s="237">
        <v>0</v>
      </c>
      <c r="O729" s="236">
        <v>0</v>
      </c>
      <c r="P729" s="93">
        <f t="shared" si="31"/>
        <v>25</v>
      </c>
      <c r="Q729" s="52"/>
      <c r="R729" s="237">
        <v>1318</v>
      </c>
      <c r="S729" s="236">
        <v>610</v>
      </c>
      <c r="T729" s="238">
        <v>1928</v>
      </c>
    </row>
    <row r="730" spans="1:20">
      <c r="A730" s="50">
        <v>97851</v>
      </c>
      <c r="B730" s="51" t="s">
        <v>2404</v>
      </c>
      <c r="C730" s="239">
        <v>2.7750000000000002E-4</v>
      </c>
      <c r="D730" s="239">
        <v>2.7799999999999998E-4</v>
      </c>
      <c r="E730" s="223">
        <v>658325</v>
      </c>
      <c r="F730" s="223" t="s">
        <v>1930</v>
      </c>
      <c r="G730" s="237">
        <v>101564</v>
      </c>
      <c r="H730" s="225">
        <v>90369</v>
      </c>
      <c r="I730" s="237">
        <v>174694</v>
      </c>
      <c r="J730" s="236">
        <v>0</v>
      </c>
      <c r="K730" s="93">
        <f t="shared" si="30"/>
        <v>366627</v>
      </c>
      <c r="L730" s="52"/>
      <c r="M730" s="237">
        <v>3408</v>
      </c>
      <c r="N730" s="237">
        <v>0</v>
      </c>
      <c r="O730" s="236">
        <v>25332</v>
      </c>
      <c r="P730" s="93">
        <f t="shared" si="31"/>
        <v>28740</v>
      </c>
      <c r="Q730" s="52"/>
      <c r="R730" s="237">
        <v>182865</v>
      </c>
      <c r="S730" s="236">
        <v>-6676</v>
      </c>
      <c r="T730" s="238">
        <v>176189</v>
      </c>
    </row>
    <row r="731" spans="1:20">
      <c r="A731" s="50">
        <v>97853</v>
      </c>
      <c r="B731" s="51" t="s">
        <v>1427</v>
      </c>
      <c r="C731" s="239">
        <v>9.09E-5</v>
      </c>
      <c r="D731" s="239">
        <v>1.0289999999999999E-4</v>
      </c>
      <c r="E731" s="223">
        <v>215646</v>
      </c>
      <c r="F731" s="223" t="s">
        <v>1930</v>
      </c>
      <c r="G731" s="237">
        <v>33269</v>
      </c>
      <c r="H731" s="225">
        <v>29601</v>
      </c>
      <c r="I731" s="237">
        <v>57224</v>
      </c>
      <c r="J731" s="236">
        <v>4930</v>
      </c>
      <c r="K731" s="93">
        <f t="shared" si="30"/>
        <v>125024</v>
      </c>
      <c r="L731" s="52"/>
      <c r="M731" s="237">
        <v>1116</v>
      </c>
      <c r="N731" s="237">
        <v>0</v>
      </c>
      <c r="O731" s="236">
        <v>18002</v>
      </c>
      <c r="P731" s="93">
        <f t="shared" si="31"/>
        <v>19118</v>
      </c>
      <c r="Q731" s="52"/>
      <c r="R731" s="237">
        <v>59901</v>
      </c>
      <c r="S731" s="236">
        <v>-2497</v>
      </c>
      <c r="T731" s="238">
        <v>57404</v>
      </c>
    </row>
    <row r="732" spans="1:20">
      <c r="A732" s="50">
        <v>97861</v>
      </c>
      <c r="B732" s="51" t="s">
        <v>2405</v>
      </c>
      <c r="C732" s="239">
        <v>4.3000000000000002E-5</v>
      </c>
      <c r="D732" s="239">
        <v>6.7000000000000002E-5</v>
      </c>
      <c r="E732" s="223">
        <v>102011</v>
      </c>
      <c r="F732" s="223" t="s">
        <v>1930</v>
      </c>
      <c r="G732" s="237">
        <v>15738</v>
      </c>
      <c r="H732" s="225">
        <v>14003</v>
      </c>
      <c r="I732" s="237">
        <v>27070</v>
      </c>
      <c r="J732" s="236">
        <v>799</v>
      </c>
      <c r="K732" s="93">
        <f t="shared" si="30"/>
        <v>57610</v>
      </c>
      <c r="L732" s="52"/>
      <c r="M732" s="237">
        <v>528</v>
      </c>
      <c r="N732" s="237">
        <v>0</v>
      </c>
      <c r="O732" s="236">
        <v>15816</v>
      </c>
      <c r="P732" s="93">
        <f t="shared" si="31"/>
        <v>16344</v>
      </c>
      <c r="Q732" s="52"/>
      <c r="R732" s="237">
        <v>28336</v>
      </c>
      <c r="S732" s="236">
        <v>-6822</v>
      </c>
      <c r="T732" s="238">
        <v>21514</v>
      </c>
    </row>
    <row r="733" spans="1:20">
      <c r="A733" s="50">
        <v>97871</v>
      </c>
      <c r="B733" s="51" t="s">
        <v>2406</v>
      </c>
      <c r="C733" s="239">
        <v>3.1080000000000002E-4</v>
      </c>
      <c r="D733" s="239">
        <v>2.9930000000000001E-4</v>
      </c>
      <c r="E733" s="223">
        <v>737324</v>
      </c>
      <c r="F733" s="223" t="s">
        <v>1930</v>
      </c>
      <c r="G733" s="237">
        <v>113752</v>
      </c>
      <c r="H733" s="225">
        <v>101213</v>
      </c>
      <c r="I733" s="237">
        <v>195657</v>
      </c>
      <c r="J733" s="236">
        <v>260432</v>
      </c>
      <c r="K733" s="93">
        <f t="shared" si="30"/>
        <v>671054</v>
      </c>
      <c r="L733" s="52"/>
      <c r="M733" s="237">
        <v>3817</v>
      </c>
      <c r="N733" s="237">
        <v>0</v>
      </c>
      <c r="O733" s="236">
        <v>0</v>
      </c>
      <c r="P733" s="93">
        <f t="shared" si="31"/>
        <v>3817</v>
      </c>
      <c r="Q733" s="52"/>
      <c r="R733" s="237">
        <v>204809</v>
      </c>
      <c r="S733" s="236">
        <v>109999</v>
      </c>
      <c r="T733" s="238">
        <v>314808</v>
      </c>
    </row>
    <row r="734" spans="1:20">
      <c r="A734" s="50">
        <v>97877</v>
      </c>
      <c r="B734" s="51" t="s">
        <v>1430</v>
      </c>
      <c r="C734" s="239">
        <v>1.7999999999999999E-6</v>
      </c>
      <c r="D734" s="239">
        <v>1.9E-6</v>
      </c>
      <c r="E734" s="223">
        <v>4270</v>
      </c>
      <c r="F734" s="223" t="s">
        <v>1930</v>
      </c>
      <c r="G734" s="237">
        <v>659</v>
      </c>
      <c r="H734" s="225">
        <v>586</v>
      </c>
      <c r="I734" s="237">
        <v>1133</v>
      </c>
      <c r="J734" s="236">
        <v>2439</v>
      </c>
      <c r="K734" s="93">
        <f t="shared" si="30"/>
        <v>4817</v>
      </c>
      <c r="L734" s="52"/>
      <c r="M734" s="237">
        <v>22</v>
      </c>
      <c r="N734" s="237">
        <v>0</v>
      </c>
      <c r="O734" s="236">
        <v>0</v>
      </c>
      <c r="P734" s="93">
        <f t="shared" si="31"/>
        <v>22</v>
      </c>
      <c r="Q734" s="52"/>
      <c r="R734" s="237">
        <v>1186</v>
      </c>
      <c r="S734" s="236">
        <v>1008</v>
      </c>
      <c r="T734" s="238">
        <v>2194</v>
      </c>
    </row>
    <row r="735" spans="1:20">
      <c r="A735" s="50">
        <v>97901</v>
      </c>
      <c r="B735" s="51" t="s">
        <v>1431</v>
      </c>
      <c r="C735" s="239">
        <v>4.2154000000000002E-3</v>
      </c>
      <c r="D735" s="239">
        <v>4.2658000000000001E-3</v>
      </c>
      <c r="E735" s="223">
        <v>10000370</v>
      </c>
      <c r="F735" s="223" t="s">
        <v>1930</v>
      </c>
      <c r="G735" s="237">
        <v>1542820</v>
      </c>
      <c r="H735" s="225">
        <v>1372753</v>
      </c>
      <c r="I735" s="237">
        <v>2653712</v>
      </c>
      <c r="J735" s="236">
        <v>48144</v>
      </c>
      <c r="K735" s="93">
        <f t="shared" si="30"/>
        <v>5617429</v>
      </c>
      <c r="L735" s="52"/>
      <c r="M735" s="237">
        <v>51769</v>
      </c>
      <c r="N735" s="237">
        <v>0</v>
      </c>
      <c r="O735" s="236">
        <v>28304</v>
      </c>
      <c r="P735" s="93">
        <f t="shared" si="31"/>
        <v>80073</v>
      </c>
      <c r="Q735" s="52"/>
      <c r="R735" s="237">
        <v>2777835</v>
      </c>
      <c r="S735" s="236">
        <v>30359</v>
      </c>
      <c r="T735" s="238">
        <v>2808194</v>
      </c>
    </row>
    <row r="736" spans="1:20">
      <c r="A736" s="50">
        <v>97911</v>
      </c>
      <c r="B736" s="51" t="s">
        <v>1432</v>
      </c>
      <c r="C736" s="239">
        <v>1.2834000000000001E-3</v>
      </c>
      <c r="D736" s="239">
        <v>1.3005E-3</v>
      </c>
      <c r="E736" s="223">
        <v>3044664</v>
      </c>
      <c r="F736" s="223" t="s">
        <v>1930</v>
      </c>
      <c r="G736" s="237">
        <v>469719</v>
      </c>
      <c r="H736" s="225">
        <v>417942</v>
      </c>
      <c r="I736" s="237">
        <v>807936</v>
      </c>
      <c r="J736" s="236">
        <v>11320</v>
      </c>
      <c r="K736" s="93">
        <f t="shared" si="30"/>
        <v>1706917</v>
      </c>
      <c r="L736" s="52"/>
      <c r="M736" s="237">
        <v>15761</v>
      </c>
      <c r="N736" s="237">
        <v>0</v>
      </c>
      <c r="O736" s="236">
        <v>18493</v>
      </c>
      <c r="P736" s="93">
        <f t="shared" si="31"/>
        <v>34254</v>
      </c>
      <c r="Q736" s="52"/>
      <c r="R736" s="237">
        <v>845726</v>
      </c>
      <c r="S736" s="236">
        <v>10611</v>
      </c>
      <c r="T736" s="238">
        <v>856337</v>
      </c>
    </row>
    <row r="737" spans="1:20">
      <c r="A737" s="50">
        <v>97913</v>
      </c>
      <c r="B737" s="51" t="s">
        <v>2770</v>
      </c>
      <c r="C737" s="239">
        <v>3.3899999999999997E-5</v>
      </c>
      <c r="D737" s="239">
        <v>3.5899999999999998E-5</v>
      </c>
      <c r="E737" s="223">
        <v>80422</v>
      </c>
      <c r="F737" s="223" t="s">
        <v>1930</v>
      </c>
      <c r="G737" s="237">
        <v>12407</v>
      </c>
      <c r="H737" s="225">
        <v>11039</v>
      </c>
      <c r="I737" s="237">
        <v>21341</v>
      </c>
      <c r="J737" s="236">
        <v>17313</v>
      </c>
      <c r="K737" s="93">
        <f t="shared" si="30"/>
        <v>62100</v>
      </c>
      <c r="L737" s="52"/>
      <c r="M737" s="237">
        <v>416</v>
      </c>
      <c r="N737" s="237">
        <v>0</v>
      </c>
      <c r="O737" s="236">
        <v>0</v>
      </c>
      <c r="P737" s="93">
        <f t="shared" si="31"/>
        <v>416</v>
      </c>
      <c r="Q737" s="52"/>
      <c r="R737" s="237">
        <v>22339</v>
      </c>
      <c r="S737" s="236">
        <v>7130</v>
      </c>
      <c r="T737" s="238">
        <v>29469</v>
      </c>
    </row>
    <row r="738" spans="1:20">
      <c r="A738" s="50">
        <v>97917</v>
      </c>
      <c r="B738" s="51" t="s">
        <v>1434</v>
      </c>
      <c r="C738" s="239">
        <v>1.9700000000000001E-5</v>
      </c>
      <c r="D738" s="239">
        <v>2.0999999999999999E-5</v>
      </c>
      <c r="E738" s="223">
        <v>46735</v>
      </c>
      <c r="F738" s="223" t="s">
        <v>1930</v>
      </c>
      <c r="G738" s="237">
        <v>7210</v>
      </c>
      <c r="H738" s="225">
        <v>6415</v>
      </c>
      <c r="I738" s="237">
        <v>12402</v>
      </c>
      <c r="J738" s="236">
        <v>7021</v>
      </c>
      <c r="K738" s="93">
        <f t="shared" si="30"/>
        <v>33048</v>
      </c>
      <c r="L738" s="52"/>
      <c r="M738" s="237">
        <v>242</v>
      </c>
      <c r="N738" s="237">
        <v>0</v>
      </c>
      <c r="O738" s="236">
        <v>0</v>
      </c>
      <c r="P738" s="93">
        <f t="shared" si="31"/>
        <v>242</v>
      </c>
      <c r="Q738" s="52"/>
      <c r="R738" s="237">
        <v>12982</v>
      </c>
      <c r="S738" s="236">
        <v>3750</v>
      </c>
      <c r="T738" s="238">
        <v>16732</v>
      </c>
    </row>
    <row r="739" spans="1:20">
      <c r="A739" s="50">
        <v>97921</v>
      </c>
      <c r="B739" s="51" t="s">
        <v>2407</v>
      </c>
      <c r="C739" s="239">
        <v>2.2699999999999999E-4</v>
      </c>
      <c r="D739" s="239">
        <v>2.1699999999999999E-4</v>
      </c>
      <c r="E739" s="223">
        <v>538522</v>
      </c>
      <c r="F739" s="223" t="s">
        <v>1930</v>
      </c>
      <c r="G739" s="237">
        <v>83081</v>
      </c>
      <c r="H739" s="225">
        <v>73923</v>
      </c>
      <c r="I739" s="237">
        <v>142903</v>
      </c>
      <c r="J739" s="236">
        <v>12802</v>
      </c>
      <c r="K739" s="93">
        <f t="shared" si="30"/>
        <v>312709</v>
      </c>
      <c r="L739" s="52"/>
      <c r="M739" s="237">
        <v>2788</v>
      </c>
      <c r="N739" s="237">
        <v>0</v>
      </c>
      <c r="O739" s="236">
        <v>2898</v>
      </c>
      <c r="P739" s="93">
        <f t="shared" si="31"/>
        <v>5686</v>
      </c>
      <c r="Q739" s="52"/>
      <c r="R739" s="237">
        <v>149587</v>
      </c>
      <c r="S739" s="236">
        <v>5157</v>
      </c>
      <c r="T739" s="238">
        <v>154744</v>
      </c>
    </row>
    <row r="740" spans="1:20">
      <c r="A740" s="50">
        <v>97931</v>
      </c>
      <c r="B740" s="51" t="s">
        <v>2408</v>
      </c>
      <c r="C740" s="239">
        <v>6.7600000000000003E-5</v>
      </c>
      <c r="D740" s="239">
        <v>7.0199999999999999E-5</v>
      </c>
      <c r="E740" s="223">
        <v>160370</v>
      </c>
      <c r="F740" s="223" t="s">
        <v>1930</v>
      </c>
      <c r="G740" s="237">
        <v>24741</v>
      </c>
      <c r="H740" s="225">
        <v>22014</v>
      </c>
      <c r="I740" s="237">
        <v>42556</v>
      </c>
      <c r="J740" s="236">
        <v>9841</v>
      </c>
      <c r="K740" s="93">
        <f t="shared" si="30"/>
        <v>99152</v>
      </c>
      <c r="L740" s="52"/>
      <c r="M740" s="237">
        <v>830</v>
      </c>
      <c r="N740" s="237">
        <v>0</v>
      </c>
      <c r="O740" s="236">
        <v>3109</v>
      </c>
      <c r="P740" s="93">
        <f t="shared" si="31"/>
        <v>3939</v>
      </c>
      <c r="Q740" s="52"/>
      <c r="R740" s="237">
        <v>44547</v>
      </c>
      <c r="S740" s="236">
        <v>1729</v>
      </c>
      <c r="T740" s="238">
        <v>46276</v>
      </c>
    </row>
    <row r="741" spans="1:20">
      <c r="A741" s="50">
        <v>97941</v>
      </c>
      <c r="B741" s="51" t="s">
        <v>2409</v>
      </c>
      <c r="C741" s="239">
        <v>2.0159999999999999E-4</v>
      </c>
      <c r="D741" s="239">
        <v>2.0479999999999999E-4</v>
      </c>
      <c r="E741" s="223">
        <v>478264</v>
      </c>
      <c r="F741" s="223" t="s">
        <v>1930</v>
      </c>
      <c r="G741" s="237">
        <v>73785</v>
      </c>
      <c r="H741" s="225">
        <v>65651</v>
      </c>
      <c r="I741" s="237">
        <v>126913</v>
      </c>
      <c r="J741" s="236">
        <v>19522</v>
      </c>
      <c r="K741" s="93">
        <f t="shared" si="30"/>
        <v>285871</v>
      </c>
      <c r="L741" s="52"/>
      <c r="M741" s="237">
        <v>2476</v>
      </c>
      <c r="N741" s="237">
        <v>0</v>
      </c>
      <c r="O741" s="236">
        <v>6561</v>
      </c>
      <c r="P741" s="93">
        <f t="shared" si="31"/>
        <v>9037</v>
      </c>
      <c r="Q741" s="52"/>
      <c r="R741" s="237">
        <v>132849</v>
      </c>
      <c r="S741" s="236">
        <v>9717</v>
      </c>
      <c r="T741" s="238">
        <v>142566</v>
      </c>
    </row>
    <row r="742" spans="1:20">
      <c r="A742" s="50">
        <v>97947</v>
      </c>
      <c r="B742" s="51" t="s">
        <v>1438</v>
      </c>
      <c r="C742" s="239">
        <v>1.47E-5</v>
      </c>
      <c r="D742" s="239">
        <v>1.3900000000000001E-5</v>
      </c>
      <c r="E742" s="223">
        <v>34873</v>
      </c>
      <c r="F742" s="223" t="s">
        <v>1930</v>
      </c>
      <c r="G742" s="237">
        <v>5380</v>
      </c>
      <c r="H742" s="225">
        <v>4788</v>
      </c>
      <c r="I742" s="237">
        <v>9254</v>
      </c>
      <c r="J742" s="236">
        <v>11430</v>
      </c>
      <c r="K742" s="93">
        <f t="shared" si="30"/>
        <v>30852</v>
      </c>
      <c r="L742" s="52"/>
      <c r="M742" s="237">
        <v>181</v>
      </c>
      <c r="N742" s="237">
        <v>0</v>
      </c>
      <c r="O742" s="236">
        <v>0</v>
      </c>
      <c r="P742" s="93">
        <f t="shared" si="31"/>
        <v>181</v>
      </c>
      <c r="Q742" s="52"/>
      <c r="R742" s="237">
        <v>9687</v>
      </c>
      <c r="S742" s="236">
        <v>4453</v>
      </c>
      <c r="T742" s="238">
        <v>14140</v>
      </c>
    </row>
    <row r="743" spans="1:20">
      <c r="A743" s="50">
        <v>97948</v>
      </c>
      <c r="B743" s="51" t="s">
        <v>1439</v>
      </c>
      <c r="C743" s="239">
        <v>2.1299999999999999E-5</v>
      </c>
      <c r="D743" s="239">
        <v>2.2099999999999998E-5</v>
      </c>
      <c r="E743" s="223">
        <v>50531</v>
      </c>
      <c r="F743" s="223" t="s">
        <v>1930</v>
      </c>
      <c r="G743" s="237">
        <v>7796</v>
      </c>
      <c r="H743" s="225">
        <v>6936</v>
      </c>
      <c r="I743" s="237">
        <v>13409</v>
      </c>
      <c r="J743" s="236">
        <v>1178</v>
      </c>
      <c r="K743" s="93">
        <f t="shared" si="30"/>
        <v>29319</v>
      </c>
      <c r="L743" s="52"/>
      <c r="M743" s="237">
        <v>262</v>
      </c>
      <c r="N743" s="237">
        <v>0</v>
      </c>
      <c r="O743" s="236">
        <v>6237</v>
      </c>
      <c r="P743" s="93">
        <f t="shared" si="31"/>
        <v>6499</v>
      </c>
      <c r="Q743" s="52"/>
      <c r="R743" s="237">
        <v>14036</v>
      </c>
      <c r="S743" s="236">
        <v>-878</v>
      </c>
      <c r="T743" s="238">
        <v>13158</v>
      </c>
    </row>
    <row r="744" spans="1:20">
      <c r="A744" s="50">
        <v>97951</v>
      </c>
      <c r="B744" s="51" t="s">
        <v>1440</v>
      </c>
      <c r="C744" s="239">
        <v>1.1826E-3</v>
      </c>
      <c r="D744" s="239">
        <v>1.2440999999999999E-3</v>
      </c>
      <c r="E744" s="223">
        <v>2805532</v>
      </c>
      <c r="F744" s="223" t="s">
        <v>1930</v>
      </c>
      <c r="G744" s="237">
        <v>432827</v>
      </c>
      <c r="H744" s="225">
        <v>385116</v>
      </c>
      <c r="I744" s="237">
        <v>744480</v>
      </c>
      <c r="J744" s="236">
        <v>20429</v>
      </c>
      <c r="K744" s="93">
        <f t="shared" si="30"/>
        <v>1582852</v>
      </c>
      <c r="L744" s="52"/>
      <c r="M744" s="237">
        <v>14524</v>
      </c>
      <c r="N744" s="237">
        <v>0</v>
      </c>
      <c r="O744" s="236">
        <v>100</v>
      </c>
      <c r="P744" s="93">
        <f t="shared" si="31"/>
        <v>14624</v>
      </c>
      <c r="Q744" s="52"/>
      <c r="R744" s="237">
        <v>779301</v>
      </c>
      <c r="S744" s="236">
        <v>4342</v>
      </c>
      <c r="T744" s="238">
        <v>783643</v>
      </c>
    </row>
    <row r="745" spans="1:20">
      <c r="A745" s="50">
        <v>97957</v>
      </c>
      <c r="B745" s="51" t="s">
        <v>1441</v>
      </c>
      <c r="C745" s="239">
        <v>1.7200000000000001E-5</v>
      </c>
      <c r="D745" s="239">
        <v>1.8700000000000001E-5</v>
      </c>
      <c r="E745" s="223">
        <v>40804</v>
      </c>
      <c r="F745" s="223" t="s">
        <v>1930</v>
      </c>
      <c r="G745" s="237">
        <v>6295</v>
      </c>
      <c r="H745" s="225">
        <v>5601</v>
      </c>
      <c r="I745" s="237">
        <v>10828</v>
      </c>
      <c r="J745" s="236">
        <v>5813</v>
      </c>
      <c r="K745" s="93">
        <f t="shared" si="30"/>
        <v>28537</v>
      </c>
      <c r="L745" s="52"/>
      <c r="M745" s="237">
        <v>211</v>
      </c>
      <c r="N745" s="237">
        <v>0</v>
      </c>
      <c r="O745" s="236">
        <v>466</v>
      </c>
      <c r="P745" s="93">
        <f t="shared" si="31"/>
        <v>677</v>
      </c>
      <c r="Q745" s="52"/>
      <c r="R745" s="237">
        <v>11334</v>
      </c>
      <c r="S745" s="236">
        <v>1280</v>
      </c>
      <c r="T745" s="238">
        <v>12614</v>
      </c>
    </row>
    <row r="746" spans="1:20">
      <c r="A746" s="50">
        <v>98001</v>
      </c>
      <c r="B746" s="51" t="s">
        <v>1442</v>
      </c>
      <c r="C746" s="239">
        <v>5.3728999999999999E-3</v>
      </c>
      <c r="D746" s="239">
        <v>5.1148000000000001E-3</v>
      </c>
      <c r="E746" s="223">
        <v>12746356</v>
      </c>
      <c r="F746" s="223" t="s">
        <v>1930</v>
      </c>
      <c r="G746" s="237">
        <v>1966460</v>
      </c>
      <c r="H746" s="225">
        <v>1749696</v>
      </c>
      <c r="I746" s="237">
        <v>3382391</v>
      </c>
      <c r="J746" s="236">
        <v>275498</v>
      </c>
      <c r="K746" s="93">
        <f t="shared" si="30"/>
        <v>7374045</v>
      </c>
      <c r="L746" s="52"/>
      <c r="M746" s="237">
        <v>65985</v>
      </c>
      <c r="N746" s="237">
        <v>0</v>
      </c>
      <c r="O746" s="236">
        <v>0</v>
      </c>
      <c r="P746" s="93">
        <f t="shared" si="31"/>
        <v>65985</v>
      </c>
      <c r="Q746" s="52"/>
      <c r="R746" s="237">
        <v>3540596</v>
      </c>
      <c r="S746" s="236">
        <v>124587</v>
      </c>
      <c r="T746" s="238">
        <v>3665183</v>
      </c>
    </row>
    <row r="747" spans="1:20">
      <c r="A747" s="50">
        <v>98002</v>
      </c>
      <c r="B747" s="51" t="s">
        <v>1443</v>
      </c>
      <c r="C747" s="239">
        <v>6.4999999999999996E-6</v>
      </c>
      <c r="D747" s="239">
        <v>6.7000000000000002E-6</v>
      </c>
      <c r="E747" s="223">
        <v>15420</v>
      </c>
      <c r="F747" s="223" t="s">
        <v>1930</v>
      </c>
      <c r="G747" s="237">
        <v>2379</v>
      </c>
      <c r="H747" s="225">
        <v>2117</v>
      </c>
      <c r="I747" s="237">
        <v>4092</v>
      </c>
      <c r="J747" s="236">
        <v>1772</v>
      </c>
      <c r="K747" s="93">
        <f t="shared" si="30"/>
        <v>10360</v>
      </c>
      <c r="L747" s="52"/>
      <c r="M747" s="237">
        <v>80</v>
      </c>
      <c r="N747" s="237">
        <v>0</v>
      </c>
      <c r="O747" s="236">
        <v>0</v>
      </c>
      <c r="P747" s="93">
        <f t="shared" si="31"/>
        <v>80</v>
      </c>
      <c r="Q747" s="52"/>
      <c r="R747" s="237">
        <v>4283</v>
      </c>
      <c r="S747" s="236">
        <v>-5879</v>
      </c>
      <c r="T747" s="238">
        <v>-1596</v>
      </c>
    </row>
    <row r="748" spans="1:20">
      <c r="A748" s="50">
        <v>98003</v>
      </c>
      <c r="B748" s="51" t="s">
        <v>1444</v>
      </c>
      <c r="C748" s="239">
        <v>7.7000000000000001E-5</v>
      </c>
      <c r="D748" s="239">
        <v>7.9599999999999997E-5</v>
      </c>
      <c r="E748" s="223">
        <v>182670</v>
      </c>
      <c r="F748" s="223" t="s">
        <v>1930</v>
      </c>
      <c r="G748" s="237">
        <v>28182</v>
      </c>
      <c r="H748" s="225">
        <v>25075</v>
      </c>
      <c r="I748" s="237">
        <v>48474</v>
      </c>
      <c r="J748" s="236">
        <v>62655</v>
      </c>
      <c r="K748" s="93">
        <f t="shared" si="30"/>
        <v>164386</v>
      </c>
      <c r="L748" s="52"/>
      <c r="M748" s="237">
        <v>946</v>
      </c>
      <c r="N748" s="237">
        <v>0</v>
      </c>
      <c r="O748" s="236">
        <v>0</v>
      </c>
      <c r="P748" s="93">
        <f t="shared" si="31"/>
        <v>946</v>
      </c>
      <c r="Q748" s="52"/>
      <c r="R748" s="237">
        <v>50741</v>
      </c>
      <c r="S748" s="236">
        <v>25199</v>
      </c>
      <c r="T748" s="238">
        <v>75940</v>
      </c>
    </row>
    <row r="749" spans="1:20">
      <c r="A749" s="50">
        <v>98004</v>
      </c>
      <c r="B749" s="51" t="s">
        <v>1445</v>
      </c>
      <c r="C749" s="239">
        <v>1.189E-4</v>
      </c>
      <c r="D749" s="239">
        <v>1.182E-4</v>
      </c>
      <c r="E749" s="223">
        <v>282071</v>
      </c>
      <c r="F749" s="223" t="s">
        <v>1930</v>
      </c>
      <c r="G749" s="237">
        <v>43517</v>
      </c>
      <c r="H749" s="225">
        <v>38720</v>
      </c>
      <c r="I749" s="237">
        <v>74851</v>
      </c>
      <c r="J749" s="236">
        <v>41871</v>
      </c>
      <c r="K749" s="93">
        <f t="shared" si="30"/>
        <v>198959</v>
      </c>
      <c r="L749" s="52"/>
      <c r="M749" s="237">
        <v>1460</v>
      </c>
      <c r="N749" s="237">
        <v>0</v>
      </c>
      <c r="O749" s="236">
        <v>0</v>
      </c>
      <c r="P749" s="93">
        <f t="shared" si="31"/>
        <v>1460</v>
      </c>
      <c r="Q749" s="52"/>
      <c r="R749" s="237">
        <v>78352</v>
      </c>
      <c r="S749" s="236">
        <v>19024</v>
      </c>
      <c r="T749" s="238">
        <v>97376</v>
      </c>
    </row>
    <row r="750" spans="1:20">
      <c r="A750" s="50">
        <v>98008</v>
      </c>
      <c r="B750" s="51" t="s">
        <v>1446</v>
      </c>
      <c r="C750" s="239">
        <v>7.7000000000000008E-6</v>
      </c>
      <c r="D750" s="239">
        <v>7.9999999999999996E-6</v>
      </c>
      <c r="E750" s="223">
        <v>18267</v>
      </c>
      <c r="F750" s="223" t="s">
        <v>1930</v>
      </c>
      <c r="G750" s="237">
        <v>2818</v>
      </c>
      <c r="H750" s="225">
        <v>2507</v>
      </c>
      <c r="I750" s="237">
        <v>4847</v>
      </c>
      <c r="J750" s="236">
        <v>20</v>
      </c>
      <c r="K750" s="93">
        <f t="shared" si="30"/>
        <v>10192</v>
      </c>
      <c r="L750" s="52"/>
      <c r="M750" s="237">
        <v>95</v>
      </c>
      <c r="N750" s="237">
        <v>0</v>
      </c>
      <c r="O750" s="236">
        <v>556</v>
      </c>
      <c r="P750" s="93">
        <f t="shared" si="31"/>
        <v>651</v>
      </c>
      <c r="Q750" s="52"/>
      <c r="R750" s="237">
        <v>5074</v>
      </c>
      <c r="S750" s="236">
        <v>-548</v>
      </c>
      <c r="T750" s="238">
        <v>4526</v>
      </c>
    </row>
    <row r="751" spans="1:20">
      <c r="A751" s="50">
        <v>98011</v>
      </c>
      <c r="B751" s="51" t="s">
        <v>1447</v>
      </c>
      <c r="C751" s="239">
        <v>3.2946999999999998E-3</v>
      </c>
      <c r="D751" s="239">
        <v>3.1578999999999999E-3</v>
      </c>
      <c r="E751" s="223">
        <v>7816155</v>
      </c>
      <c r="F751" s="223" t="s">
        <v>1930</v>
      </c>
      <c r="G751" s="237">
        <v>1205847</v>
      </c>
      <c r="H751" s="225">
        <v>1072925</v>
      </c>
      <c r="I751" s="237">
        <v>2074106</v>
      </c>
      <c r="J751" s="236">
        <v>81290</v>
      </c>
      <c r="K751" s="93">
        <f t="shared" si="30"/>
        <v>4434168</v>
      </c>
      <c r="L751" s="52"/>
      <c r="M751" s="237">
        <v>40462</v>
      </c>
      <c r="N751" s="237">
        <v>0</v>
      </c>
      <c r="O751" s="236">
        <v>168657</v>
      </c>
      <c r="P751" s="93">
        <f t="shared" si="31"/>
        <v>209119</v>
      </c>
      <c r="Q751" s="52"/>
      <c r="R751" s="237">
        <v>2171118</v>
      </c>
      <c r="S751" s="236">
        <v>-126045</v>
      </c>
      <c r="T751" s="238">
        <v>2045073</v>
      </c>
    </row>
    <row r="752" spans="1:20">
      <c r="A752" s="50">
        <v>98013</v>
      </c>
      <c r="B752" s="51" t="s">
        <v>2771</v>
      </c>
      <c r="C752" s="239">
        <v>1.3439999999999999E-4</v>
      </c>
      <c r="D752" s="239">
        <v>1.415E-4</v>
      </c>
      <c r="E752" s="52">
        <v>318843</v>
      </c>
      <c r="F752" s="52"/>
      <c r="G752" s="237">
        <v>49190</v>
      </c>
      <c r="H752" s="225">
        <v>43768</v>
      </c>
      <c r="I752" s="237">
        <v>84609</v>
      </c>
      <c r="J752" s="236">
        <v>137928</v>
      </c>
      <c r="K752" s="93">
        <f t="shared" si="30"/>
        <v>315495</v>
      </c>
      <c r="L752" s="52"/>
      <c r="M752" s="237">
        <v>1651</v>
      </c>
      <c r="N752" s="237">
        <v>0</v>
      </c>
      <c r="O752" s="236">
        <v>0</v>
      </c>
      <c r="P752" s="93">
        <f t="shared" si="31"/>
        <v>1651</v>
      </c>
      <c r="Q752" s="52"/>
      <c r="R752" s="237">
        <v>88566</v>
      </c>
      <c r="S752" s="236">
        <v>55732</v>
      </c>
      <c r="T752" s="238">
        <v>144298</v>
      </c>
    </row>
    <row r="753" spans="1:20">
      <c r="A753" s="50">
        <v>98021</v>
      </c>
      <c r="B753" s="51" t="s">
        <v>2410</v>
      </c>
      <c r="C753" s="239">
        <v>3.6100000000000003E-5</v>
      </c>
      <c r="D753" s="239">
        <v>8.6199999999999995E-5</v>
      </c>
      <c r="E753" s="52">
        <v>85642</v>
      </c>
      <c r="F753" s="52"/>
      <c r="G753" s="237">
        <v>13212</v>
      </c>
      <c r="H753" s="225">
        <v>11756</v>
      </c>
      <c r="I753" s="237">
        <v>22726</v>
      </c>
      <c r="J753" s="236">
        <v>6068</v>
      </c>
      <c r="K753" s="93">
        <f t="shared" si="30"/>
        <v>53762</v>
      </c>
      <c r="L753" s="52"/>
      <c r="M753" s="237">
        <v>443</v>
      </c>
      <c r="N753" s="237">
        <v>0</v>
      </c>
      <c r="O753" s="236">
        <v>29951</v>
      </c>
      <c r="P753" s="93">
        <f t="shared" si="31"/>
        <v>30394</v>
      </c>
      <c r="Q753" s="52"/>
      <c r="R753" s="237">
        <v>23789</v>
      </c>
      <c r="S753" s="236">
        <v>-559</v>
      </c>
      <c r="T753" s="238">
        <v>23230</v>
      </c>
    </row>
    <row r="754" spans="1:20">
      <c r="A754" s="50">
        <v>98023</v>
      </c>
      <c r="B754" s="51" t="s">
        <v>1450</v>
      </c>
      <c r="C754" s="239">
        <v>1.88E-5</v>
      </c>
      <c r="D754" s="239">
        <v>1.43E-5</v>
      </c>
      <c r="E754" s="52">
        <v>44600</v>
      </c>
      <c r="F754" s="52"/>
      <c r="G754" s="237">
        <v>6881</v>
      </c>
      <c r="H754" s="225">
        <v>6122</v>
      </c>
      <c r="I754" s="237">
        <v>11835</v>
      </c>
      <c r="J754" s="236">
        <v>1700</v>
      </c>
      <c r="K754" s="93">
        <f t="shared" si="30"/>
        <v>26538</v>
      </c>
      <c r="L754" s="52"/>
      <c r="M754" s="237">
        <v>231</v>
      </c>
      <c r="N754" s="237">
        <v>0</v>
      </c>
      <c r="O754" s="236">
        <v>2588</v>
      </c>
      <c r="P754" s="93">
        <f t="shared" si="31"/>
        <v>2819</v>
      </c>
      <c r="Q754" s="52"/>
      <c r="R754" s="237">
        <v>12389</v>
      </c>
      <c r="S754" s="236">
        <v>-2200</v>
      </c>
      <c r="T754" s="238">
        <v>10189</v>
      </c>
    </row>
    <row r="755" spans="1:20">
      <c r="A755" s="50">
        <v>98031</v>
      </c>
      <c r="B755" s="51" t="s">
        <v>2411</v>
      </c>
      <c r="C755" s="239">
        <v>1.717E-4</v>
      </c>
      <c r="D755" s="239">
        <v>1.537E-4</v>
      </c>
      <c r="E755" s="52">
        <v>407331</v>
      </c>
      <c r="F755" s="52"/>
      <c r="G755" s="237">
        <v>62842</v>
      </c>
      <c r="H755" s="225">
        <v>55914</v>
      </c>
      <c r="I755" s="237">
        <v>108090</v>
      </c>
      <c r="J755" s="236">
        <v>7268</v>
      </c>
      <c r="K755" s="93">
        <f t="shared" si="30"/>
        <v>234114</v>
      </c>
      <c r="L755" s="52"/>
      <c r="M755" s="237">
        <v>2109</v>
      </c>
      <c r="N755" s="237">
        <v>0</v>
      </c>
      <c r="O755" s="236">
        <v>5245</v>
      </c>
      <c r="P755" s="93">
        <f t="shared" si="31"/>
        <v>7354</v>
      </c>
      <c r="Q755" s="52"/>
      <c r="R755" s="237">
        <v>113146</v>
      </c>
      <c r="S755" s="236">
        <v>-92</v>
      </c>
      <c r="T755" s="238">
        <v>113054</v>
      </c>
    </row>
    <row r="756" spans="1:20">
      <c r="A756" s="50">
        <v>98041</v>
      </c>
      <c r="B756" s="51" t="s">
        <v>2412</v>
      </c>
      <c r="C756" s="239">
        <v>2.242E-4</v>
      </c>
      <c r="D756" s="239">
        <v>1.9230000000000001E-4</v>
      </c>
      <c r="E756" s="52">
        <v>531879</v>
      </c>
      <c r="F756" s="52"/>
      <c r="G756" s="237">
        <v>82056</v>
      </c>
      <c r="H756" s="225">
        <v>73011</v>
      </c>
      <c r="I756" s="237">
        <v>141140</v>
      </c>
      <c r="J756" s="236">
        <v>23837</v>
      </c>
      <c r="K756" s="93">
        <f t="shared" si="30"/>
        <v>320044</v>
      </c>
      <c r="L756" s="52"/>
      <c r="M756" s="237">
        <v>2753</v>
      </c>
      <c r="N756" s="237">
        <v>0</v>
      </c>
      <c r="O756" s="236">
        <v>1903</v>
      </c>
      <c r="P756" s="93">
        <f t="shared" si="31"/>
        <v>4656</v>
      </c>
      <c r="Q756" s="52"/>
      <c r="R756" s="237">
        <v>147742</v>
      </c>
      <c r="S756" s="236">
        <v>3840</v>
      </c>
      <c r="T756" s="238">
        <v>151582</v>
      </c>
    </row>
    <row r="757" spans="1:20">
      <c r="A757" s="50">
        <v>98051</v>
      </c>
      <c r="B757" s="51" t="s">
        <v>2413</v>
      </c>
      <c r="C757" s="239">
        <v>2.699E-4</v>
      </c>
      <c r="D757" s="239">
        <v>2.8019999999999998E-4</v>
      </c>
      <c r="E757" s="52">
        <v>640295</v>
      </c>
      <c r="F757" s="52"/>
      <c r="G757" s="237">
        <v>98782</v>
      </c>
      <c r="H757" s="225">
        <v>87893</v>
      </c>
      <c r="I757" s="237">
        <v>169910</v>
      </c>
      <c r="J757" s="236">
        <v>12423</v>
      </c>
      <c r="K757" s="93">
        <f t="shared" si="30"/>
        <v>369008</v>
      </c>
      <c r="L757" s="52"/>
      <c r="M757" s="237">
        <v>3315</v>
      </c>
      <c r="N757" s="237">
        <v>0</v>
      </c>
      <c r="O757" s="236">
        <v>5552</v>
      </c>
      <c r="P757" s="93">
        <f t="shared" si="31"/>
        <v>8867</v>
      </c>
      <c r="Q757" s="52"/>
      <c r="R757" s="237">
        <v>177857</v>
      </c>
      <c r="S757" s="236">
        <v>7633</v>
      </c>
      <c r="T757" s="238">
        <v>185490</v>
      </c>
    </row>
    <row r="758" spans="1:20">
      <c r="A758" s="50">
        <v>98061</v>
      </c>
      <c r="B758" s="51" t="s">
        <v>2414</v>
      </c>
      <c r="C758" s="239">
        <v>1.3420000000000001E-4</v>
      </c>
      <c r="D758" s="239">
        <v>1.0670000000000001E-4</v>
      </c>
      <c r="E758" s="52">
        <v>318368</v>
      </c>
      <c r="F758" s="52"/>
      <c r="G758" s="237">
        <v>49117</v>
      </c>
      <c r="H758" s="225">
        <v>43702</v>
      </c>
      <c r="I758" s="237">
        <v>84483</v>
      </c>
      <c r="J758" s="236">
        <v>14234</v>
      </c>
      <c r="K758" s="93">
        <f t="shared" si="30"/>
        <v>191536</v>
      </c>
      <c r="L758" s="52"/>
      <c r="M758" s="237">
        <v>1648</v>
      </c>
      <c r="N758" s="237">
        <v>0</v>
      </c>
      <c r="O758" s="236">
        <v>10224</v>
      </c>
      <c r="P758" s="93">
        <f t="shared" si="31"/>
        <v>11872</v>
      </c>
      <c r="Q758" s="52"/>
      <c r="R758" s="237">
        <v>88434</v>
      </c>
      <c r="S758" s="236">
        <v>-3412</v>
      </c>
      <c r="T758" s="238">
        <v>85022</v>
      </c>
    </row>
    <row r="759" spans="1:20">
      <c r="A759" s="50">
        <v>98071</v>
      </c>
      <c r="B759" s="51" t="s">
        <v>2415</v>
      </c>
      <c r="C759" s="239">
        <v>3.5800000000000003E-5</v>
      </c>
      <c r="D759" s="239">
        <v>4.0099999999999999E-5</v>
      </c>
      <c r="E759" s="52">
        <v>84930</v>
      </c>
      <c r="F759" s="52"/>
      <c r="G759" s="237">
        <v>13103</v>
      </c>
      <c r="H759" s="225">
        <v>11658</v>
      </c>
      <c r="I759" s="237">
        <v>22537</v>
      </c>
      <c r="J759" s="236">
        <v>20473</v>
      </c>
      <c r="K759" s="93">
        <f t="shared" si="30"/>
        <v>67771</v>
      </c>
      <c r="L759" s="52"/>
      <c r="M759" s="237">
        <v>440</v>
      </c>
      <c r="N759" s="237">
        <v>0</v>
      </c>
      <c r="O759" s="236">
        <v>541</v>
      </c>
      <c r="P759" s="93">
        <f t="shared" si="31"/>
        <v>981</v>
      </c>
      <c r="Q759" s="52"/>
      <c r="R759" s="237">
        <v>23591</v>
      </c>
      <c r="S759" s="236">
        <v>6474</v>
      </c>
      <c r="T759" s="238">
        <v>30065</v>
      </c>
    </row>
    <row r="760" spans="1:20">
      <c r="A760" s="50">
        <v>98081</v>
      </c>
      <c r="B760" s="51" t="s">
        <v>2416</v>
      </c>
      <c r="C760" s="239">
        <v>1.7200000000000001E-5</v>
      </c>
      <c r="D760" s="239">
        <v>1.8300000000000001E-5</v>
      </c>
      <c r="E760" s="52">
        <v>40804</v>
      </c>
      <c r="F760" s="52"/>
      <c r="G760" s="237">
        <v>6295</v>
      </c>
      <c r="H760" s="225">
        <v>5601</v>
      </c>
      <c r="I760" s="237">
        <v>10828</v>
      </c>
      <c r="J760" s="236">
        <v>0</v>
      </c>
      <c r="K760" s="93">
        <f t="shared" si="30"/>
        <v>22724</v>
      </c>
      <c r="L760" s="52"/>
      <c r="M760" s="237">
        <v>211</v>
      </c>
      <c r="N760" s="237">
        <v>0</v>
      </c>
      <c r="O760" s="236">
        <v>3428</v>
      </c>
      <c r="P760" s="93">
        <f t="shared" si="31"/>
        <v>3639</v>
      </c>
      <c r="Q760" s="52"/>
      <c r="R760" s="237">
        <v>11334</v>
      </c>
      <c r="S760" s="236">
        <v>-2166</v>
      </c>
      <c r="T760" s="238">
        <v>9168</v>
      </c>
    </row>
    <row r="761" spans="1:20">
      <c r="A761" s="50">
        <v>98091</v>
      </c>
      <c r="B761" s="51" t="s">
        <v>2417</v>
      </c>
      <c r="C761" s="239">
        <v>5.1600000000000001E-5</v>
      </c>
      <c r="D761" s="239">
        <v>4.7500000000000003E-5</v>
      </c>
      <c r="E761" s="52">
        <v>122413</v>
      </c>
      <c r="F761" s="52"/>
      <c r="G761" s="237">
        <v>18885</v>
      </c>
      <c r="H761" s="225">
        <v>16803</v>
      </c>
      <c r="I761" s="237">
        <v>32484</v>
      </c>
      <c r="J761" s="236">
        <v>5795</v>
      </c>
      <c r="K761" s="93">
        <f t="shared" si="30"/>
        <v>73967</v>
      </c>
      <c r="L761" s="52"/>
      <c r="M761" s="237">
        <v>634</v>
      </c>
      <c r="N761" s="237">
        <v>0</v>
      </c>
      <c r="O761" s="236">
        <v>0</v>
      </c>
      <c r="P761" s="93">
        <f t="shared" si="31"/>
        <v>634</v>
      </c>
      <c r="Q761" s="52"/>
      <c r="R761" s="237">
        <v>34003</v>
      </c>
      <c r="S761" s="236">
        <v>976</v>
      </c>
      <c r="T761" s="238">
        <v>34979</v>
      </c>
    </row>
    <row r="762" spans="1:20">
      <c r="A762" s="50">
        <v>98101</v>
      </c>
      <c r="B762" s="51" t="s">
        <v>1458</v>
      </c>
      <c r="C762" s="239">
        <v>2.6497999999999999E-3</v>
      </c>
      <c r="D762" s="239">
        <v>2.8706999999999999E-3</v>
      </c>
      <c r="E762" s="52">
        <v>6286232</v>
      </c>
      <c r="F762" s="52"/>
      <c r="G762" s="237">
        <v>969816</v>
      </c>
      <c r="H762" s="225">
        <v>862912</v>
      </c>
      <c r="I762" s="237">
        <v>1668123</v>
      </c>
      <c r="J762" s="236">
        <v>13234</v>
      </c>
      <c r="K762" s="93">
        <f t="shared" si="30"/>
        <v>3514085</v>
      </c>
      <c r="L762" s="52"/>
      <c r="M762" s="237">
        <v>32542</v>
      </c>
      <c r="N762" s="237">
        <v>0</v>
      </c>
      <c r="O762" s="236">
        <v>206313</v>
      </c>
      <c r="P762" s="93">
        <f t="shared" si="31"/>
        <v>238855</v>
      </c>
      <c r="Q762" s="52"/>
      <c r="R762" s="237">
        <v>1746147</v>
      </c>
      <c r="S762" s="236">
        <v>-31729</v>
      </c>
      <c r="T762" s="238">
        <v>1714418</v>
      </c>
    </row>
    <row r="763" spans="1:20">
      <c r="A763" s="50">
        <v>98102</v>
      </c>
      <c r="B763" s="51" t="s">
        <v>1459</v>
      </c>
      <c r="C763" s="239">
        <v>1.496E-4</v>
      </c>
      <c r="D763" s="239">
        <v>1.5809999999999999E-4</v>
      </c>
      <c r="E763" s="52">
        <v>354902</v>
      </c>
      <c r="F763" s="52"/>
      <c r="G763" s="237">
        <v>54753</v>
      </c>
      <c r="H763" s="225">
        <v>48718</v>
      </c>
      <c r="I763" s="237">
        <v>94177</v>
      </c>
      <c r="J763" s="236">
        <v>0</v>
      </c>
      <c r="K763" s="93">
        <f t="shared" si="30"/>
        <v>197648</v>
      </c>
      <c r="L763" s="52"/>
      <c r="M763" s="237">
        <v>1837</v>
      </c>
      <c r="N763" s="237">
        <v>0</v>
      </c>
      <c r="O763" s="236">
        <v>13146</v>
      </c>
      <c r="P763" s="93">
        <f t="shared" si="31"/>
        <v>14983</v>
      </c>
      <c r="Q763" s="52"/>
      <c r="R763" s="237">
        <v>98582</v>
      </c>
      <c r="S763" s="236">
        <v>-6674</v>
      </c>
      <c r="T763" s="238">
        <v>91908</v>
      </c>
    </row>
    <row r="764" spans="1:20">
      <c r="A764" s="50">
        <v>98103</v>
      </c>
      <c r="B764" s="51" t="s">
        <v>1460</v>
      </c>
      <c r="C764" s="239">
        <v>4.8450000000000001E-4</v>
      </c>
      <c r="D764" s="239">
        <v>5.4410000000000005E-4</v>
      </c>
      <c r="E764" s="52">
        <v>1149400</v>
      </c>
      <c r="F764" s="52"/>
      <c r="G764" s="237">
        <v>177325</v>
      </c>
      <c r="H764" s="225">
        <v>157779</v>
      </c>
      <c r="I764" s="237">
        <v>305006</v>
      </c>
      <c r="J764" s="236">
        <v>7298</v>
      </c>
      <c r="K764" s="93">
        <f t="shared" si="30"/>
        <v>647408</v>
      </c>
      <c r="L764" s="52"/>
      <c r="M764" s="237">
        <v>5950</v>
      </c>
      <c r="N764" s="237">
        <v>0</v>
      </c>
      <c r="O764" s="236">
        <v>39675</v>
      </c>
      <c r="P764" s="93">
        <f t="shared" si="31"/>
        <v>45625</v>
      </c>
      <c r="Q764" s="52"/>
      <c r="R764" s="237">
        <v>319272</v>
      </c>
      <c r="S764" s="236">
        <v>-24913</v>
      </c>
      <c r="T764" s="238">
        <v>294359</v>
      </c>
    </row>
    <row r="765" spans="1:20">
      <c r="A765" s="50">
        <v>98107</v>
      </c>
      <c r="B765" s="51" t="s">
        <v>1461</v>
      </c>
      <c r="C765" s="239">
        <v>1.01E-5</v>
      </c>
      <c r="D765" s="239">
        <v>1.08E-5</v>
      </c>
      <c r="E765" s="52">
        <v>23961</v>
      </c>
      <c r="F765" s="52"/>
      <c r="G765" s="237">
        <v>3697</v>
      </c>
      <c r="H765" s="225">
        <v>3289</v>
      </c>
      <c r="I765" s="237">
        <v>6358</v>
      </c>
      <c r="J765" s="236">
        <v>7863</v>
      </c>
      <c r="K765" s="93">
        <f t="shared" si="30"/>
        <v>21207</v>
      </c>
      <c r="L765" s="52"/>
      <c r="M765" s="237">
        <v>124</v>
      </c>
      <c r="N765" s="237">
        <v>0</v>
      </c>
      <c r="O765" s="236">
        <v>0</v>
      </c>
      <c r="P765" s="93">
        <f t="shared" si="31"/>
        <v>124</v>
      </c>
      <c r="Q765" s="52"/>
      <c r="R765" s="237">
        <v>6656</v>
      </c>
      <c r="S765" s="236">
        <v>4229</v>
      </c>
      <c r="T765" s="238">
        <v>10885</v>
      </c>
    </row>
    <row r="766" spans="1:20">
      <c r="A766" s="50">
        <v>98109</v>
      </c>
      <c r="B766" s="51" t="s">
        <v>1462</v>
      </c>
      <c r="C766" s="239">
        <v>1.4310000000000001E-4</v>
      </c>
      <c r="D766" s="239">
        <v>1.573E-4</v>
      </c>
      <c r="E766" s="52">
        <v>339482</v>
      </c>
      <c r="F766" s="52"/>
      <c r="G766" s="237">
        <v>52374</v>
      </c>
      <c r="H766" s="225">
        <v>46601</v>
      </c>
      <c r="I766" s="237">
        <v>90085</v>
      </c>
      <c r="J766" s="236">
        <v>8985</v>
      </c>
      <c r="K766" s="93">
        <f t="shared" si="30"/>
        <v>198045</v>
      </c>
      <c r="L766" s="52"/>
      <c r="M766" s="237">
        <v>1757</v>
      </c>
      <c r="N766" s="237">
        <v>0</v>
      </c>
      <c r="O766" s="236">
        <v>13377</v>
      </c>
      <c r="P766" s="93">
        <f t="shared" si="31"/>
        <v>15134</v>
      </c>
      <c r="Q766" s="52"/>
      <c r="R766" s="237">
        <v>94299</v>
      </c>
      <c r="S766" s="236">
        <v>-7438</v>
      </c>
      <c r="T766" s="238">
        <v>86861</v>
      </c>
    </row>
    <row r="767" spans="1:20">
      <c r="A767" s="50">
        <v>98111</v>
      </c>
      <c r="B767" s="51" t="s">
        <v>2418</v>
      </c>
      <c r="C767" s="239">
        <v>1.0207E-3</v>
      </c>
      <c r="D767" s="239">
        <v>1.0143000000000001E-3</v>
      </c>
      <c r="E767" s="52">
        <v>2421449</v>
      </c>
      <c r="F767" s="52"/>
      <c r="G767" s="237">
        <v>373572</v>
      </c>
      <c r="H767" s="225">
        <v>332393</v>
      </c>
      <c r="I767" s="237">
        <v>642559</v>
      </c>
      <c r="J767" s="236">
        <v>0</v>
      </c>
      <c r="K767" s="93">
        <f t="shared" si="30"/>
        <v>1348524</v>
      </c>
      <c r="L767" s="52"/>
      <c r="M767" s="237">
        <v>12535</v>
      </c>
      <c r="N767" s="237">
        <v>0</v>
      </c>
      <c r="O767" s="236">
        <v>76213</v>
      </c>
      <c r="P767" s="93">
        <f t="shared" si="31"/>
        <v>88748</v>
      </c>
      <c r="Q767" s="52"/>
      <c r="R767" s="237">
        <v>672614</v>
      </c>
      <c r="S767" s="236">
        <v>-29272</v>
      </c>
      <c r="T767" s="238">
        <v>643342</v>
      </c>
    </row>
    <row r="768" spans="1:20">
      <c r="A768" s="50">
        <v>98113</v>
      </c>
      <c r="B768" s="51" t="s">
        <v>1464</v>
      </c>
      <c r="C768" s="239">
        <v>3.8999999999999999E-5</v>
      </c>
      <c r="D768" s="239">
        <v>4.6199999999999998E-5</v>
      </c>
      <c r="E768" s="52">
        <v>92521</v>
      </c>
      <c r="F768" s="52"/>
      <c r="G768" s="237">
        <v>14274</v>
      </c>
      <c r="H768" s="225">
        <v>12700</v>
      </c>
      <c r="I768" s="237">
        <v>24552</v>
      </c>
      <c r="J768" s="236">
        <v>7102</v>
      </c>
      <c r="K768" s="93">
        <f t="shared" si="30"/>
        <v>58628</v>
      </c>
      <c r="L768" s="52"/>
      <c r="M768" s="237">
        <v>479</v>
      </c>
      <c r="N768" s="237">
        <v>0</v>
      </c>
      <c r="O768" s="236">
        <v>416</v>
      </c>
      <c r="P768" s="93">
        <f t="shared" si="31"/>
        <v>895</v>
      </c>
      <c r="Q768" s="52"/>
      <c r="R768" s="237">
        <v>25700</v>
      </c>
      <c r="S768" s="236">
        <v>4533</v>
      </c>
      <c r="T768" s="238">
        <v>30233</v>
      </c>
    </row>
    <row r="769" spans="1:20">
      <c r="A769" s="50">
        <v>98121</v>
      </c>
      <c r="B769" s="51" t="s">
        <v>2419</v>
      </c>
      <c r="C769" s="239">
        <v>2.241E-4</v>
      </c>
      <c r="D769" s="239">
        <v>2.0100000000000001E-4</v>
      </c>
      <c r="E769" s="52">
        <v>531642</v>
      </c>
      <c r="F769" s="52"/>
      <c r="G769" s="237">
        <v>82020</v>
      </c>
      <c r="H769" s="225">
        <v>72979</v>
      </c>
      <c r="I769" s="237">
        <v>141077</v>
      </c>
      <c r="J769" s="236">
        <v>5555</v>
      </c>
      <c r="K769" s="93">
        <f t="shared" si="30"/>
        <v>301631</v>
      </c>
      <c r="L769" s="52"/>
      <c r="M769" s="237">
        <v>2752</v>
      </c>
      <c r="N769" s="237">
        <v>0</v>
      </c>
      <c r="O769" s="236">
        <v>17709</v>
      </c>
      <c r="P769" s="93">
        <f t="shared" si="31"/>
        <v>20461</v>
      </c>
      <c r="Q769" s="52"/>
      <c r="R769" s="237">
        <v>147676</v>
      </c>
      <c r="S769" s="236">
        <v>-4423</v>
      </c>
      <c r="T769" s="238">
        <v>143253</v>
      </c>
    </row>
    <row r="770" spans="1:20">
      <c r="A770" s="50">
        <v>98131</v>
      </c>
      <c r="B770" s="51" t="s">
        <v>2420</v>
      </c>
      <c r="C770" s="239">
        <v>2.297E-4</v>
      </c>
      <c r="D770" s="239">
        <v>2.5230000000000001E-4</v>
      </c>
      <c r="E770" s="52">
        <v>544927</v>
      </c>
      <c r="F770" s="52"/>
      <c r="G770" s="237">
        <v>84069</v>
      </c>
      <c r="H770" s="225">
        <v>74802</v>
      </c>
      <c r="I770" s="237">
        <v>144603</v>
      </c>
      <c r="J770" s="236">
        <v>0</v>
      </c>
      <c r="K770" s="93">
        <f t="shared" si="30"/>
        <v>303474</v>
      </c>
      <c r="L770" s="52"/>
      <c r="M770" s="237">
        <v>2821</v>
      </c>
      <c r="N770" s="237">
        <v>0</v>
      </c>
      <c r="O770" s="236">
        <v>41009</v>
      </c>
      <c r="P770" s="93">
        <f t="shared" si="31"/>
        <v>43830</v>
      </c>
      <c r="Q770" s="52"/>
      <c r="R770" s="237">
        <v>151366</v>
      </c>
      <c r="S770" s="236">
        <v>-26275</v>
      </c>
      <c r="T770" s="238">
        <v>125091</v>
      </c>
    </row>
    <row r="771" spans="1:20">
      <c r="A771" s="50">
        <v>98141</v>
      </c>
      <c r="B771" s="51" t="s">
        <v>2421</v>
      </c>
      <c r="C771" s="239">
        <v>3.0160000000000001E-4</v>
      </c>
      <c r="D771" s="239">
        <v>3.0360000000000001E-4</v>
      </c>
      <c r="E771" s="52">
        <v>715498</v>
      </c>
      <c r="F771" s="52"/>
      <c r="G771" s="237">
        <v>110384</v>
      </c>
      <c r="H771" s="225">
        <v>98217</v>
      </c>
      <c r="I771" s="237">
        <v>189866</v>
      </c>
      <c r="J771" s="236">
        <v>3632</v>
      </c>
      <c r="K771" s="93">
        <f t="shared" si="30"/>
        <v>402099</v>
      </c>
      <c r="L771" s="52"/>
      <c r="M771" s="237">
        <v>3704</v>
      </c>
      <c r="N771" s="237">
        <v>0</v>
      </c>
      <c r="O771" s="236">
        <v>20500</v>
      </c>
      <c r="P771" s="93">
        <f t="shared" si="31"/>
        <v>24204</v>
      </c>
      <c r="Q771" s="52"/>
      <c r="R771" s="237">
        <v>198746</v>
      </c>
      <c r="S771" s="236">
        <v>-14365</v>
      </c>
      <c r="T771" s="238">
        <v>184381</v>
      </c>
    </row>
    <row r="772" spans="1:20">
      <c r="A772" s="50">
        <v>98147</v>
      </c>
      <c r="B772" s="51" t="s">
        <v>2422</v>
      </c>
      <c r="C772" s="239">
        <v>1.15E-5</v>
      </c>
      <c r="D772" s="239">
        <v>1.29E-5</v>
      </c>
      <c r="E772" s="52">
        <v>27282</v>
      </c>
      <c r="F772" s="52"/>
      <c r="G772" s="237">
        <v>4209</v>
      </c>
      <c r="H772" s="225">
        <v>3745</v>
      </c>
      <c r="I772" s="237">
        <v>7240</v>
      </c>
      <c r="J772" s="236">
        <v>7998</v>
      </c>
      <c r="K772" s="93">
        <f t="shared" si="30"/>
        <v>23192</v>
      </c>
      <c r="L772" s="52"/>
      <c r="M772" s="237">
        <v>141</v>
      </c>
      <c r="N772" s="237">
        <v>0</v>
      </c>
      <c r="O772" s="236">
        <v>0</v>
      </c>
      <c r="P772" s="93">
        <f t="shared" si="31"/>
        <v>141</v>
      </c>
      <c r="Q772" s="52"/>
      <c r="R772" s="237">
        <v>7578</v>
      </c>
      <c r="S772" s="236">
        <v>4051</v>
      </c>
      <c r="T772" s="238">
        <v>11629</v>
      </c>
    </row>
    <row r="773" spans="1:20">
      <c r="A773" s="50">
        <v>98161</v>
      </c>
      <c r="B773" s="51" t="s">
        <v>2423</v>
      </c>
      <c r="C773" s="239">
        <v>6.7000000000000002E-6</v>
      </c>
      <c r="D773" s="239">
        <v>7.3000000000000004E-6</v>
      </c>
      <c r="E773" s="52">
        <v>15895</v>
      </c>
      <c r="F773" s="52"/>
      <c r="G773" s="237">
        <v>2452</v>
      </c>
      <c r="H773" s="225">
        <v>2182</v>
      </c>
      <c r="I773" s="237">
        <v>4218</v>
      </c>
      <c r="J773" s="236">
        <v>2865</v>
      </c>
      <c r="K773" s="93">
        <f t="shared" si="30"/>
        <v>11717</v>
      </c>
      <c r="L773" s="52"/>
      <c r="M773" s="237">
        <v>82</v>
      </c>
      <c r="N773" s="237">
        <v>0</v>
      </c>
      <c r="O773" s="236">
        <v>0</v>
      </c>
      <c r="P773" s="93">
        <f t="shared" si="31"/>
        <v>82</v>
      </c>
      <c r="Q773" s="52"/>
      <c r="R773" s="237">
        <v>4415</v>
      </c>
      <c r="S773" s="236">
        <v>1383</v>
      </c>
      <c r="T773" s="238">
        <v>5798</v>
      </c>
    </row>
    <row r="774" spans="1:20">
      <c r="A774" s="50">
        <v>98201</v>
      </c>
      <c r="B774" s="51" t="s">
        <v>1470</v>
      </c>
      <c r="C774" s="239">
        <v>3.1725E-3</v>
      </c>
      <c r="D774" s="239">
        <v>3.1664000000000002E-3</v>
      </c>
      <c r="E774" s="52">
        <v>7526255</v>
      </c>
      <c r="F774" s="52"/>
      <c r="G774" s="237">
        <v>1161122</v>
      </c>
      <c r="H774" s="225">
        <v>1033131</v>
      </c>
      <c r="I774" s="237">
        <v>1997178</v>
      </c>
      <c r="J774" s="236">
        <v>47695</v>
      </c>
      <c r="K774" s="93">
        <f t="shared" si="30"/>
        <v>4239126</v>
      </c>
      <c r="L774" s="52"/>
      <c r="M774" s="237">
        <v>38961</v>
      </c>
      <c r="N774" s="237">
        <v>0</v>
      </c>
      <c r="O774" s="236">
        <v>50438</v>
      </c>
      <c r="P774" s="93">
        <f t="shared" si="31"/>
        <v>89399</v>
      </c>
      <c r="Q774" s="52"/>
      <c r="R774" s="237">
        <v>2090592</v>
      </c>
      <c r="S774" s="236">
        <v>-13335</v>
      </c>
      <c r="T774" s="238">
        <v>2077257</v>
      </c>
    </row>
    <row r="775" spans="1:20">
      <c r="A775" s="50">
        <v>98205</v>
      </c>
      <c r="B775" s="51" t="s">
        <v>1471</v>
      </c>
      <c r="C775" s="239">
        <v>3.6100000000000003E-5</v>
      </c>
      <c r="D775" s="239">
        <v>4.6799999999999999E-5</v>
      </c>
      <c r="E775" s="52">
        <v>85642</v>
      </c>
      <c r="F775" s="52"/>
      <c r="G775" s="237">
        <v>13212</v>
      </c>
      <c r="H775" s="225">
        <v>11756</v>
      </c>
      <c r="I775" s="237">
        <v>22726</v>
      </c>
      <c r="J775" s="236">
        <v>1169</v>
      </c>
      <c r="K775" s="93">
        <f t="shared" si="30"/>
        <v>48863</v>
      </c>
      <c r="L775" s="52"/>
      <c r="M775" s="237">
        <v>443</v>
      </c>
      <c r="N775" s="237">
        <v>0</v>
      </c>
      <c r="O775" s="236">
        <v>6010</v>
      </c>
      <c r="P775" s="93">
        <f t="shared" si="31"/>
        <v>6453</v>
      </c>
      <c r="Q775" s="52"/>
      <c r="R775" s="237">
        <v>23789</v>
      </c>
      <c r="S775" s="236">
        <v>-1258</v>
      </c>
      <c r="T775" s="238">
        <v>22531</v>
      </c>
    </row>
    <row r="776" spans="1:20">
      <c r="A776" s="50">
        <v>98211</v>
      </c>
      <c r="B776" s="51" t="s">
        <v>1472</v>
      </c>
      <c r="C776" s="239">
        <v>8.5470000000000001E-4</v>
      </c>
      <c r="D776" s="239">
        <v>8.6689999999999998E-4</v>
      </c>
      <c r="E776" s="52">
        <v>2027641</v>
      </c>
      <c r="F776" s="52"/>
      <c r="G776" s="237">
        <v>312817</v>
      </c>
      <c r="H776" s="225">
        <v>278335</v>
      </c>
      <c r="I776" s="237">
        <v>538058</v>
      </c>
      <c r="J776" s="236">
        <v>0</v>
      </c>
      <c r="K776" s="93">
        <f t="shared" si="30"/>
        <v>1129210</v>
      </c>
      <c r="L776" s="52"/>
      <c r="M776" s="237">
        <v>10497</v>
      </c>
      <c r="N776" s="237">
        <v>0</v>
      </c>
      <c r="O776" s="236">
        <v>112320</v>
      </c>
      <c r="P776" s="93">
        <f t="shared" si="31"/>
        <v>122817</v>
      </c>
      <c r="Q776" s="52"/>
      <c r="R776" s="237">
        <v>563224</v>
      </c>
      <c r="S776" s="236">
        <v>-56480</v>
      </c>
      <c r="T776" s="238">
        <v>506744</v>
      </c>
    </row>
    <row r="777" spans="1:20">
      <c r="A777" s="50">
        <v>98218</v>
      </c>
      <c r="B777" s="51" t="s">
        <v>1473</v>
      </c>
      <c r="C777" s="239">
        <v>1.5500000000000001E-5</v>
      </c>
      <c r="D777" s="239">
        <v>1.3200000000000001E-5</v>
      </c>
      <c r="E777" s="52">
        <v>36771</v>
      </c>
      <c r="F777" s="52"/>
      <c r="G777" s="237">
        <v>5673</v>
      </c>
      <c r="H777" s="225">
        <v>5047</v>
      </c>
      <c r="I777" s="237">
        <v>9758</v>
      </c>
      <c r="J777" s="236">
        <v>3767</v>
      </c>
      <c r="K777" s="93">
        <f t="shared" si="30"/>
        <v>24245</v>
      </c>
      <c r="L777" s="52"/>
      <c r="M777" s="237">
        <v>190</v>
      </c>
      <c r="N777" s="237">
        <v>0</v>
      </c>
      <c r="O777" s="236">
        <v>285</v>
      </c>
      <c r="P777" s="93">
        <f t="shared" si="31"/>
        <v>475</v>
      </c>
      <c r="Q777" s="52"/>
      <c r="R777" s="237">
        <v>10214</v>
      </c>
      <c r="S777" s="236">
        <v>269</v>
      </c>
      <c r="T777" s="238">
        <v>10483</v>
      </c>
    </row>
    <row r="778" spans="1:20">
      <c r="A778" s="50">
        <v>98221</v>
      </c>
      <c r="B778" s="51" t="s">
        <v>2424</v>
      </c>
      <c r="C778" s="239">
        <v>1.8499999999999999E-5</v>
      </c>
      <c r="D778" s="239">
        <v>1.8899999999999999E-5</v>
      </c>
      <c r="E778" s="52">
        <v>43888</v>
      </c>
      <c r="F778" s="52"/>
      <c r="G778" s="237">
        <v>6771</v>
      </c>
      <c r="H778" s="225">
        <v>6025</v>
      </c>
      <c r="I778" s="237">
        <v>11646</v>
      </c>
      <c r="J778" s="236">
        <v>4486</v>
      </c>
      <c r="K778" s="93">
        <f t="shared" si="30"/>
        <v>28928</v>
      </c>
      <c r="L778" s="52"/>
      <c r="M778" s="237">
        <v>227</v>
      </c>
      <c r="N778" s="237">
        <v>0</v>
      </c>
      <c r="O778" s="236">
        <v>0</v>
      </c>
      <c r="P778" s="93">
        <f t="shared" si="31"/>
        <v>227</v>
      </c>
      <c r="Q778" s="52"/>
      <c r="R778" s="237">
        <v>12191</v>
      </c>
      <c r="S778" s="236">
        <v>1809</v>
      </c>
      <c r="T778" s="238">
        <v>14000</v>
      </c>
    </row>
    <row r="779" spans="1:20">
      <c r="A779" s="50">
        <v>98231</v>
      </c>
      <c r="B779" s="51" t="s">
        <v>2425</v>
      </c>
      <c r="C779" s="239">
        <v>3.1000000000000001E-5</v>
      </c>
      <c r="D779" s="239">
        <v>2.2799999999999999E-5</v>
      </c>
      <c r="E779" s="52">
        <v>73543</v>
      </c>
      <c r="F779" s="52"/>
      <c r="G779" s="237">
        <v>11346</v>
      </c>
      <c r="H779" s="225">
        <v>10096</v>
      </c>
      <c r="I779" s="237">
        <v>19515</v>
      </c>
      <c r="J779" s="236">
        <v>7747</v>
      </c>
      <c r="K779" s="93">
        <f t="shared" si="30"/>
        <v>48704</v>
      </c>
      <c r="L779" s="52"/>
      <c r="M779" s="237">
        <v>381</v>
      </c>
      <c r="N779" s="237">
        <v>0</v>
      </c>
      <c r="O779" s="236">
        <v>5129</v>
      </c>
      <c r="P779" s="93">
        <f t="shared" si="31"/>
        <v>5510</v>
      </c>
      <c r="Q779" s="52"/>
      <c r="R779" s="237">
        <v>20428</v>
      </c>
      <c r="S779" s="236">
        <v>-1821</v>
      </c>
      <c r="T779" s="238">
        <v>18607</v>
      </c>
    </row>
    <row r="780" spans="1:20">
      <c r="A780" s="50">
        <v>98237</v>
      </c>
      <c r="B780" s="51" t="s">
        <v>1476</v>
      </c>
      <c r="C780" s="239">
        <v>5.5999999999999997E-6</v>
      </c>
      <c r="D780" s="239">
        <v>5.9000000000000003E-6</v>
      </c>
      <c r="E780" s="52">
        <v>13285</v>
      </c>
      <c r="F780" s="52"/>
      <c r="G780" s="237">
        <v>2050</v>
      </c>
      <c r="H780" s="225">
        <v>1823</v>
      </c>
      <c r="I780" s="237">
        <v>3525</v>
      </c>
      <c r="J780" s="236">
        <v>4018</v>
      </c>
      <c r="K780" s="93">
        <f t="shared" si="30"/>
        <v>11416</v>
      </c>
      <c r="L780" s="52"/>
      <c r="M780" s="237">
        <v>69</v>
      </c>
      <c r="N780" s="237">
        <v>0</v>
      </c>
      <c r="O780" s="236">
        <v>0</v>
      </c>
      <c r="P780" s="93">
        <f t="shared" si="31"/>
        <v>69</v>
      </c>
      <c r="Q780" s="52"/>
      <c r="R780" s="237">
        <v>3690</v>
      </c>
      <c r="S780" s="236">
        <v>1826</v>
      </c>
      <c r="T780" s="238">
        <v>5516</v>
      </c>
    </row>
    <row r="781" spans="1:20">
      <c r="A781" s="50">
        <v>98241</v>
      </c>
      <c r="B781" s="51" t="s">
        <v>2426</v>
      </c>
      <c r="C781" s="239">
        <v>1.22E-5</v>
      </c>
      <c r="D781" s="239">
        <v>1.5099999999999999E-5</v>
      </c>
      <c r="E781" s="52">
        <v>28943</v>
      </c>
      <c r="F781" s="52"/>
      <c r="G781" s="237">
        <v>4465</v>
      </c>
      <c r="H781" s="225">
        <v>3973</v>
      </c>
      <c r="I781" s="237">
        <v>7680</v>
      </c>
      <c r="J781" s="236">
        <v>2352</v>
      </c>
      <c r="K781" s="93">
        <f t="shared" si="30"/>
        <v>18470</v>
      </c>
      <c r="L781" s="52"/>
      <c r="M781" s="237">
        <v>150</v>
      </c>
      <c r="N781" s="237">
        <v>0</v>
      </c>
      <c r="O781" s="236">
        <v>2460</v>
      </c>
      <c r="P781" s="93">
        <f t="shared" si="31"/>
        <v>2610</v>
      </c>
      <c r="Q781" s="52"/>
      <c r="R781" s="237">
        <v>8039</v>
      </c>
      <c r="S781" s="236">
        <v>2327</v>
      </c>
      <c r="T781" s="238">
        <v>10366</v>
      </c>
    </row>
    <row r="782" spans="1:20">
      <c r="A782" s="50">
        <v>98251</v>
      </c>
      <c r="B782" s="51" t="s">
        <v>2427</v>
      </c>
      <c r="C782" s="239">
        <v>2.7E-6</v>
      </c>
      <c r="D782" s="239">
        <v>3.0000000000000001E-6</v>
      </c>
      <c r="E782" s="52">
        <v>6405</v>
      </c>
      <c r="F782" s="52"/>
      <c r="G782" s="237">
        <v>988</v>
      </c>
      <c r="H782" s="225">
        <v>879</v>
      </c>
      <c r="I782" s="237">
        <v>1700</v>
      </c>
      <c r="J782" s="236">
        <v>1458</v>
      </c>
      <c r="K782" s="93">
        <f t="shared" si="30"/>
        <v>5025</v>
      </c>
      <c r="L782" s="52"/>
      <c r="M782" s="237">
        <v>33</v>
      </c>
      <c r="N782" s="237">
        <v>0</v>
      </c>
      <c r="O782" s="236">
        <v>0</v>
      </c>
      <c r="P782" s="93">
        <f t="shared" si="31"/>
        <v>33</v>
      </c>
      <c r="Q782" s="52"/>
      <c r="R782" s="237">
        <v>1779</v>
      </c>
      <c r="S782" s="236">
        <v>722</v>
      </c>
      <c r="T782" s="238">
        <v>2501</v>
      </c>
    </row>
    <row r="783" spans="1:20">
      <c r="A783" s="50">
        <v>98261</v>
      </c>
      <c r="B783" s="51" t="s">
        <v>2428</v>
      </c>
      <c r="C783" s="239">
        <v>3.3099999999999998E-5</v>
      </c>
      <c r="D783" s="239">
        <v>3.3200000000000001E-5</v>
      </c>
      <c r="E783" s="52">
        <v>78525</v>
      </c>
      <c r="F783" s="52"/>
      <c r="G783" s="237">
        <v>12114</v>
      </c>
      <c r="H783" s="225">
        <v>10779</v>
      </c>
      <c r="I783" s="237">
        <v>20837</v>
      </c>
      <c r="J783" s="236">
        <v>6529</v>
      </c>
      <c r="K783" s="93">
        <f t="shared" si="30"/>
        <v>50259</v>
      </c>
      <c r="L783" s="52"/>
      <c r="M783" s="237">
        <v>407</v>
      </c>
      <c r="N783" s="237">
        <v>0</v>
      </c>
      <c r="O783" s="236">
        <v>3201</v>
      </c>
      <c r="P783" s="93">
        <f t="shared" si="31"/>
        <v>3608</v>
      </c>
      <c r="Q783" s="52"/>
      <c r="R783" s="237">
        <v>21812</v>
      </c>
      <c r="S783" s="236">
        <v>1417</v>
      </c>
      <c r="T783" s="238">
        <v>23229</v>
      </c>
    </row>
    <row r="784" spans="1:20">
      <c r="A784" s="50">
        <v>98271</v>
      </c>
      <c r="B784" s="51" t="s">
        <v>2429</v>
      </c>
      <c r="C784" s="239">
        <v>5.3000000000000001E-6</v>
      </c>
      <c r="D784" s="239">
        <v>5.1000000000000003E-6</v>
      </c>
      <c r="E784" s="52">
        <v>12573</v>
      </c>
      <c r="F784" s="52"/>
      <c r="G784" s="237">
        <v>1940</v>
      </c>
      <c r="H784" s="225">
        <v>1726</v>
      </c>
      <c r="I784" s="237">
        <v>3336</v>
      </c>
      <c r="J784" s="236">
        <v>2879</v>
      </c>
      <c r="K784" s="93">
        <f t="shared" si="30"/>
        <v>9881</v>
      </c>
      <c r="L784" s="52"/>
      <c r="M784" s="237">
        <v>65</v>
      </c>
      <c r="N784" s="237">
        <v>0</v>
      </c>
      <c r="O784" s="236">
        <v>0</v>
      </c>
      <c r="P784" s="93">
        <f t="shared" si="31"/>
        <v>65</v>
      </c>
      <c r="Q784" s="52"/>
      <c r="R784" s="237">
        <v>3493</v>
      </c>
      <c r="S784" s="236">
        <v>1857</v>
      </c>
      <c r="T784" s="238">
        <v>5350</v>
      </c>
    </row>
    <row r="785" spans="1:20">
      <c r="A785" s="50">
        <v>98301</v>
      </c>
      <c r="B785" s="51" t="s">
        <v>1481</v>
      </c>
      <c r="C785" s="239">
        <v>1.7489999999999999E-3</v>
      </c>
      <c r="D785" s="239">
        <v>1.7542E-3</v>
      </c>
      <c r="E785" s="52">
        <v>4149226</v>
      </c>
      <c r="F785" s="52"/>
      <c r="G785" s="237">
        <v>640127</v>
      </c>
      <c r="H785" s="225">
        <v>569565</v>
      </c>
      <c r="I785" s="237">
        <v>1101044</v>
      </c>
      <c r="J785" s="236">
        <v>56900</v>
      </c>
      <c r="K785" s="93">
        <f t="shared" si="30"/>
        <v>2367636</v>
      </c>
      <c r="L785" s="52"/>
      <c r="M785" s="237">
        <v>21479</v>
      </c>
      <c r="N785" s="237">
        <v>0</v>
      </c>
      <c r="O785" s="236">
        <v>0</v>
      </c>
      <c r="P785" s="93">
        <f t="shared" si="31"/>
        <v>21479</v>
      </c>
      <c r="Q785" s="52"/>
      <c r="R785" s="237">
        <v>1152544</v>
      </c>
      <c r="S785" s="236">
        <v>25032</v>
      </c>
      <c r="T785" s="238">
        <v>1177576</v>
      </c>
    </row>
    <row r="786" spans="1:20">
      <c r="A786" s="50">
        <v>98304</v>
      </c>
      <c r="B786" s="51" t="s">
        <v>1482</v>
      </c>
      <c r="C786" s="239">
        <v>1.9300000000000002E-5</v>
      </c>
      <c r="D786" s="239">
        <v>2.0999999999999999E-5</v>
      </c>
      <c r="E786" s="52">
        <v>45786</v>
      </c>
      <c r="F786" s="52"/>
      <c r="G786" s="237">
        <v>7064</v>
      </c>
      <c r="H786" s="225">
        <v>6286</v>
      </c>
      <c r="I786" s="237">
        <v>12150</v>
      </c>
      <c r="J786" s="236">
        <v>3861</v>
      </c>
      <c r="K786" s="93">
        <f t="shared" si="30"/>
        <v>29361</v>
      </c>
      <c r="L786" s="52"/>
      <c r="M786" s="237">
        <v>237</v>
      </c>
      <c r="N786" s="237">
        <v>0</v>
      </c>
      <c r="O786" s="236">
        <v>0</v>
      </c>
      <c r="P786" s="93">
        <f t="shared" si="31"/>
        <v>237</v>
      </c>
      <c r="Q786" s="52"/>
      <c r="R786" s="237">
        <v>12718</v>
      </c>
      <c r="S786" s="236">
        <v>1416</v>
      </c>
      <c r="T786" s="238">
        <v>14134</v>
      </c>
    </row>
    <row r="787" spans="1:20">
      <c r="A787" s="50">
        <v>98308</v>
      </c>
      <c r="B787" s="51" t="s">
        <v>1483</v>
      </c>
      <c r="C787" s="239">
        <v>2.2399999999999999E-5</v>
      </c>
      <c r="D787" s="239">
        <v>2.37E-5</v>
      </c>
      <c r="E787" s="233">
        <v>53140</v>
      </c>
      <c r="F787" s="233" t="s">
        <v>1930</v>
      </c>
      <c r="G787" s="237">
        <v>8198</v>
      </c>
      <c r="H787" s="225">
        <v>7295</v>
      </c>
      <c r="I787" s="237">
        <v>14101</v>
      </c>
      <c r="J787" s="236">
        <v>7416</v>
      </c>
      <c r="K787" s="93">
        <f t="shared" si="30"/>
        <v>37010</v>
      </c>
      <c r="L787" s="52"/>
      <c r="M787" s="237">
        <v>275</v>
      </c>
      <c r="N787" s="237">
        <v>0</v>
      </c>
      <c r="O787" s="236">
        <v>0</v>
      </c>
      <c r="P787" s="93">
        <f t="shared" si="31"/>
        <v>275</v>
      </c>
      <c r="Q787" s="52"/>
      <c r="R787" s="237">
        <v>14761</v>
      </c>
      <c r="S787" s="236">
        <v>4258</v>
      </c>
      <c r="T787" s="238">
        <v>19019</v>
      </c>
    </row>
    <row r="788" spans="1:20">
      <c r="A788" s="50">
        <v>98311</v>
      </c>
      <c r="B788" s="51" t="s">
        <v>1484</v>
      </c>
      <c r="C788" s="239">
        <v>1.0931999999999999E-3</v>
      </c>
      <c r="D788" s="239">
        <v>1.1536000000000001E-3</v>
      </c>
      <c r="E788" s="233">
        <v>2593444</v>
      </c>
      <c r="F788" s="233" t="s">
        <v>1930</v>
      </c>
      <c r="G788" s="237">
        <v>400107</v>
      </c>
      <c r="H788" s="225">
        <v>356003</v>
      </c>
      <c r="I788" s="237">
        <v>688200</v>
      </c>
      <c r="J788" s="236">
        <v>0</v>
      </c>
      <c r="K788" s="93">
        <f t="shared" si="30"/>
        <v>1444310</v>
      </c>
      <c r="L788" s="52"/>
      <c r="M788" s="237">
        <v>13426</v>
      </c>
      <c r="N788" s="237">
        <v>0</v>
      </c>
      <c r="O788" s="236">
        <v>152880</v>
      </c>
      <c r="P788" s="93">
        <f t="shared" si="31"/>
        <v>166306</v>
      </c>
      <c r="Q788" s="52"/>
      <c r="R788" s="237">
        <v>720389</v>
      </c>
      <c r="S788" s="236">
        <v>-39908</v>
      </c>
      <c r="T788" s="238">
        <v>680481</v>
      </c>
    </row>
    <row r="789" spans="1:20">
      <c r="A789" s="50">
        <v>98313</v>
      </c>
      <c r="B789" s="51" t="s">
        <v>1485</v>
      </c>
      <c r="C789" s="239">
        <v>2.4240000000000001E-4</v>
      </c>
      <c r="D789" s="239">
        <v>2.3560000000000001E-4</v>
      </c>
      <c r="E789" s="233">
        <v>575056</v>
      </c>
      <c r="F789" s="233" t="s">
        <v>1930</v>
      </c>
      <c r="G789" s="237">
        <v>88717</v>
      </c>
      <c r="H789" s="225">
        <v>78938</v>
      </c>
      <c r="I789" s="237">
        <v>152598</v>
      </c>
      <c r="J789" s="236">
        <v>283623</v>
      </c>
      <c r="K789" s="93">
        <f t="shared" si="30"/>
        <v>603876</v>
      </c>
      <c r="L789" s="52"/>
      <c r="M789" s="237">
        <v>2977</v>
      </c>
      <c r="N789" s="237">
        <v>0</v>
      </c>
      <c r="O789" s="236">
        <v>0</v>
      </c>
      <c r="P789" s="93">
        <f t="shared" si="31"/>
        <v>2977</v>
      </c>
      <c r="Q789" s="52"/>
      <c r="R789" s="237">
        <v>159735</v>
      </c>
      <c r="S789" s="236">
        <v>109986</v>
      </c>
      <c r="T789" s="238">
        <v>269721</v>
      </c>
    </row>
    <row r="790" spans="1:20">
      <c r="A790" s="50">
        <v>98321</v>
      </c>
      <c r="B790" s="51" t="s">
        <v>2430</v>
      </c>
      <c r="C790" s="239">
        <v>1.9199999999999999E-5</v>
      </c>
      <c r="D790" s="239">
        <v>2.05E-5</v>
      </c>
      <c r="E790" s="233">
        <v>45549</v>
      </c>
      <c r="F790" s="233" t="s">
        <v>1930</v>
      </c>
      <c r="G790" s="237">
        <v>7027</v>
      </c>
      <c r="H790" s="225">
        <v>6253</v>
      </c>
      <c r="I790" s="237">
        <v>12087</v>
      </c>
      <c r="J790" s="236">
        <v>63</v>
      </c>
      <c r="K790" s="93">
        <f t="shared" si="30"/>
        <v>25430</v>
      </c>
      <c r="L790" s="52"/>
      <c r="M790" s="237">
        <v>236</v>
      </c>
      <c r="N790" s="237">
        <v>0</v>
      </c>
      <c r="O790" s="236">
        <v>1957</v>
      </c>
      <c r="P790" s="93">
        <f t="shared" si="31"/>
        <v>2193</v>
      </c>
      <c r="Q790" s="52"/>
      <c r="R790" s="237">
        <v>12652</v>
      </c>
      <c r="S790" s="236">
        <v>453</v>
      </c>
      <c r="T790" s="238">
        <v>13105</v>
      </c>
    </row>
    <row r="791" spans="1:20">
      <c r="A791" s="50">
        <v>98331</v>
      </c>
      <c r="B791" s="51" t="s">
        <v>2431</v>
      </c>
      <c r="C791" s="239">
        <v>9.3000000000000007E-6</v>
      </c>
      <c r="D791" s="239">
        <v>9.7999999999999993E-6</v>
      </c>
      <c r="E791" s="233">
        <v>22063</v>
      </c>
      <c r="F791" s="233" t="s">
        <v>1930</v>
      </c>
      <c r="G791" s="237">
        <v>3404</v>
      </c>
      <c r="H791" s="225">
        <v>3029</v>
      </c>
      <c r="I791" s="237">
        <v>5855</v>
      </c>
      <c r="J791" s="236">
        <v>3274</v>
      </c>
      <c r="K791" s="93">
        <f t="shared" ref="K791:K860" si="32">G791+H791+I791+J791</f>
        <v>15562</v>
      </c>
      <c r="L791" s="52"/>
      <c r="M791" s="237">
        <v>114</v>
      </c>
      <c r="N791" s="237">
        <v>0</v>
      </c>
      <c r="O791" s="236">
        <v>0</v>
      </c>
      <c r="P791" s="93">
        <f t="shared" ref="P791:P860" si="33">M791+N791+O791</f>
        <v>114</v>
      </c>
      <c r="Q791" s="52"/>
      <c r="R791" s="237">
        <v>6128</v>
      </c>
      <c r="S791" s="236">
        <v>1309</v>
      </c>
      <c r="T791" s="238">
        <v>7437</v>
      </c>
    </row>
    <row r="792" spans="1:20">
      <c r="A792" s="50">
        <v>98401</v>
      </c>
      <c r="B792" s="51" t="s">
        <v>1488</v>
      </c>
      <c r="C792" s="239">
        <v>2.7358E-3</v>
      </c>
      <c r="D792" s="239">
        <v>2.7655000000000002E-3</v>
      </c>
      <c r="E792" s="233">
        <v>6490253</v>
      </c>
      <c r="F792" s="233" t="s">
        <v>1930</v>
      </c>
      <c r="G792" s="237">
        <v>1001292</v>
      </c>
      <c r="H792" s="225">
        <v>890919</v>
      </c>
      <c r="I792" s="237">
        <v>1722263</v>
      </c>
      <c r="J792" s="236">
        <v>198418</v>
      </c>
      <c r="K792" s="93">
        <f t="shared" si="32"/>
        <v>3812892</v>
      </c>
      <c r="L792" s="52"/>
      <c r="M792" s="237">
        <v>33598</v>
      </c>
      <c r="N792" s="237">
        <v>0</v>
      </c>
      <c r="O792" s="236">
        <v>4093</v>
      </c>
      <c r="P792" s="93">
        <f t="shared" si="33"/>
        <v>37691</v>
      </c>
      <c r="Q792" s="52"/>
      <c r="R792" s="237">
        <v>1802818</v>
      </c>
      <c r="S792" s="236">
        <v>81533</v>
      </c>
      <c r="T792" s="238">
        <v>1884351</v>
      </c>
    </row>
    <row r="793" spans="1:20">
      <c r="A793" s="50">
        <v>98404</v>
      </c>
      <c r="B793" s="51" t="s">
        <v>1489</v>
      </c>
      <c r="C793" s="239">
        <v>1.5099999999999999E-5</v>
      </c>
      <c r="D793" s="239">
        <v>1.52E-5</v>
      </c>
      <c r="E793" s="233">
        <v>35822</v>
      </c>
      <c r="F793" s="233" t="s">
        <v>1930</v>
      </c>
      <c r="G793" s="237">
        <v>5527</v>
      </c>
      <c r="H793" s="225">
        <v>4917</v>
      </c>
      <c r="I793" s="237">
        <v>9506</v>
      </c>
      <c r="J793" s="236">
        <v>7686</v>
      </c>
      <c r="K793" s="93">
        <f t="shared" si="32"/>
        <v>27636</v>
      </c>
      <c r="L793" s="52"/>
      <c r="M793" s="237">
        <v>185</v>
      </c>
      <c r="N793" s="237">
        <v>0</v>
      </c>
      <c r="O793" s="236">
        <v>0</v>
      </c>
      <c r="P793" s="93">
        <f t="shared" si="33"/>
        <v>185</v>
      </c>
      <c r="Q793" s="52"/>
      <c r="R793" s="237">
        <v>9950</v>
      </c>
      <c r="S793" s="236">
        <v>2503</v>
      </c>
      <c r="T793" s="238">
        <v>12453</v>
      </c>
    </row>
    <row r="794" spans="1:20">
      <c r="A794" s="50">
        <v>98411</v>
      </c>
      <c r="B794" s="51" t="s">
        <v>1490</v>
      </c>
      <c r="C794" s="239">
        <v>1.9327000000000001E-3</v>
      </c>
      <c r="D794" s="239">
        <v>1.9816E-3</v>
      </c>
      <c r="E794" s="233">
        <v>4585025</v>
      </c>
      <c r="F794" s="233" t="s">
        <v>1930</v>
      </c>
      <c r="G794" s="237">
        <v>707360</v>
      </c>
      <c r="H794" s="225">
        <v>629388</v>
      </c>
      <c r="I794" s="237">
        <v>1216689</v>
      </c>
      <c r="J794" s="236">
        <v>0</v>
      </c>
      <c r="K794" s="93">
        <f t="shared" si="32"/>
        <v>2553437</v>
      </c>
      <c r="L794" s="52"/>
      <c r="M794" s="237">
        <v>23735</v>
      </c>
      <c r="N794" s="237">
        <v>0</v>
      </c>
      <c r="O794" s="236">
        <v>116454</v>
      </c>
      <c r="P794" s="93">
        <f t="shared" si="33"/>
        <v>140189</v>
      </c>
      <c r="Q794" s="52"/>
      <c r="R794" s="237">
        <v>1273597</v>
      </c>
      <c r="S794" s="236">
        <v>-35630</v>
      </c>
      <c r="T794" s="238">
        <v>1237967</v>
      </c>
    </row>
    <row r="795" spans="1:20" s="334" customFormat="1">
      <c r="A795" s="336" t="s">
        <v>3518</v>
      </c>
      <c r="B795" s="337" t="s">
        <v>2483</v>
      </c>
      <c r="C795" s="332">
        <v>4.1600000000000002E-5</v>
      </c>
      <c r="D795" s="332">
        <v>2.83E-5</v>
      </c>
      <c r="E795" s="333">
        <v>98689</v>
      </c>
      <c r="F795" s="333" t="s">
        <v>1930</v>
      </c>
      <c r="G795" s="338">
        <v>15225</v>
      </c>
      <c r="H795" s="338">
        <v>13548</v>
      </c>
      <c r="I795" s="338">
        <v>26188</v>
      </c>
      <c r="J795" s="333">
        <v>18529</v>
      </c>
      <c r="K795" s="338">
        <f t="shared" si="32"/>
        <v>73490</v>
      </c>
      <c r="L795" s="333"/>
      <c r="M795" s="338">
        <v>511</v>
      </c>
      <c r="N795" s="338">
        <v>0</v>
      </c>
      <c r="O795" s="333">
        <v>0</v>
      </c>
      <c r="P795" s="338">
        <f t="shared" si="33"/>
        <v>511</v>
      </c>
      <c r="Q795" s="333"/>
      <c r="R795" s="338">
        <v>27413</v>
      </c>
      <c r="S795" s="333">
        <v>5537</v>
      </c>
      <c r="T795" s="339">
        <v>32950</v>
      </c>
    </row>
    <row r="796" spans="1:20" s="334" customFormat="1">
      <c r="A796" s="336" t="s">
        <v>3519</v>
      </c>
      <c r="B796" s="337" t="s">
        <v>2483</v>
      </c>
      <c r="C796" s="332">
        <v>0</v>
      </c>
      <c r="D796" s="332">
        <v>1.0200000000000001E-5</v>
      </c>
      <c r="E796" s="333">
        <v>0</v>
      </c>
      <c r="F796" s="333" t="s">
        <v>1930</v>
      </c>
      <c r="G796" s="338">
        <v>0</v>
      </c>
      <c r="H796" s="338">
        <v>0</v>
      </c>
      <c r="I796" s="338">
        <v>0</v>
      </c>
      <c r="J796" s="333">
        <v>0</v>
      </c>
      <c r="K796" s="338">
        <v>0</v>
      </c>
      <c r="L796" s="333"/>
      <c r="M796" s="338">
        <v>0</v>
      </c>
      <c r="N796" s="338">
        <v>0</v>
      </c>
      <c r="O796" s="333">
        <v>24349</v>
      </c>
      <c r="P796" s="333">
        <v>24349</v>
      </c>
      <c r="R796" s="338">
        <v>0</v>
      </c>
      <c r="S796" s="333">
        <v>-9271</v>
      </c>
      <c r="T796" s="339">
        <v>-9271</v>
      </c>
    </row>
    <row r="797" spans="1:20" s="230" customFormat="1">
      <c r="A797" s="231">
        <v>98414</v>
      </c>
      <c r="B797" s="232" t="s">
        <v>2483</v>
      </c>
      <c r="C797" s="239">
        <f>SUM(C795:C796)</f>
        <v>4.1600000000000002E-5</v>
      </c>
      <c r="D797" s="239">
        <f t="shared" ref="D797:T797" si="34">SUM(D795:D796)</f>
        <v>3.8500000000000001E-5</v>
      </c>
      <c r="E797" s="236">
        <f t="shared" si="34"/>
        <v>98689</v>
      </c>
      <c r="F797" s="236"/>
      <c r="G797" s="237">
        <f t="shared" si="34"/>
        <v>15225</v>
      </c>
      <c r="H797" s="225">
        <f t="shared" si="34"/>
        <v>13548</v>
      </c>
      <c r="I797" s="237">
        <f t="shared" si="34"/>
        <v>26188</v>
      </c>
      <c r="J797" s="236">
        <f t="shared" si="34"/>
        <v>18529</v>
      </c>
      <c r="K797" s="225">
        <f t="shared" si="34"/>
        <v>73490</v>
      </c>
      <c r="L797" s="236"/>
      <c r="M797" s="237">
        <f t="shared" si="34"/>
        <v>511</v>
      </c>
      <c r="N797" s="237">
        <f t="shared" si="34"/>
        <v>0</v>
      </c>
      <c r="O797" s="236">
        <f t="shared" si="34"/>
        <v>24349</v>
      </c>
      <c r="P797" s="241">
        <f t="shared" si="34"/>
        <v>24860</v>
      </c>
      <c r="R797" s="237">
        <f t="shared" si="34"/>
        <v>27413</v>
      </c>
      <c r="S797" s="236">
        <f t="shared" si="34"/>
        <v>-3734</v>
      </c>
      <c r="T797" s="238">
        <f t="shared" si="34"/>
        <v>23679</v>
      </c>
    </row>
    <row r="798" spans="1:20">
      <c r="A798" s="50">
        <v>98417</v>
      </c>
      <c r="B798" s="51" t="s">
        <v>1492</v>
      </c>
      <c r="C798" s="239">
        <v>2.1500000000000001E-5</v>
      </c>
      <c r="D798" s="239">
        <v>2.2900000000000001E-5</v>
      </c>
      <c r="E798" s="233">
        <v>51005</v>
      </c>
      <c r="F798" s="233" t="s">
        <v>1930</v>
      </c>
      <c r="G798" s="237">
        <v>7869</v>
      </c>
      <c r="H798" s="225">
        <v>7001</v>
      </c>
      <c r="I798" s="237">
        <v>13535</v>
      </c>
      <c r="J798" s="236">
        <v>4701</v>
      </c>
      <c r="K798" s="93">
        <f t="shared" si="32"/>
        <v>33106</v>
      </c>
      <c r="L798" s="52"/>
      <c r="M798" s="237">
        <v>264</v>
      </c>
      <c r="N798" s="237">
        <v>0</v>
      </c>
      <c r="O798" s="236">
        <v>0</v>
      </c>
      <c r="P798" s="93">
        <f t="shared" si="33"/>
        <v>264</v>
      </c>
      <c r="Q798" s="52"/>
      <c r="R798" s="237">
        <v>14168</v>
      </c>
      <c r="S798" s="236">
        <v>1052</v>
      </c>
      <c r="T798" s="238">
        <v>15220</v>
      </c>
    </row>
    <row r="799" spans="1:20">
      <c r="A799" s="50">
        <v>98421</v>
      </c>
      <c r="B799" s="51" t="s">
        <v>2432</v>
      </c>
      <c r="C799" s="239">
        <v>1.06E-4</v>
      </c>
      <c r="D799" s="239">
        <v>8.2700000000000004E-5</v>
      </c>
      <c r="E799" s="233">
        <v>251468</v>
      </c>
      <c r="F799" s="233" t="s">
        <v>1930</v>
      </c>
      <c r="G799" s="237">
        <v>38796</v>
      </c>
      <c r="H799" s="225">
        <v>34519</v>
      </c>
      <c r="I799" s="237">
        <v>66730</v>
      </c>
      <c r="J799" s="236">
        <v>17902</v>
      </c>
      <c r="K799" s="93">
        <f t="shared" si="32"/>
        <v>157947</v>
      </c>
      <c r="L799" s="52"/>
      <c r="M799" s="237">
        <v>1302</v>
      </c>
      <c r="N799" s="237">
        <v>0</v>
      </c>
      <c r="O799" s="236">
        <v>9065</v>
      </c>
      <c r="P799" s="93">
        <f t="shared" si="33"/>
        <v>10367</v>
      </c>
      <c r="Q799" s="52"/>
      <c r="R799" s="237">
        <v>69851</v>
      </c>
      <c r="S799" s="236">
        <v>2976</v>
      </c>
      <c r="T799" s="238">
        <v>72827</v>
      </c>
    </row>
    <row r="800" spans="1:20">
      <c r="A800" s="50">
        <v>98427</v>
      </c>
      <c r="B800" s="51" t="s">
        <v>1494</v>
      </c>
      <c r="C800" s="239">
        <v>3.4000000000000001E-6</v>
      </c>
      <c r="D800" s="239">
        <v>3.9999999999999998E-6</v>
      </c>
      <c r="E800" s="233">
        <v>8066</v>
      </c>
      <c r="F800" s="233" t="s">
        <v>1930</v>
      </c>
      <c r="G800" s="237">
        <v>1244</v>
      </c>
      <c r="H800" s="225">
        <v>1107</v>
      </c>
      <c r="I800" s="237">
        <v>2140</v>
      </c>
      <c r="J800" s="236">
        <v>1747</v>
      </c>
      <c r="K800" s="93">
        <f t="shared" si="32"/>
        <v>6238</v>
      </c>
      <c r="L800" s="52"/>
      <c r="M800" s="237">
        <v>42</v>
      </c>
      <c r="N800" s="237">
        <v>0</v>
      </c>
      <c r="O800" s="236">
        <v>0</v>
      </c>
      <c r="P800" s="93">
        <f t="shared" si="33"/>
        <v>42</v>
      </c>
      <c r="Q800" s="52"/>
      <c r="R800" s="237">
        <v>2241</v>
      </c>
      <c r="S800" s="236">
        <v>707</v>
      </c>
      <c r="T800" s="238">
        <v>2948</v>
      </c>
    </row>
    <row r="801" spans="1:20">
      <c r="A801" s="50">
        <v>98431</v>
      </c>
      <c r="B801" s="51" t="s">
        <v>1495</v>
      </c>
      <c r="C801" s="239">
        <v>1.961E-4</v>
      </c>
      <c r="D801" s="239">
        <v>2.0589999999999999E-4</v>
      </c>
      <c r="E801" s="233">
        <v>465216</v>
      </c>
      <c r="F801" s="233" t="s">
        <v>1930</v>
      </c>
      <c r="G801" s="237">
        <v>71772</v>
      </c>
      <c r="H801" s="225">
        <v>63861</v>
      </c>
      <c r="I801" s="237">
        <v>123450</v>
      </c>
      <c r="J801" s="236">
        <v>0</v>
      </c>
      <c r="K801" s="93">
        <f t="shared" si="32"/>
        <v>259083</v>
      </c>
      <c r="L801" s="52"/>
      <c r="M801" s="237">
        <v>2408</v>
      </c>
      <c r="N801" s="237">
        <v>0</v>
      </c>
      <c r="O801" s="236">
        <v>33499</v>
      </c>
      <c r="P801" s="93">
        <f t="shared" si="33"/>
        <v>35907</v>
      </c>
      <c r="Q801" s="52"/>
      <c r="R801" s="237">
        <v>129225</v>
      </c>
      <c r="S801" s="236">
        <v>-12036</v>
      </c>
      <c r="T801" s="238">
        <v>117189</v>
      </c>
    </row>
    <row r="802" spans="1:20">
      <c r="A802" s="50">
        <v>98441</v>
      </c>
      <c r="B802" s="51" t="s">
        <v>2433</v>
      </c>
      <c r="C802" s="239">
        <v>1.0900000000000001E-4</v>
      </c>
      <c r="D802" s="239">
        <v>8.2700000000000004E-5</v>
      </c>
      <c r="E802" s="233">
        <v>258585</v>
      </c>
      <c r="F802" s="233" t="s">
        <v>1930</v>
      </c>
      <c r="G802" s="237">
        <v>39894</v>
      </c>
      <c r="H802" s="225">
        <v>35496</v>
      </c>
      <c r="I802" s="237">
        <v>68619</v>
      </c>
      <c r="J802" s="236">
        <v>12072</v>
      </c>
      <c r="K802" s="93">
        <f t="shared" si="32"/>
        <v>156081</v>
      </c>
      <c r="L802" s="52"/>
      <c r="M802" s="237">
        <v>1339</v>
      </c>
      <c r="N802" s="237">
        <v>0</v>
      </c>
      <c r="O802" s="236">
        <v>13805</v>
      </c>
      <c r="P802" s="93">
        <f t="shared" si="33"/>
        <v>15144</v>
      </c>
      <c r="Q802" s="52"/>
      <c r="R802" s="237">
        <v>71828</v>
      </c>
      <c r="S802" s="236">
        <v>-5014</v>
      </c>
      <c r="T802" s="238">
        <v>66814</v>
      </c>
    </row>
    <row r="803" spans="1:20">
      <c r="A803" s="50">
        <v>98451</v>
      </c>
      <c r="B803" s="51" t="s">
        <v>2434</v>
      </c>
      <c r="C803" s="239">
        <v>4.88E-5</v>
      </c>
      <c r="D803" s="239">
        <v>5.7000000000000003E-5</v>
      </c>
      <c r="E803" s="233">
        <v>115770</v>
      </c>
      <c r="F803" s="233" t="s">
        <v>1930</v>
      </c>
      <c r="G803" s="237">
        <v>17861</v>
      </c>
      <c r="H803" s="225">
        <v>15892</v>
      </c>
      <c r="I803" s="237">
        <v>30721</v>
      </c>
      <c r="J803" s="236">
        <v>380</v>
      </c>
      <c r="K803" s="93">
        <f t="shared" si="32"/>
        <v>64854</v>
      </c>
      <c r="L803" s="52"/>
      <c r="M803" s="237">
        <v>599</v>
      </c>
      <c r="N803" s="237">
        <v>0</v>
      </c>
      <c r="O803" s="236">
        <v>4433</v>
      </c>
      <c r="P803" s="93">
        <f t="shared" si="33"/>
        <v>5032</v>
      </c>
      <c r="Q803" s="52"/>
      <c r="R803" s="237">
        <v>32158</v>
      </c>
      <c r="S803" s="236">
        <v>-1432</v>
      </c>
      <c r="T803" s="238">
        <v>30726</v>
      </c>
    </row>
    <row r="804" spans="1:20" s="227" customFormat="1">
      <c r="A804" s="228">
        <v>98471</v>
      </c>
      <c r="B804" s="229" t="s">
        <v>2435</v>
      </c>
      <c r="C804" s="239">
        <v>6.1E-6</v>
      </c>
      <c r="D804" s="239">
        <v>0</v>
      </c>
      <c r="E804" s="233">
        <v>14471</v>
      </c>
      <c r="F804" s="233" t="s">
        <v>1930</v>
      </c>
      <c r="G804" s="237">
        <v>2233</v>
      </c>
      <c r="H804" s="225">
        <v>1987</v>
      </c>
      <c r="I804" s="237">
        <v>3840</v>
      </c>
      <c r="J804" s="236">
        <v>5121</v>
      </c>
      <c r="K804" s="225">
        <f t="shared" si="32"/>
        <v>13181</v>
      </c>
      <c r="L804" s="226"/>
      <c r="M804" s="237">
        <v>75</v>
      </c>
      <c r="N804" s="237">
        <v>0</v>
      </c>
      <c r="O804" s="236">
        <v>0</v>
      </c>
      <c r="P804" s="225">
        <f t="shared" si="33"/>
        <v>75</v>
      </c>
      <c r="Q804" s="226"/>
      <c r="R804" s="237">
        <v>4020</v>
      </c>
      <c r="S804" s="236">
        <v>1280</v>
      </c>
      <c r="T804" s="238">
        <v>5300</v>
      </c>
    </row>
    <row r="805" spans="1:20">
      <c r="A805" s="50">
        <v>98481</v>
      </c>
      <c r="B805" s="51" t="s">
        <v>2436</v>
      </c>
      <c r="C805" s="239">
        <v>7.2000000000000002E-5</v>
      </c>
      <c r="D805" s="239">
        <v>6.3899999999999995E-5</v>
      </c>
      <c r="E805" s="233">
        <v>170809</v>
      </c>
      <c r="F805" s="233" t="s">
        <v>1930</v>
      </c>
      <c r="G805" s="237">
        <v>26352</v>
      </c>
      <c r="H805" s="225">
        <v>23447</v>
      </c>
      <c r="I805" s="237">
        <v>45326</v>
      </c>
      <c r="J805" s="236">
        <v>2185</v>
      </c>
      <c r="K805" s="93">
        <f t="shared" si="32"/>
        <v>97310</v>
      </c>
      <c r="L805" s="52"/>
      <c r="M805" s="237">
        <v>884</v>
      </c>
      <c r="N805" s="237">
        <v>0</v>
      </c>
      <c r="O805" s="236">
        <v>4175</v>
      </c>
      <c r="P805" s="93">
        <f t="shared" si="33"/>
        <v>5059</v>
      </c>
      <c r="Q805" s="52"/>
      <c r="R805" s="237">
        <v>47446</v>
      </c>
      <c r="S805" s="236">
        <v>495</v>
      </c>
      <c r="T805" s="238">
        <v>47941</v>
      </c>
    </row>
    <row r="806" spans="1:20">
      <c r="A806" s="50">
        <v>98501</v>
      </c>
      <c r="B806" s="51" t="s">
        <v>1499</v>
      </c>
      <c r="C806" s="239">
        <v>1.6239E-3</v>
      </c>
      <c r="D806" s="239">
        <v>1.6022E-3</v>
      </c>
      <c r="E806" s="233">
        <v>3852446</v>
      </c>
      <c r="F806" s="233" t="s">
        <v>1930</v>
      </c>
      <c r="G806" s="237">
        <v>594341</v>
      </c>
      <c r="H806" s="225">
        <v>528826</v>
      </c>
      <c r="I806" s="237">
        <v>1022291</v>
      </c>
      <c r="J806" s="236">
        <v>103062</v>
      </c>
      <c r="K806" s="93">
        <f t="shared" si="32"/>
        <v>2248520</v>
      </c>
      <c r="L806" s="52"/>
      <c r="M806" s="237">
        <v>19943</v>
      </c>
      <c r="N806" s="237">
        <v>0</v>
      </c>
      <c r="O806" s="236">
        <v>0</v>
      </c>
      <c r="P806" s="93">
        <f t="shared" si="33"/>
        <v>19943</v>
      </c>
      <c r="Q806" s="52"/>
      <c r="R806" s="237">
        <v>1070106</v>
      </c>
      <c r="S806" s="236">
        <v>31738</v>
      </c>
      <c r="T806" s="238">
        <v>1101844</v>
      </c>
    </row>
    <row r="807" spans="1:20">
      <c r="A807" s="50">
        <v>98511</v>
      </c>
      <c r="B807" s="51" t="s">
        <v>2437</v>
      </c>
      <c r="C807" s="239">
        <v>4.0000000000000003E-5</v>
      </c>
      <c r="D807" s="239">
        <v>4.8000000000000001E-5</v>
      </c>
      <c r="E807" s="233">
        <v>94894</v>
      </c>
      <c r="F807" s="233" t="s">
        <v>1930</v>
      </c>
      <c r="G807" s="237">
        <v>14640</v>
      </c>
      <c r="H807" s="225">
        <v>13026</v>
      </c>
      <c r="I807" s="237">
        <v>25181</v>
      </c>
      <c r="J807" s="236">
        <v>4106</v>
      </c>
      <c r="K807" s="93">
        <f t="shared" si="32"/>
        <v>56953</v>
      </c>
      <c r="L807" s="52"/>
      <c r="M807" s="237">
        <v>491</v>
      </c>
      <c r="N807" s="237">
        <v>0</v>
      </c>
      <c r="O807" s="236">
        <v>3548</v>
      </c>
      <c r="P807" s="93">
        <f t="shared" si="33"/>
        <v>4039</v>
      </c>
      <c r="Q807" s="52"/>
      <c r="R807" s="237">
        <v>26359</v>
      </c>
      <c r="S807" s="236">
        <v>-9955</v>
      </c>
      <c r="T807" s="238">
        <v>16404</v>
      </c>
    </row>
    <row r="808" spans="1:20">
      <c r="A808" s="50">
        <v>98517</v>
      </c>
      <c r="B808" s="51" t="s">
        <v>1501</v>
      </c>
      <c r="C808" s="239">
        <v>2.3E-6</v>
      </c>
      <c r="D808" s="239">
        <v>2.3E-6</v>
      </c>
      <c r="E808" s="233">
        <v>5456</v>
      </c>
      <c r="F808" s="233" t="s">
        <v>1930</v>
      </c>
      <c r="G808" s="237">
        <v>842</v>
      </c>
      <c r="H808" s="225">
        <v>749</v>
      </c>
      <c r="I808" s="237">
        <v>1448</v>
      </c>
      <c r="J808" s="236">
        <v>2754</v>
      </c>
      <c r="K808" s="93">
        <f t="shared" si="32"/>
        <v>5793</v>
      </c>
      <c r="L808" s="52"/>
      <c r="M808" s="237">
        <v>28</v>
      </c>
      <c r="N808" s="237">
        <v>0</v>
      </c>
      <c r="O808" s="236">
        <v>0</v>
      </c>
      <c r="P808" s="93">
        <f t="shared" si="33"/>
        <v>28</v>
      </c>
      <c r="Q808" s="52"/>
      <c r="R808" s="237">
        <v>1516</v>
      </c>
      <c r="S808" s="236">
        <v>1018</v>
      </c>
      <c r="T808" s="238">
        <v>2534</v>
      </c>
    </row>
    <row r="809" spans="1:20">
      <c r="A809" s="50">
        <v>98521</v>
      </c>
      <c r="B809" s="51" t="s">
        <v>1502</v>
      </c>
      <c r="C809" s="239">
        <v>6.4780000000000003E-4</v>
      </c>
      <c r="D809" s="239">
        <v>6.6180000000000004E-4</v>
      </c>
      <c r="E809" s="233">
        <v>1536803</v>
      </c>
      <c r="F809" s="233" t="s">
        <v>1930</v>
      </c>
      <c r="G809" s="237">
        <v>237092</v>
      </c>
      <c r="H809" s="225">
        <v>210957</v>
      </c>
      <c r="I809" s="237">
        <v>407808</v>
      </c>
      <c r="J809" s="236">
        <v>26095</v>
      </c>
      <c r="K809" s="93">
        <f t="shared" si="32"/>
        <v>881952</v>
      </c>
      <c r="L809" s="52"/>
      <c r="M809" s="237">
        <v>7956</v>
      </c>
      <c r="N809" s="237">
        <v>0</v>
      </c>
      <c r="O809" s="236">
        <v>52330</v>
      </c>
      <c r="P809" s="93">
        <f t="shared" si="33"/>
        <v>60286</v>
      </c>
      <c r="Q809" s="52"/>
      <c r="R809" s="237">
        <v>426883</v>
      </c>
      <c r="S809" s="236">
        <v>-16971</v>
      </c>
      <c r="T809" s="238">
        <v>409912</v>
      </c>
    </row>
    <row r="810" spans="1:20">
      <c r="A810" s="50">
        <v>98601</v>
      </c>
      <c r="B810" s="51" t="s">
        <v>1503</v>
      </c>
      <c r="C810" s="239">
        <v>3.4765999999999998E-3</v>
      </c>
      <c r="D810" s="239">
        <v>3.4148E-3</v>
      </c>
      <c r="E810" s="233">
        <v>8247684</v>
      </c>
      <c r="F810" s="233" t="s">
        <v>1930</v>
      </c>
      <c r="G810" s="237">
        <v>1272422</v>
      </c>
      <c r="H810" s="225">
        <v>1132162</v>
      </c>
      <c r="I810" s="237">
        <v>2188617</v>
      </c>
      <c r="J810" s="236">
        <v>0</v>
      </c>
      <c r="K810" s="93">
        <f t="shared" si="32"/>
        <v>4593201</v>
      </c>
      <c r="L810" s="52"/>
      <c r="M810" s="237">
        <v>42696</v>
      </c>
      <c r="N810" s="237">
        <v>0</v>
      </c>
      <c r="O810" s="236">
        <v>132455</v>
      </c>
      <c r="P810" s="93">
        <f t="shared" si="33"/>
        <v>175151</v>
      </c>
      <c r="Q810" s="52"/>
      <c r="R810" s="237">
        <v>2290986</v>
      </c>
      <c r="S810" s="236">
        <v>-95496</v>
      </c>
      <c r="T810" s="238">
        <v>2195490</v>
      </c>
    </row>
    <row r="811" spans="1:20" s="334" customFormat="1">
      <c r="A811" s="336" t="s">
        <v>3520</v>
      </c>
      <c r="B811" s="337" t="s">
        <v>1504</v>
      </c>
      <c r="C811" s="332">
        <v>1.29E-5</v>
      </c>
      <c r="D811" s="332">
        <v>1.34E-5</v>
      </c>
      <c r="E811" s="333">
        <v>30603</v>
      </c>
      <c r="F811" s="333" t="s">
        <v>1930</v>
      </c>
      <c r="G811" s="338">
        <v>4721</v>
      </c>
      <c r="H811" s="338">
        <v>4201</v>
      </c>
      <c r="I811" s="338">
        <v>8121</v>
      </c>
      <c r="J811" s="333">
        <v>4763</v>
      </c>
      <c r="K811" s="338">
        <f t="shared" si="32"/>
        <v>21806</v>
      </c>
      <c r="L811" s="333"/>
      <c r="M811" s="338">
        <v>158</v>
      </c>
      <c r="N811" s="338">
        <v>0</v>
      </c>
      <c r="O811" s="333">
        <v>395</v>
      </c>
      <c r="P811" s="338">
        <f t="shared" si="33"/>
        <v>553</v>
      </c>
      <c r="Q811" s="333"/>
      <c r="R811" s="338">
        <v>8501</v>
      </c>
      <c r="S811" s="333">
        <v>2178</v>
      </c>
      <c r="T811" s="339">
        <v>10679</v>
      </c>
    </row>
    <row r="812" spans="1:20" s="334" customFormat="1">
      <c r="A812" s="336" t="s">
        <v>3521</v>
      </c>
      <c r="B812" s="337" t="s">
        <v>1620</v>
      </c>
      <c r="C812" s="332">
        <v>0</v>
      </c>
      <c r="D812" s="332">
        <v>0</v>
      </c>
      <c r="E812" s="333">
        <v>0</v>
      </c>
      <c r="F812" s="333" t="s">
        <v>1930</v>
      </c>
      <c r="G812" s="338">
        <v>0</v>
      </c>
      <c r="H812" s="338">
        <v>0</v>
      </c>
      <c r="I812" s="338">
        <v>0</v>
      </c>
      <c r="J812" s="333">
        <v>1056</v>
      </c>
      <c r="K812" s="338">
        <f>G812+H812+I812+J812</f>
        <v>1056</v>
      </c>
      <c r="L812" s="333"/>
      <c r="M812" s="338">
        <v>0</v>
      </c>
      <c r="N812" s="338">
        <v>0</v>
      </c>
      <c r="O812" s="333">
        <v>3238</v>
      </c>
      <c r="P812" s="338">
        <f>M812+N812+O812</f>
        <v>3238</v>
      </c>
      <c r="Q812" s="333"/>
      <c r="R812" s="338">
        <v>0</v>
      </c>
      <c r="S812" s="333">
        <v>171</v>
      </c>
      <c r="T812" s="339">
        <v>171</v>
      </c>
    </row>
    <row r="813" spans="1:20" s="230" customFormat="1">
      <c r="A813" s="231">
        <v>98604</v>
      </c>
      <c r="B813" s="232" t="s">
        <v>1504</v>
      </c>
      <c r="C813" s="239">
        <f>SUM(C811:C812)</f>
        <v>1.29E-5</v>
      </c>
      <c r="D813" s="239">
        <f t="shared" ref="D813:T813" si="35">SUM(D811:D812)</f>
        <v>1.34E-5</v>
      </c>
      <c r="E813" s="236">
        <f t="shared" si="35"/>
        <v>30603</v>
      </c>
      <c r="F813" s="236"/>
      <c r="G813" s="237">
        <f t="shared" si="35"/>
        <v>4721</v>
      </c>
      <c r="H813" s="225">
        <f t="shared" si="35"/>
        <v>4201</v>
      </c>
      <c r="I813" s="237">
        <f t="shared" si="35"/>
        <v>8121</v>
      </c>
      <c r="J813" s="236">
        <f t="shared" si="35"/>
        <v>5819</v>
      </c>
      <c r="K813" s="225">
        <f t="shared" si="35"/>
        <v>22862</v>
      </c>
      <c r="L813" s="236"/>
      <c r="M813" s="237">
        <f t="shared" si="35"/>
        <v>158</v>
      </c>
      <c r="N813" s="237">
        <f t="shared" si="35"/>
        <v>0</v>
      </c>
      <c r="O813" s="236">
        <f t="shared" si="35"/>
        <v>3633</v>
      </c>
      <c r="P813" s="225">
        <f t="shared" si="35"/>
        <v>3791</v>
      </c>
      <c r="Q813" s="236"/>
      <c r="R813" s="237">
        <f t="shared" si="35"/>
        <v>8501</v>
      </c>
      <c r="S813" s="236">
        <f t="shared" si="35"/>
        <v>2349</v>
      </c>
      <c r="T813" s="238">
        <f t="shared" si="35"/>
        <v>10850</v>
      </c>
    </row>
    <row r="814" spans="1:20">
      <c r="A814" s="50">
        <v>98607</v>
      </c>
      <c r="B814" s="51" t="s">
        <v>1505</v>
      </c>
      <c r="C814" s="239">
        <v>6.9E-6</v>
      </c>
      <c r="D814" s="239">
        <v>5.9000000000000003E-6</v>
      </c>
      <c r="E814" s="233">
        <v>16369</v>
      </c>
      <c r="F814" s="233" t="s">
        <v>1930</v>
      </c>
      <c r="G814" s="237">
        <v>2525</v>
      </c>
      <c r="H814" s="225">
        <v>2247</v>
      </c>
      <c r="I814" s="237">
        <v>4344</v>
      </c>
      <c r="J814" s="236">
        <v>1428</v>
      </c>
      <c r="K814" s="93">
        <f t="shared" si="32"/>
        <v>10544</v>
      </c>
      <c r="L814" s="52"/>
      <c r="M814" s="237">
        <v>85</v>
      </c>
      <c r="N814" s="237">
        <v>0</v>
      </c>
      <c r="O814" s="236">
        <v>602</v>
      </c>
      <c r="P814" s="93">
        <f t="shared" si="33"/>
        <v>687</v>
      </c>
      <c r="Q814" s="52"/>
      <c r="R814" s="237">
        <v>4547</v>
      </c>
      <c r="S814" s="236">
        <v>-512</v>
      </c>
      <c r="T814" s="238">
        <v>4035</v>
      </c>
    </row>
    <row r="815" spans="1:20">
      <c r="A815" s="50">
        <v>98608</v>
      </c>
      <c r="B815" s="51" t="s">
        <v>1506</v>
      </c>
      <c r="C815" s="239">
        <v>4.3099999999999997E-5</v>
      </c>
      <c r="D815" s="239">
        <v>4.9200000000000003E-5</v>
      </c>
      <c r="E815" s="233">
        <v>102248</v>
      </c>
      <c r="F815" s="233" t="s">
        <v>1930</v>
      </c>
      <c r="G815" s="237">
        <v>15774</v>
      </c>
      <c r="H815" s="225">
        <v>14035</v>
      </c>
      <c r="I815" s="237">
        <v>27133</v>
      </c>
      <c r="J815" s="236">
        <v>3440</v>
      </c>
      <c r="K815" s="93">
        <f t="shared" si="32"/>
        <v>60382</v>
      </c>
      <c r="L815" s="52"/>
      <c r="M815" s="237">
        <v>529</v>
      </c>
      <c r="N815" s="237">
        <v>0</v>
      </c>
      <c r="O815" s="236">
        <v>4498</v>
      </c>
      <c r="P815" s="93">
        <f t="shared" si="33"/>
        <v>5027</v>
      </c>
      <c r="Q815" s="52"/>
      <c r="R815" s="237">
        <v>28402</v>
      </c>
      <c r="S815" s="236">
        <v>961</v>
      </c>
      <c r="T815" s="238">
        <v>29363</v>
      </c>
    </row>
    <row r="816" spans="1:20">
      <c r="A816" s="50">
        <v>98611</v>
      </c>
      <c r="B816" s="51" t="s">
        <v>2438</v>
      </c>
      <c r="C816" s="239">
        <v>1.143E-4</v>
      </c>
      <c r="D816" s="239">
        <v>8.6899999999999998E-5</v>
      </c>
      <c r="E816" s="233">
        <v>271159</v>
      </c>
      <c r="F816" s="233" t="s">
        <v>1930</v>
      </c>
      <c r="G816" s="237">
        <v>41833</v>
      </c>
      <c r="H816" s="225">
        <v>37222</v>
      </c>
      <c r="I816" s="237">
        <v>71955</v>
      </c>
      <c r="J816" s="236">
        <v>27552</v>
      </c>
      <c r="K816" s="93">
        <f t="shared" si="32"/>
        <v>178562</v>
      </c>
      <c r="L816" s="52"/>
      <c r="M816" s="237">
        <v>1404</v>
      </c>
      <c r="N816" s="237">
        <v>0</v>
      </c>
      <c r="O816" s="236">
        <v>6191</v>
      </c>
      <c r="P816" s="93">
        <f t="shared" si="33"/>
        <v>7595</v>
      </c>
      <c r="Q816" s="52"/>
      <c r="R816" s="237">
        <v>75321</v>
      </c>
      <c r="S816" s="236">
        <v>6163</v>
      </c>
      <c r="T816" s="238">
        <v>81484</v>
      </c>
    </row>
    <row r="817" spans="1:20">
      <c r="A817" s="50">
        <v>98621</v>
      </c>
      <c r="B817" s="51" t="s">
        <v>2439</v>
      </c>
      <c r="C817" s="239">
        <v>1.371E-4</v>
      </c>
      <c r="D817" s="239">
        <v>1.314E-4</v>
      </c>
      <c r="E817" s="233">
        <v>325248</v>
      </c>
      <c r="F817" s="233" t="s">
        <v>1930</v>
      </c>
      <c r="G817" s="237">
        <v>50178</v>
      </c>
      <c r="H817" s="225">
        <v>44647</v>
      </c>
      <c r="I817" s="237">
        <v>86308</v>
      </c>
      <c r="J817" s="236">
        <v>229</v>
      </c>
      <c r="K817" s="93">
        <f t="shared" si="32"/>
        <v>181362</v>
      </c>
      <c r="L817" s="52"/>
      <c r="M817" s="237">
        <v>1684</v>
      </c>
      <c r="N817" s="237">
        <v>0</v>
      </c>
      <c r="O817" s="236">
        <v>6715</v>
      </c>
      <c r="P817" s="93">
        <f t="shared" si="33"/>
        <v>8399</v>
      </c>
      <c r="Q817" s="52"/>
      <c r="R817" s="237">
        <v>90345</v>
      </c>
      <c r="S817" s="236">
        <v>-3483</v>
      </c>
      <c r="T817" s="238">
        <v>86862</v>
      </c>
    </row>
    <row r="818" spans="1:20">
      <c r="A818" s="50">
        <v>98627</v>
      </c>
      <c r="B818" s="51" t="s">
        <v>1509</v>
      </c>
      <c r="C818" s="239">
        <v>8.3000000000000002E-6</v>
      </c>
      <c r="D818" s="239">
        <v>8.6999999999999997E-6</v>
      </c>
      <c r="E818" s="233">
        <v>19690</v>
      </c>
      <c r="F818" s="233" t="s">
        <v>1930</v>
      </c>
      <c r="G818" s="237">
        <v>3038</v>
      </c>
      <c r="H818" s="225">
        <v>2703</v>
      </c>
      <c r="I818" s="237">
        <v>5225</v>
      </c>
      <c r="J818" s="236">
        <v>206</v>
      </c>
      <c r="K818" s="93">
        <f t="shared" si="32"/>
        <v>11172</v>
      </c>
      <c r="L818" s="52"/>
      <c r="M818" s="237">
        <v>102</v>
      </c>
      <c r="N818" s="237">
        <v>0</v>
      </c>
      <c r="O818" s="236">
        <v>1443</v>
      </c>
      <c r="P818" s="93">
        <f t="shared" si="33"/>
        <v>1545</v>
      </c>
      <c r="Q818" s="52"/>
      <c r="R818" s="237">
        <v>5469</v>
      </c>
      <c r="S818" s="236">
        <v>-389</v>
      </c>
      <c r="T818" s="238">
        <v>5080</v>
      </c>
    </row>
    <row r="819" spans="1:20">
      <c r="A819" s="50">
        <v>98631</v>
      </c>
      <c r="B819" s="51" t="s">
        <v>1510</v>
      </c>
      <c r="C819" s="239">
        <v>1.0238000000000001E-3</v>
      </c>
      <c r="D819" s="239">
        <v>1.0051999999999999E-3</v>
      </c>
      <c r="E819" s="233">
        <v>2428804</v>
      </c>
      <c r="F819" s="233" t="s">
        <v>1930</v>
      </c>
      <c r="G819" s="237">
        <v>374707</v>
      </c>
      <c r="H819" s="225">
        <v>333403</v>
      </c>
      <c r="I819" s="237">
        <v>644511</v>
      </c>
      <c r="J819" s="236">
        <v>18991</v>
      </c>
      <c r="K819" s="93">
        <f t="shared" si="32"/>
        <v>1371612</v>
      </c>
      <c r="L819" s="52"/>
      <c r="M819" s="237">
        <v>12573</v>
      </c>
      <c r="N819" s="237">
        <v>0</v>
      </c>
      <c r="O819" s="236">
        <v>60399</v>
      </c>
      <c r="P819" s="93">
        <f t="shared" si="33"/>
        <v>72972</v>
      </c>
      <c r="Q819" s="52"/>
      <c r="R819" s="237">
        <v>674657</v>
      </c>
      <c r="S819" s="236">
        <v>-36968</v>
      </c>
      <c r="T819" s="238">
        <v>637689</v>
      </c>
    </row>
    <row r="820" spans="1:20">
      <c r="A820" s="50">
        <v>98637</v>
      </c>
      <c r="B820" s="51" t="s">
        <v>1511</v>
      </c>
      <c r="C820" s="239">
        <v>1.9000000000000001E-5</v>
      </c>
      <c r="D820" s="239">
        <v>2.0800000000000001E-5</v>
      </c>
      <c r="E820" s="233">
        <v>45074</v>
      </c>
      <c r="F820" s="233" t="s">
        <v>1930</v>
      </c>
      <c r="G820" s="237">
        <v>6954</v>
      </c>
      <c r="H820" s="225">
        <v>6187</v>
      </c>
      <c r="I820" s="237">
        <v>11961</v>
      </c>
      <c r="J820" s="236">
        <v>9802</v>
      </c>
      <c r="K820" s="93">
        <f t="shared" si="32"/>
        <v>34904</v>
      </c>
      <c r="L820" s="52"/>
      <c r="M820" s="237">
        <v>233</v>
      </c>
      <c r="N820" s="237">
        <v>0</v>
      </c>
      <c r="O820" s="236">
        <v>0</v>
      </c>
      <c r="P820" s="93">
        <f t="shared" si="33"/>
        <v>233</v>
      </c>
      <c r="Q820" s="52"/>
      <c r="R820" s="237">
        <v>12520</v>
      </c>
      <c r="S820" s="236">
        <v>4352</v>
      </c>
      <c r="T820" s="238">
        <v>16872</v>
      </c>
    </row>
    <row r="821" spans="1:20">
      <c r="A821" s="50">
        <v>98641</v>
      </c>
      <c r="B821" s="51" t="s">
        <v>2440</v>
      </c>
      <c r="C821" s="239">
        <v>2.9080000000000002E-4</v>
      </c>
      <c r="D821" s="239">
        <v>2.965E-4</v>
      </c>
      <c r="E821" s="233">
        <v>689877</v>
      </c>
      <c r="F821" s="233" t="s">
        <v>1930</v>
      </c>
      <c r="G821" s="237">
        <v>106432</v>
      </c>
      <c r="H821" s="225">
        <v>94699</v>
      </c>
      <c r="I821" s="237">
        <v>183067</v>
      </c>
      <c r="J821" s="236">
        <v>1967</v>
      </c>
      <c r="K821" s="93">
        <f t="shared" si="32"/>
        <v>386165</v>
      </c>
      <c r="L821" s="52"/>
      <c r="M821" s="237">
        <v>3571</v>
      </c>
      <c r="N821" s="237">
        <v>0</v>
      </c>
      <c r="O821" s="236">
        <v>5099</v>
      </c>
      <c r="P821" s="93">
        <f t="shared" si="33"/>
        <v>8670</v>
      </c>
      <c r="Q821" s="52"/>
      <c r="R821" s="237">
        <v>191629</v>
      </c>
      <c r="S821" s="236">
        <v>68</v>
      </c>
      <c r="T821" s="238">
        <v>191697</v>
      </c>
    </row>
    <row r="823" spans="1:20">
      <c r="A823" s="50">
        <v>98701</v>
      </c>
      <c r="B823" s="51" t="s">
        <v>1513</v>
      </c>
      <c r="C823" s="239">
        <v>1.0870000000000001E-3</v>
      </c>
      <c r="D823" s="239">
        <v>1.1333999999999999E-3</v>
      </c>
      <c r="E823" s="233">
        <v>2578736</v>
      </c>
      <c r="F823" s="233" t="s">
        <v>1930</v>
      </c>
      <c r="G823" s="237">
        <v>397838</v>
      </c>
      <c r="H823" s="225">
        <v>353983</v>
      </c>
      <c r="I823" s="237">
        <v>684297</v>
      </c>
      <c r="J823" s="236">
        <v>2231</v>
      </c>
      <c r="K823" s="93">
        <f t="shared" si="32"/>
        <v>1438349</v>
      </c>
      <c r="L823" s="52"/>
      <c r="M823" s="237">
        <v>13349</v>
      </c>
      <c r="N823" s="237">
        <v>0</v>
      </c>
      <c r="O823" s="236">
        <v>78824</v>
      </c>
      <c r="P823" s="93">
        <f t="shared" si="33"/>
        <v>92173</v>
      </c>
      <c r="Q823" s="52"/>
      <c r="R823" s="237">
        <v>716304</v>
      </c>
      <c r="S823" s="236">
        <v>-35842</v>
      </c>
      <c r="T823" s="238">
        <v>680462</v>
      </c>
    </row>
    <row r="824" spans="1:20">
      <c r="A824" s="50">
        <v>98711</v>
      </c>
      <c r="B824" s="51" t="s">
        <v>2441</v>
      </c>
      <c r="C824" s="239">
        <v>1.6679999999999999E-4</v>
      </c>
      <c r="D824" s="239">
        <v>1.8369999999999999E-4</v>
      </c>
      <c r="E824" s="233">
        <v>395707</v>
      </c>
      <c r="F824" s="233" t="s">
        <v>1930</v>
      </c>
      <c r="G824" s="237">
        <v>61048</v>
      </c>
      <c r="H824" s="225">
        <v>54318</v>
      </c>
      <c r="I824" s="237">
        <v>105005</v>
      </c>
      <c r="J824" s="236">
        <v>0</v>
      </c>
      <c r="K824" s="93">
        <f t="shared" si="32"/>
        <v>220371</v>
      </c>
      <c r="L824" s="52"/>
      <c r="M824" s="237">
        <v>2048</v>
      </c>
      <c r="N824" s="237">
        <v>0</v>
      </c>
      <c r="O824" s="236">
        <v>31195</v>
      </c>
      <c r="P824" s="93">
        <f t="shared" si="33"/>
        <v>33243</v>
      </c>
      <c r="Q824" s="52"/>
      <c r="R824" s="237">
        <v>109917</v>
      </c>
      <c r="S824" s="236">
        <v>-9096</v>
      </c>
      <c r="T824" s="238">
        <v>100821</v>
      </c>
    </row>
    <row r="825" spans="1:20">
      <c r="A825" s="50">
        <v>98717</v>
      </c>
      <c r="B825" s="51" t="s">
        <v>1515</v>
      </c>
      <c r="C825" s="239">
        <v>1.9599999999999999E-5</v>
      </c>
      <c r="D825" s="239">
        <v>2.1100000000000001E-5</v>
      </c>
      <c r="E825" s="233">
        <v>46498</v>
      </c>
      <c r="F825" s="233" t="s">
        <v>1930</v>
      </c>
      <c r="G825" s="237">
        <v>7174</v>
      </c>
      <c r="H825" s="225">
        <v>6383</v>
      </c>
      <c r="I825" s="237">
        <v>12339</v>
      </c>
      <c r="J825" s="236">
        <v>928</v>
      </c>
      <c r="K825" s="93">
        <f t="shared" si="32"/>
        <v>26824</v>
      </c>
      <c r="L825" s="52"/>
      <c r="M825" s="237">
        <v>241</v>
      </c>
      <c r="N825" s="237">
        <v>0</v>
      </c>
      <c r="O825" s="236">
        <v>2000</v>
      </c>
      <c r="P825" s="93">
        <f t="shared" si="33"/>
        <v>2241</v>
      </c>
      <c r="Q825" s="52"/>
      <c r="R825" s="237">
        <v>12916</v>
      </c>
      <c r="S825" s="236">
        <v>-184</v>
      </c>
      <c r="T825" s="238">
        <v>12732</v>
      </c>
    </row>
    <row r="826" spans="1:20">
      <c r="A826" s="50">
        <v>98801</v>
      </c>
      <c r="B826" s="51" t="s">
        <v>1516</v>
      </c>
      <c r="C826" s="239">
        <v>2.1394999999999999E-3</v>
      </c>
      <c r="D826" s="239">
        <v>2.2859E-3</v>
      </c>
      <c r="E826" s="234">
        <v>5075626</v>
      </c>
      <c r="F826" s="234" t="s">
        <v>1930</v>
      </c>
      <c r="G826" s="237">
        <v>783048</v>
      </c>
      <c r="H826" s="225">
        <v>696732</v>
      </c>
      <c r="I826" s="237">
        <v>1346875</v>
      </c>
      <c r="J826" s="236">
        <v>90601</v>
      </c>
      <c r="K826" s="93">
        <f t="shared" si="32"/>
        <v>2917256</v>
      </c>
      <c r="L826" s="52"/>
      <c r="M826" s="237">
        <v>26275</v>
      </c>
      <c r="N826" s="237">
        <v>0</v>
      </c>
      <c r="O826" s="236">
        <v>76084</v>
      </c>
      <c r="P826" s="93">
        <f t="shared" si="33"/>
        <v>102359</v>
      </c>
      <c r="Q826" s="52"/>
      <c r="R826" s="237">
        <v>1409873</v>
      </c>
      <c r="S826" s="236">
        <v>36447</v>
      </c>
      <c r="T826" s="238">
        <v>1446320</v>
      </c>
    </row>
    <row r="827" spans="1:20">
      <c r="A827" s="50">
        <v>98811</v>
      </c>
      <c r="B827" s="51" t="s">
        <v>1517</v>
      </c>
      <c r="C827" s="239">
        <v>6.332E-4</v>
      </c>
      <c r="D827" s="239">
        <v>6.5160000000000001E-4</v>
      </c>
      <c r="E827" s="234">
        <v>1502167</v>
      </c>
      <c r="F827" s="234" t="s">
        <v>1930</v>
      </c>
      <c r="G827" s="237">
        <v>231749</v>
      </c>
      <c r="H827" s="225">
        <v>206203</v>
      </c>
      <c r="I827" s="237">
        <v>398617</v>
      </c>
      <c r="J827" s="236">
        <v>10392</v>
      </c>
      <c r="K827" s="93">
        <f t="shared" si="32"/>
        <v>846961</v>
      </c>
      <c r="L827" s="52"/>
      <c r="M827" s="237">
        <v>7776</v>
      </c>
      <c r="N827" s="237">
        <v>0</v>
      </c>
      <c r="O827" s="236">
        <v>32558</v>
      </c>
      <c r="P827" s="93">
        <f t="shared" si="33"/>
        <v>40334</v>
      </c>
      <c r="Q827" s="52"/>
      <c r="R827" s="237">
        <v>417262</v>
      </c>
      <c r="S827" s="236">
        <v>1421</v>
      </c>
      <c r="T827" s="238">
        <v>418683</v>
      </c>
    </row>
    <row r="828" spans="1:20">
      <c r="A828" s="50">
        <v>98817</v>
      </c>
      <c r="B828" s="51" t="s">
        <v>1518</v>
      </c>
      <c r="C828" s="239">
        <v>2.4000000000000001E-5</v>
      </c>
      <c r="D828" s="239">
        <v>2.5199999999999999E-5</v>
      </c>
      <c r="E828" s="234">
        <v>56936</v>
      </c>
      <c r="F828" s="234" t="s">
        <v>1930</v>
      </c>
      <c r="G828" s="237">
        <v>8784</v>
      </c>
      <c r="H828" s="225">
        <v>7815</v>
      </c>
      <c r="I828" s="237">
        <v>15109</v>
      </c>
      <c r="J828" s="236">
        <v>3830</v>
      </c>
      <c r="K828" s="93">
        <f t="shared" si="32"/>
        <v>35538</v>
      </c>
      <c r="L828" s="52"/>
      <c r="M828" s="237">
        <v>295</v>
      </c>
      <c r="N828" s="237">
        <v>0</v>
      </c>
      <c r="O828" s="236">
        <v>0</v>
      </c>
      <c r="P828" s="93">
        <f t="shared" si="33"/>
        <v>295</v>
      </c>
      <c r="Q828" s="52"/>
      <c r="R828" s="237">
        <v>15815</v>
      </c>
      <c r="S828" s="236">
        <v>-955</v>
      </c>
      <c r="T828" s="238">
        <v>14860</v>
      </c>
    </row>
    <row r="829" spans="1:20">
      <c r="A829" s="50">
        <v>98901</v>
      </c>
      <c r="B829" s="51" t="s">
        <v>1519</v>
      </c>
      <c r="C829" s="239">
        <v>3.0289999999999999E-4</v>
      </c>
      <c r="D829" s="239">
        <v>3.5050000000000001E-4</v>
      </c>
      <c r="E829" s="234">
        <v>718582</v>
      </c>
      <c r="F829" s="234" t="s">
        <v>1930</v>
      </c>
      <c r="G829" s="237">
        <v>110860</v>
      </c>
      <c r="H829" s="225">
        <v>98640</v>
      </c>
      <c r="I829" s="237">
        <v>190684</v>
      </c>
      <c r="J829" s="236">
        <v>5223</v>
      </c>
      <c r="K829" s="93">
        <f t="shared" si="32"/>
        <v>405407</v>
      </c>
      <c r="L829" s="52"/>
      <c r="M829" s="237">
        <v>3720</v>
      </c>
      <c r="N829" s="237">
        <v>0</v>
      </c>
      <c r="O829" s="236">
        <v>23281</v>
      </c>
      <c r="P829" s="93">
        <f t="shared" si="33"/>
        <v>27001</v>
      </c>
      <c r="Q829" s="52"/>
      <c r="R829" s="237">
        <v>199603</v>
      </c>
      <c r="S829" s="236">
        <v>-4531</v>
      </c>
      <c r="T829" s="238">
        <v>195072</v>
      </c>
    </row>
    <row r="830" spans="1:20">
      <c r="A830" s="50">
        <v>98904</v>
      </c>
      <c r="B830" s="51" t="s">
        <v>1520</v>
      </c>
      <c r="C830" s="239">
        <v>3.9999999999999998E-6</v>
      </c>
      <c r="D830" s="239">
        <v>2.7999999999999999E-6</v>
      </c>
      <c r="E830" s="234">
        <v>9489</v>
      </c>
      <c r="F830" s="234" t="s">
        <v>1930</v>
      </c>
      <c r="G830" s="237">
        <v>1464</v>
      </c>
      <c r="H830" s="225">
        <v>1303</v>
      </c>
      <c r="I830" s="237">
        <v>2518</v>
      </c>
      <c r="J830" s="236">
        <v>762</v>
      </c>
      <c r="K830" s="93">
        <f t="shared" si="32"/>
        <v>6047</v>
      </c>
      <c r="L830" s="52"/>
      <c r="M830" s="237">
        <v>49</v>
      </c>
      <c r="N830" s="237">
        <v>0</v>
      </c>
      <c r="O830" s="236">
        <v>1361</v>
      </c>
      <c r="P830" s="93">
        <f t="shared" si="33"/>
        <v>1410</v>
      </c>
      <c r="Q830" s="52"/>
      <c r="R830" s="237">
        <v>2636</v>
      </c>
      <c r="S830" s="236">
        <v>-163</v>
      </c>
      <c r="T830" s="238">
        <v>2473</v>
      </c>
    </row>
    <row r="831" spans="1:20">
      <c r="A831" s="50">
        <v>98911</v>
      </c>
      <c r="B831" s="51" t="s">
        <v>2442</v>
      </c>
      <c r="C831" s="239">
        <v>2.8900000000000001E-5</v>
      </c>
      <c r="D831" s="239">
        <v>2.7900000000000001E-5</v>
      </c>
      <c r="E831" s="234">
        <v>68561</v>
      </c>
      <c r="F831" s="234" t="s">
        <v>1930</v>
      </c>
      <c r="G831" s="237">
        <v>10577</v>
      </c>
      <c r="H831" s="225">
        <v>9411</v>
      </c>
      <c r="I831" s="237">
        <v>18193</v>
      </c>
      <c r="J831" s="236">
        <v>12643</v>
      </c>
      <c r="K831" s="93">
        <f t="shared" si="32"/>
        <v>50824</v>
      </c>
      <c r="L831" s="52"/>
      <c r="M831" s="237">
        <v>355</v>
      </c>
      <c r="N831" s="237">
        <v>0</v>
      </c>
      <c r="O831" s="236">
        <v>0</v>
      </c>
      <c r="P831" s="93">
        <f t="shared" si="33"/>
        <v>355</v>
      </c>
      <c r="Q831" s="52"/>
      <c r="R831" s="237">
        <v>19044</v>
      </c>
      <c r="S831" s="236">
        <v>6908</v>
      </c>
      <c r="T831" s="238">
        <v>25952</v>
      </c>
    </row>
    <row r="832" spans="1:20">
      <c r="A832" s="50">
        <v>99001</v>
      </c>
      <c r="B832" s="51" t="s">
        <v>1522</v>
      </c>
      <c r="C832" s="239">
        <v>8.2226E-3</v>
      </c>
      <c r="D832" s="239">
        <v>8.0949000000000004E-3</v>
      </c>
      <c r="E832" s="234">
        <v>19506819</v>
      </c>
      <c r="F832" s="234" t="s">
        <v>1930</v>
      </c>
      <c r="G832" s="237">
        <v>3009439</v>
      </c>
      <c r="H832" s="225">
        <v>2677706</v>
      </c>
      <c r="I832" s="237">
        <v>5176357</v>
      </c>
      <c r="J832" s="236">
        <v>209363</v>
      </c>
      <c r="K832" s="93">
        <f t="shared" si="32"/>
        <v>11072865</v>
      </c>
      <c r="L832" s="52"/>
      <c r="M832" s="237">
        <v>100982</v>
      </c>
      <c r="N832" s="237">
        <v>0</v>
      </c>
      <c r="O832" s="236">
        <v>0</v>
      </c>
      <c r="P832" s="93">
        <f t="shared" si="33"/>
        <v>100982</v>
      </c>
      <c r="Q832" s="52"/>
      <c r="R832" s="237">
        <v>5418471</v>
      </c>
      <c r="S832" s="236">
        <v>195187</v>
      </c>
      <c r="T832" s="238">
        <v>5613658</v>
      </c>
    </row>
    <row r="833" spans="1:20">
      <c r="A833" s="50">
        <v>99011</v>
      </c>
      <c r="B833" s="51" t="s">
        <v>1523</v>
      </c>
      <c r="C833" s="239">
        <v>3.8665000000000001E-3</v>
      </c>
      <c r="D833" s="239">
        <v>3.8736999999999999E-3</v>
      </c>
      <c r="E833" s="234">
        <v>9172660</v>
      </c>
      <c r="F833" s="234" t="s">
        <v>1930</v>
      </c>
      <c r="G833" s="237">
        <v>1415124</v>
      </c>
      <c r="H833" s="225">
        <v>1259134</v>
      </c>
      <c r="I833" s="237">
        <v>2434070</v>
      </c>
      <c r="J833" s="236">
        <v>838</v>
      </c>
      <c r="K833" s="93">
        <f t="shared" si="32"/>
        <v>5109166</v>
      </c>
      <c r="L833" s="52"/>
      <c r="M833" s="237">
        <v>47484</v>
      </c>
      <c r="N833" s="237">
        <v>0</v>
      </c>
      <c r="O833" s="236">
        <v>184222</v>
      </c>
      <c r="P833" s="93">
        <f t="shared" si="33"/>
        <v>231706</v>
      </c>
      <c r="Q833" s="52"/>
      <c r="R833" s="237">
        <v>2547919</v>
      </c>
      <c r="S833" s="236">
        <v>-211857</v>
      </c>
      <c r="T833" s="238">
        <v>2336062</v>
      </c>
    </row>
    <row r="834" spans="1:20">
      <c r="A834" s="50">
        <v>99013</v>
      </c>
      <c r="B834" s="51" t="s">
        <v>1524</v>
      </c>
      <c r="C834" s="239">
        <v>4.8900000000000003E-5</v>
      </c>
      <c r="D834" s="239">
        <v>5.5999999999999999E-5</v>
      </c>
      <c r="E834" s="234">
        <v>116008</v>
      </c>
      <c r="F834" s="234" t="s">
        <v>1930</v>
      </c>
      <c r="G834" s="237">
        <v>17897</v>
      </c>
      <c r="H834" s="225">
        <v>15924</v>
      </c>
      <c r="I834" s="237">
        <v>30784</v>
      </c>
      <c r="J834" s="236">
        <v>0</v>
      </c>
      <c r="K834" s="93">
        <f t="shared" si="32"/>
        <v>64605</v>
      </c>
      <c r="L834" s="52"/>
      <c r="M834" s="237">
        <v>601</v>
      </c>
      <c r="N834" s="237">
        <v>0</v>
      </c>
      <c r="O834" s="236">
        <v>6685</v>
      </c>
      <c r="P834" s="93">
        <f t="shared" si="33"/>
        <v>7286</v>
      </c>
      <c r="Q834" s="52"/>
      <c r="R834" s="237">
        <v>32224</v>
      </c>
      <c r="S834" s="236">
        <v>-3150</v>
      </c>
      <c r="T834" s="238">
        <v>29074</v>
      </c>
    </row>
    <row r="835" spans="1:20">
      <c r="A835" s="50">
        <v>99014</v>
      </c>
      <c r="B835" s="51" t="s">
        <v>1525</v>
      </c>
      <c r="C835" s="239">
        <v>1.45E-5</v>
      </c>
      <c r="D835" s="239">
        <v>2.0100000000000001E-5</v>
      </c>
      <c r="E835" s="234">
        <v>34399</v>
      </c>
      <c r="F835" s="234" t="s">
        <v>1930</v>
      </c>
      <c r="G835" s="237">
        <v>5307</v>
      </c>
      <c r="H835" s="225">
        <v>4722</v>
      </c>
      <c r="I835" s="237">
        <v>9128</v>
      </c>
      <c r="J835" s="236">
        <v>8368</v>
      </c>
      <c r="K835" s="93">
        <f t="shared" si="32"/>
        <v>27525</v>
      </c>
      <c r="L835" s="52"/>
      <c r="M835" s="237">
        <v>178</v>
      </c>
      <c r="N835" s="237">
        <v>0</v>
      </c>
      <c r="O835" s="236">
        <v>225</v>
      </c>
      <c r="P835" s="93">
        <f t="shared" si="33"/>
        <v>403</v>
      </c>
      <c r="Q835" s="52"/>
      <c r="R835" s="237">
        <v>9555</v>
      </c>
      <c r="S835" s="236">
        <v>4279</v>
      </c>
      <c r="T835" s="238">
        <v>13834</v>
      </c>
    </row>
    <row r="836" spans="1:20">
      <c r="A836" s="50">
        <v>99017</v>
      </c>
      <c r="B836" s="51" t="s">
        <v>1526</v>
      </c>
      <c r="C836" s="239">
        <v>4.5599999999999997E-5</v>
      </c>
      <c r="D836" s="239">
        <v>5.13E-5</v>
      </c>
      <c r="E836" s="234">
        <v>108179</v>
      </c>
      <c r="F836" s="234" t="s">
        <v>1930</v>
      </c>
      <c r="G836" s="237">
        <v>16689</v>
      </c>
      <c r="H836" s="225">
        <v>14849</v>
      </c>
      <c r="I836" s="237">
        <v>28706</v>
      </c>
      <c r="J836" s="236">
        <v>5362</v>
      </c>
      <c r="K836" s="93">
        <f t="shared" si="32"/>
        <v>65606</v>
      </c>
      <c r="L836" s="52"/>
      <c r="M836" s="237">
        <v>560</v>
      </c>
      <c r="N836" s="237">
        <v>0</v>
      </c>
      <c r="O836" s="236">
        <v>3293</v>
      </c>
      <c r="P836" s="93">
        <f t="shared" si="33"/>
        <v>3853</v>
      </c>
      <c r="Q836" s="52"/>
      <c r="R836" s="237">
        <v>30049</v>
      </c>
      <c r="S836" s="236">
        <v>-1419</v>
      </c>
      <c r="T836" s="238">
        <v>28630</v>
      </c>
    </row>
    <row r="837" spans="1:20">
      <c r="A837" s="50">
        <v>99021</v>
      </c>
      <c r="B837" s="51" t="s">
        <v>2443</v>
      </c>
      <c r="C837" s="239">
        <v>1.3200000000000001E-4</v>
      </c>
      <c r="D837" s="239">
        <v>1.5249999999999999E-4</v>
      </c>
      <c r="E837" s="234">
        <v>313149</v>
      </c>
      <c r="F837" s="234" t="s">
        <v>1930</v>
      </c>
      <c r="G837" s="237">
        <v>48311</v>
      </c>
      <c r="H837" s="225">
        <v>42986</v>
      </c>
      <c r="I837" s="237">
        <v>83098</v>
      </c>
      <c r="J837" s="236">
        <v>7338</v>
      </c>
      <c r="K837" s="93">
        <f t="shared" si="32"/>
        <v>181733</v>
      </c>
      <c r="L837" s="52"/>
      <c r="M837" s="237">
        <v>1621</v>
      </c>
      <c r="N837" s="237">
        <v>0</v>
      </c>
      <c r="O837" s="236">
        <v>13687</v>
      </c>
      <c r="P837" s="93">
        <f t="shared" si="33"/>
        <v>15308</v>
      </c>
      <c r="Q837" s="52"/>
      <c r="R837" s="237">
        <v>86984</v>
      </c>
      <c r="S837" s="236">
        <v>669</v>
      </c>
      <c r="T837" s="238">
        <v>87653</v>
      </c>
    </row>
    <row r="838" spans="1:20">
      <c r="A838" s="50">
        <v>99022</v>
      </c>
      <c r="B838" s="51" t="s">
        <v>2444</v>
      </c>
      <c r="C838" s="239">
        <v>9.9000000000000001E-6</v>
      </c>
      <c r="D838" s="239">
        <v>1.08E-5</v>
      </c>
      <c r="E838" s="234">
        <v>23486</v>
      </c>
      <c r="F838" s="234" t="s">
        <v>1930</v>
      </c>
      <c r="G838" s="237">
        <v>3623</v>
      </c>
      <c r="H838" s="225">
        <v>3224</v>
      </c>
      <c r="I838" s="237">
        <v>6232</v>
      </c>
      <c r="J838" s="236">
        <v>10975</v>
      </c>
      <c r="K838" s="93">
        <f t="shared" si="32"/>
        <v>24054</v>
      </c>
      <c r="L838" s="52"/>
      <c r="M838" s="237">
        <v>122</v>
      </c>
      <c r="N838" s="237">
        <v>0</v>
      </c>
      <c r="O838" s="236">
        <v>0</v>
      </c>
      <c r="P838" s="93">
        <f t="shared" si="33"/>
        <v>122</v>
      </c>
      <c r="Q838" s="52"/>
      <c r="R838" s="237">
        <v>6524</v>
      </c>
      <c r="S838" s="236">
        <v>4162</v>
      </c>
      <c r="T838" s="238">
        <v>10686</v>
      </c>
    </row>
    <row r="839" spans="1:20">
      <c r="A839" s="50">
        <v>99031</v>
      </c>
      <c r="B839" s="51" t="s">
        <v>2445</v>
      </c>
      <c r="C839" s="239">
        <v>1.3669999999999999E-4</v>
      </c>
      <c r="D839" s="239">
        <v>1.518E-4</v>
      </c>
      <c r="E839" s="234">
        <v>324299</v>
      </c>
      <c r="F839" s="234" t="s">
        <v>1930</v>
      </c>
      <c r="G839" s="237">
        <v>50032</v>
      </c>
      <c r="H839" s="225">
        <v>44516</v>
      </c>
      <c r="I839" s="237">
        <v>86056</v>
      </c>
      <c r="J839" s="236">
        <v>1850</v>
      </c>
      <c r="K839" s="93">
        <f t="shared" si="32"/>
        <v>182454</v>
      </c>
      <c r="L839" s="52"/>
      <c r="M839" s="237">
        <v>1679</v>
      </c>
      <c r="N839" s="237">
        <v>0</v>
      </c>
      <c r="O839" s="236">
        <v>27900</v>
      </c>
      <c r="P839" s="93">
        <f t="shared" si="33"/>
        <v>29579</v>
      </c>
      <c r="Q839" s="52"/>
      <c r="R839" s="237">
        <v>90082</v>
      </c>
      <c r="S839" s="236">
        <v>-15810</v>
      </c>
      <c r="T839" s="238">
        <v>74272</v>
      </c>
    </row>
    <row r="840" spans="1:20">
      <c r="A840" s="50">
        <v>99041</v>
      </c>
      <c r="B840" s="51" t="s">
        <v>2446</v>
      </c>
      <c r="C840" s="239">
        <v>6.6399999999999999E-4</v>
      </c>
      <c r="D840" s="239">
        <v>6.3500000000000004E-4</v>
      </c>
      <c r="E840" s="234">
        <v>1575235</v>
      </c>
      <c r="F840" s="234" t="s">
        <v>1930</v>
      </c>
      <c r="G840" s="237">
        <v>243021</v>
      </c>
      <c r="H840" s="225">
        <v>216233</v>
      </c>
      <c r="I840" s="237">
        <v>418007</v>
      </c>
      <c r="J840" s="236">
        <v>24066</v>
      </c>
      <c r="K840" s="93">
        <f t="shared" si="32"/>
        <v>901327</v>
      </c>
      <c r="L840" s="52"/>
      <c r="M840" s="237">
        <v>8155</v>
      </c>
      <c r="N840" s="237">
        <v>0</v>
      </c>
      <c r="O840" s="236">
        <v>13122</v>
      </c>
      <c r="P840" s="93">
        <f t="shared" si="33"/>
        <v>21277</v>
      </c>
      <c r="Q840" s="52"/>
      <c r="R840" s="237">
        <v>437558</v>
      </c>
      <c r="S840" s="236">
        <v>25573</v>
      </c>
      <c r="T840" s="238">
        <v>463131</v>
      </c>
    </row>
    <row r="841" spans="1:20">
      <c r="A841" s="50">
        <v>99047</v>
      </c>
      <c r="B841" s="51" t="s">
        <v>1530</v>
      </c>
      <c r="C841" s="239">
        <v>1.56E-5</v>
      </c>
      <c r="D841" s="239">
        <v>1.42E-5</v>
      </c>
      <c r="E841" s="234">
        <v>37009</v>
      </c>
      <c r="F841" s="234" t="s">
        <v>1930</v>
      </c>
      <c r="G841" s="237">
        <v>5710</v>
      </c>
      <c r="H841" s="225">
        <v>5080</v>
      </c>
      <c r="I841" s="237">
        <v>9821</v>
      </c>
      <c r="J841" s="236">
        <v>6776</v>
      </c>
      <c r="K841" s="93">
        <f t="shared" si="32"/>
        <v>27387</v>
      </c>
      <c r="L841" s="52"/>
      <c r="M841" s="237">
        <v>192</v>
      </c>
      <c r="N841" s="237">
        <v>0</v>
      </c>
      <c r="O841" s="236">
        <v>0</v>
      </c>
      <c r="P841" s="93">
        <f t="shared" si="33"/>
        <v>192</v>
      </c>
      <c r="Q841" s="52"/>
      <c r="R841" s="237">
        <v>10280</v>
      </c>
      <c r="S841" s="236">
        <v>3015</v>
      </c>
      <c r="T841" s="238">
        <v>13295</v>
      </c>
    </row>
    <row r="842" spans="1:20">
      <c r="A842" s="50">
        <v>99051</v>
      </c>
      <c r="B842" s="51" t="s">
        <v>2447</v>
      </c>
      <c r="C842" s="239">
        <v>3.5330000000000002E-4</v>
      </c>
      <c r="D842" s="239">
        <v>3.5359999999999998E-4</v>
      </c>
      <c r="E842" s="234">
        <v>838148</v>
      </c>
      <c r="F842" s="234" t="s">
        <v>1930</v>
      </c>
      <c r="G842" s="237">
        <v>129306</v>
      </c>
      <c r="H842" s="225">
        <v>115053</v>
      </c>
      <c r="I842" s="237">
        <v>222412</v>
      </c>
      <c r="J842" s="236">
        <v>6035</v>
      </c>
      <c r="K842" s="93">
        <f t="shared" si="32"/>
        <v>472806</v>
      </c>
      <c r="L842" s="52"/>
      <c r="M842" s="237">
        <v>4339</v>
      </c>
      <c r="N842" s="237">
        <v>0</v>
      </c>
      <c r="O842" s="236">
        <v>13404</v>
      </c>
      <c r="P842" s="93">
        <f t="shared" si="33"/>
        <v>17743</v>
      </c>
      <c r="Q842" s="52"/>
      <c r="R842" s="237">
        <v>232815</v>
      </c>
      <c r="S842" s="236">
        <v>1887</v>
      </c>
      <c r="T842" s="238">
        <v>234702</v>
      </c>
    </row>
    <row r="843" spans="1:20">
      <c r="A843" s="50">
        <v>99061</v>
      </c>
      <c r="B843" s="51" t="s">
        <v>2448</v>
      </c>
      <c r="C843" s="239">
        <v>7.5000000000000002E-6</v>
      </c>
      <c r="D843" s="239">
        <v>8.1000000000000004E-6</v>
      </c>
      <c r="E843" s="234">
        <v>17793</v>
      </c>
      <c r="F843" s="234" t="s">
        <v>1930</v>
      </c>
      <c r="G843" s="237">
        <v>2745</v>
      </c>
      <c r="H843" s="225">
        <v>2443</v>
      </c>
      <c r="I843" s="237">
        <v>4721</v>
      </c>
      <c r="J843" s="236">
        <v>7969</v>
      </c>
      <c r="K843" s="93">
        <f t="shared" si="32"/>
        <v>17878</v>
      </c>
      <c r="L843" s="52"/>
      <c r="M843" s="237">
        <v>92</v>
      </c>
      <c r="N843" s="237">
        <v>0</v>
      </c>
      <c r="O843" s="236">
        <v>0</v>
      </c>
      <c r="P843" s="93">
        <f t="shared" si="33"/>
        <v>92</v>
      </c>
      <c r="Q843" s="52"/>
      <c r="R843" s="237">
        <v>4942</v>
      </c>
      <c r="S843" s="236">
        <v>3513</v>
      </c>
      <c r="T843" s="238">
        <v>8455</v>
      </c>
    </row>
    <row r="844" spans="1:20">
      <c r="A844" s="50">
        <v>99071</v>
      </c>
      <c r="B844" s="51" t="s">
        <v>2449</v>
      </c>
      <c r="C844" s="239">
        <v>2.2799999999999999E-5</v>
      </c>
      <c r="D844" s="239">
        <v>3.04E-5</v>
      </c>
      <c r="E844" s="234">
        <v>54089</v>
      </c>
      <c r="F844" s="234" t="s">
        <v>1930</v>
      </c>
      <c r="G844" s="237">
        <v>8345</v>
      </c>
      <c r="H844" s="225">
        <v>7425</v>
      </c>
      <c r="I844" s="237">
        <v>14353</v>
      </c>
      <c r="J844" s="236">
        <v>614</v>
      </c>
      <c r="K844" s="93">
        <f t="shared" si="32"/>
        <v>30737</v>
      </c>
      <c r="L844" s="52"/>
      <c r="M844" s="237">
        <v>280</v>
      </c>
      <c r="N844" s="237">
        <v>0</v>
      </c>
      <c r="O844" s="236">
        <v>4179</v>
      </c>
      <c r="P844" s="93">
        <f t="shared" si="33"/>
        <v>4459</v>
      </c>
      <c r="Q844" s="52"/>
      <c r="R844" s="237">
        <v>15025</v>
      </c>
      <c r="S844" s="236">
        <v>-1950</v>
      </c>
      <c r="T844" s="238">
        <v>13075</v>
      </c>
    </row>
    <row r="845" spans="1:20">
      <c r="A845" s="50">
        <v>99081</v>
      </c>
      <c r="B845" s="51" t="s">
        <v>2491</v>
      </c>
      <c r="C845" s="239">
        <v>1.4600000000000001E-5</v>
      </c>
      <c r="D845" s="239">
        <v>1.1E-5</v>
      </c>
      <c r="E845" s="234">
        <v>34636</v>
      </c>
      <c r="F845" s="234" t="s">
        <v>1930</v>
      </c>
      <c r="G845" s="237">
        <v>5344</v>
      </c>
      <c r="H845" s="225">
        <v>4755</v>
      </c>
      <c r="I845" s="237">
        <v>9191</v>
      </c>
      <c r="J845" s="236">
        <v>5866</v>
      </c>
      <c r="K845" s="93">
        <f t="shared" si="32"/>
        <v>25156</v>
      </c>
      <c r="L845" s="52"/>
      <c r="M845" s="237">
        <v>179</v>
      </c>
      <c r="N845" s="237">
        <v>0</v>
      </c>
      <c r="O845" s="236">
        <v>8362</v>
      </c>
      <c r="P845" s="93">
        <f t="shared" si="33"/>
        <v>8541</v>
      </c>
      <c r="Q845" s="52"/>
      <c r="R845" s="237">
        <v>9621</v>
      </c>
      <c r="S845" s="236">
        <v>-1818</v>
      </c>
      <c r="T845" s="238">
        <v>7803</v>
      </c>
    </row>
    <row r="846" spans="1:20">
      <c r="A846" s="50">
        <v>99091</v>
      </c>
      <c r="B846" s="51" t="s">
        <v>2492</v>
      </c>
      <c r="C846" s="239">
        <v>3.4999999999999999E-6</v>
      </c>
      <c r="D846" s="239">
        <v>3.9999999999999998E-6</v>
      </c>
      <c r="E846" s="234">
        <v>8303</v>
      </c>
      <c r="F846" s="234" t="s">
        <v>1930</v>
      </c>
      <c r="G846" s="237">
        <v>1281</v>
      </c>
      <c r="H846" s="225">
        <v>1140</v>
      </c>
      <c r="I846" s="237">
        <v>2203</v>
      </c>
      <c r="J846" s="236">
        <v>5036</v>
      </c>
      <c r="K846" s="93">
        <f t="shared" si="32"/>
        <v>9660</v>
      </c>
      <c r="L846" s="52"/>
      <c r="M846" s="237">
        <v>43</v>
      </c>
      <c r="N846" s="237">
        <v>0</v>
      </c>
      <c r="O846" s="236">
        <v>0</v>
      </c>
      <c r="P846" s="93">
        <f t="shared" si="33"/>
        <v>43</v>
      </c>
      <c r="Q846" s="52"/>
      <c r="R846" s="237">
        <v>2306</v>
      </c>
      <c r="S846" s="236">
        <v>-1327</v>
      </c>
      <c r="T846" s="238">
        <v>979</v>
      </c>
    </row>
    <row r="847" spans="1:20">
      <c r="A847" s="50">
        <v>99101</v>
      </c>
      <c r="B847" s="51" t="s">
        <v>1536</v>
      </c>
      <c r="C847" s="239">
        <v>2.1986000000000002E-3</v>
      </c>
      <c r="D847" s="239">
        <v>2.1724000000000001E-3</v>
      </c>
      <c r="E847" s="234">
        <v>5215831</v>
      </c>
      <c r="F847" s="234" t="s">
        <v>1930</v>
      </c>
      <c r="G847" s="237">
        <v>804679</v>
      </c>
      <c r="H847" s="225">
        <v>715979</v>
      </c>
      <c r="I847" s="237">
        <v>1384080</v>
      </c>
      <c r="J847" s="236">
        <v>34730</v>
      </c>
      <c r="K847" s="93">
        <f t="shared" si="32"/>
        <v>2939468</v>
      </c>
      <c r="L847" s="52"/>
      <c r="M847" s="237">
        <v>27001</v>
      </c>
      <c r="N847" s="237">
        <v>0</v>
      </c>
      <c r="O847" s="236">
        <v>54085</v>
      </c>
      <c r="P847" s="93">
        <f t="shared" si="33"/>
        <v>81086</v>
      </c>
      <c r="Q847" s="52"/>
      <c r="R847" s="237">
        <v>1448818</v>
      </c>
      <c r="S847" s="236">
        <v>-23157</v>
      </c>
      <c r="T847" s="238">
        <v>1425661</v>
      </c>
    </row>
    <row r="848" spans="1:20">
      <c r="A848" s="50">
        <v>99104</v>
      </c>
      <c r="B848" s="51" t="s">
        <v>1537</v>
      </c>
      <c r="C848" s="239">
        <v>3.4E-5</v>
      </c>
      <c r="D848" s="239">
        <v>3.3500000000000001E-5</v>
      </c>
      <c r="E848" s="234">
        <v>80660</v>
      </c>
      <c r="F848" s="234" t="s">
        <v>1930</v>
      </c>
      <c r="G848" s="237">
        <v>12444</v>
      </c>
      <c r="H848" s="225">
        <v>11072</v>
      </c>
      <c r="I848" s="237">
        <v>21404</v>
      </c>
      <c r="J848" s="236">
        <v>16545</v>
      </c>
      <c r="K848" s="93">
        <f t="shared" si="32"/>
        <v>61465</v>
      </c>
      <c r="L848" s="52"/>
      <c r="M848" s="237">
        <v>418</v>
      </c>
      <c r="N848" s="237">
        <v>0</v>
      </c>
      <c r="O848" s="236">
        <v>0</v>
      </c>
      <c r="P848" s="93">
        <f t="shared" si="33"/>
        <v>418</v>
      </c>
      <c r="Q848" s="52"/>
      <c r="R848" s="237">
        <v>22405</v>
      </c>
      <c r="S848" s="236">
        <v>8025</v>
      </c>
      <c r="T848" s="238">
        <v>30430</v>
      </c>
    </row>
    <row r="849" spans="1:20">
      <c r="A849" s="50">
        <v>99109</v>
      </c>
      <c r="B849" s="51" t="s">
        <v>1538</v>
      </c>
      <c r="C849" s="239">
        <v>1.194E-4</v>
      </c>
      <c r="D849" s="239">
        <v>1.2339999999999999E-4</v>
      </c>
      <c r="E849" s="234">
        <v>283258</v>
      </c>
      <c r="F849" s="234" t="s">
        <v>1930</v>
      </c>
      <c r="G849" s="237">
        <v>43700</v>
      </c>
      <c r="H849" s="225">
        <v>38883</v>
      </c>
      <c r="I849" s="237">
        <v>75166</v>
      </c>
      <c r="J849" s="236">
        <v>3815</v>
      </c>
      <c r="K849" s="93">
        <f t="shared" si="32"/>
        <v>161564</v>
      </c>
      <c r="L849" s="52"/>
      <c r="M849" s="237">
        <v>1466</v>
      </c>
      <c r="N849" s="237">
        <v>0</v>
      </c>
      <c r="O849" s="236">
        <v>8952</v>
      </c>
      <c r="P849" s="93">
        <f t="shared" si="33"/>
        <v>10418</v>
      </c>
      <c r="Q849" s="52"/>
      <c r="R849" s="237">
        <v>78681</v>
      </c>
      <c r="S849" s="236">
        <v>-6025</v>
      </c>
      <c r="T849" s="238">
        <v>72656</v>
      </c>
    </row>
    <row r="850" spans="1:20">
      <c r="A850" s="50">
        <v>99110</v>
      </c>
      <c r="B850" s="51" t="s">
        <v>1539</v>
      </c>
      <c r="C850" s="239">
        <v>1.75E-4</v>
      </c>
      <c r="D850" s="239">
        <v>1.7670000000000001E-4</v>
      </c>
      <c r="E850" s="234">
        <v>415160</v>
      </c>
      <c r="F850" s="234" t="s">
        <v>1930</v>
      </c>
      <c r="G850" s="237">
        <v>64049</v>
      </c>
      <c r="H850" s="225">
        <v>56989</v>
      </c>
      <c r="I850" s="237">
        <v>110167</v>
      </c>
      <c r="J850" s="236">
        <v>70943</v>
      </c>
      <c r="K850" s="93">
        <f t="shared" si="32"/>
        <v>302148</v>
      </c>
      <c r="L850" s="52"/>
      <c r="M850" s="237">
        <v>2149</v>
      </c>
      <c r="N850" s="237">
        <v>0</v>
      </c>
      <c r="O850" s="236">
        <v>0</v>
      </c>
      <c r="P850" s="93">
        <f t="shared" si="33"/>
        <v>2149</v>
      </c>
      <c r="Q850" s="52"/>
      <c r="R850" s="237">
        <v>115320</v>
      </c>
      <c r="S850" s="236">
        <v>34935</v>
      </c>
      <c r="T850" s="238">
        <v>150255</v>
      </c>
    </row>
    <row r="851" spans="1:20">
      <c r="A851" s="50">
        <v>99111</v>
      </c>
      <c r="B851" s="51" t="s">
        <v>1540</v>
      </c>
      <c r="C851" s="239">
        <v>1.3067E-3</v>
      </c>
      <c r="D851" s="239">
        <v>1.2618E-3</v>
      </c>
      <c r="E851" s="234">
        <v>3099939</v>
      </c>
      <c r="F851" s="234" t="s">
        <v>1930</v>
      </c>
      <c r="G851" s="237">
        <v>478247</v>
      </c>
      <c r="H851" s="225">
        <v>425529</v>
      </c>
      <c r="I851" s="237">
        <v>822604</v>
      </c>
      <c r="J851" s="236">
        <v>0</v>
      </c>
      <c r="K851" s="93">
        <f t="shared" si="32"/>
        <v>1726380</v>
      </c>
      <c r="L851" s="52"/>
      <c r="M851" s="237">
        <v>16048</v>
      </c>
      <c r="N851" s="237">
        <v>0</v>
      </c>
      <c r="O851" s="236">
        <v>85364</v>
      </c>
      <c r="P851" s="93">
        <f t="shared" si="33"/>
        <v>101412</v>
      </c>
      <c r="Q851" s="52"/>
      <c r="R851" s="237">
        <v>861080</v>
      </c>
      <c r="S851" s="236">
        <v>-70799</v>
      </c>
      <c r="T851" s="238">
        <v>790281</v>
      </c>
    </row>
    <row r="852" spans="1:20">
      <c r="A852" s="50">
        <v>99201</v>
      </c>
      <c r="B852" s="51" t="s">
        <v>1541</v>
      </c>
      <c r="C852" s="239">
        <v>3.4217999999999998E-2</v>
      </c>
      <c r="D852" s="239">
        <v>3.3297199999999999E-2</v>
      </c>
      <c r="E852" s="234">
        <v>81176799</v>
      </c>
      <c r="F852" s="234" t="s">
        <v>1930</v>
      </c>
      <c r="G852" s="237">
        <v>12523651</v>
      </c>
      <c r="H852" s="225">
        <v>11143160</v>
      </c>
      <c r="I852" s="237">
        <v>21541189</v>
      </c>
      <c r="J852" s="236">
        <v>1400637</v>
      </c>
      <c r="K852" s="93">
        <f t="shared" si="32"/>
        <v>46608637</v>
      </c>
      <c r="L852" s="52"/>
      <c r="M852" s="237">
        <v>420231</v>
      </c>
      <c r="N852" s="237">
        <v>0</v>
      </c>
      <c r="O852" s="236">
        <v>0</v>
      </c>
      <c r="P852" s="93">
        <f t="shared" si="33"/>
        <v>420231</v>
      </c>
      <c r="Q852" s="52"/>
      <c r="R852" s="237">
        <v>22548738</v>
      </c>
      <c r="S852" s="236">
        <v>386921</v>
      </c>
      <c r="T852" s="238">
        <v>22935659</v>
      </c>
    </row>
    <row r="853" spans="1:20">
      <c r="A853" s="50">
        <v>99202</v>
      </c>
      <c r="B853" s="51" t="s">
        <v>2450</v>
      </c>
      <c r="C853" s="239">
        <v>2.7011000000000001E-3</v>
      </c>
      <c r="D853" s="239">
        <v>2.5855000000000001E-3</v>
      </c>
      <c r="E853" s="234">
        <v>6407933</v>
      </c>
      <c r="F853" s="234" t="s">
        <v>1930</v>
      </c>
      <c r="G853" s="237">
        <v>988592</v>
      </c>
      <c r="H853" s="225">
        <v>879618</v>
      </c>
      <c r="I853" s="237">
        <v>1700418</v>
      </c>
      <c r="J853" s="236">
        <v>0</v>
      </c>
      <c r="K853" s="93">
        <f t="shared" si="32"/>
        <v>3568628</v>
      </c>
      <c r="L853" s="52"/>
      <c r="M853" s="237">
        <v>33172</v>
      </c>
      <c r="N853" s="237">
        <v>0</v>
      </c>
      <c r="O853" s="236">
        <v>120022</v>
      </c>
      <c r="P853" s="93">
        <f t="shared" si="33"/>
        <v>153194</v>
      </c>
      <c r="Q853" s="52"/>
      <c r="R853" s="237">
        <v>1779952</v>
      </c>
      <c r="S853" s="236">
        <v>-75166</v>
      </c>
      <c r="T853" s="238">
        <v>1704786</v>
      </c>
    </row>
    <row r="854" spans="1:20">
      <c r="A854" s="50">
        <v>99203</v>
      </c>
      <c r="B854" s="51" t="s">
        <v>2451</v>
      </c>
      <c r="C854" s="239">
        <v>2.9760000000000002E-4</v>
      </c>
      <c r="D854" s="239">
        <v>3.0410000000000002E-4</v>
      </c>
      <c r="E854" s="234">
        <v>706009</v>
      </c>
      <c r="F854" s="234" t="s">
        <v>1930</v>
      </c>
      <c r="G854" s="237">
        <v>108920</v>
      </c>
      <c r="H854" s="225">
        <v>96914</v>
      </c>
      <c r="I854" s="237">
        <v>187348</v>
      </c>
      <c r="J854" s="236">
        <v>8157</v>
      </c>
      <c r="K854" s="93">
        <f t="shared" si="32"/>
        <v>401339</v>
      </c>
      <c r="L854" s="52"/>
      <c r="M854" s="237">
        <v>3655</v>
      </c>
      <c r="N854" s="237">
        <v>0</v>
      </c>
      <c r="O854" s="236">
        <v>26201</v>
      </c>
      <c r="P854" s="93">
        <f t="shared" si="33"/>
        <v>29856</v>
      </c>
      <c r="Q854" s="52"/>
      <c r="R854" s="237">
        <v>196110</v>
      </c>
      <c r="S854" s="236">
        <v>8430</v>
      </c>
      <c r="T854" s="238">
        <v>204540</v>
      </c>
    </row>
    <row r="855" spans="1:20">
      <c r="A855" s="50">
        <v>99204</v>
      </c>
      <c r="B855" s="51" t="s">
        <v>1544</v>
      </c>
      <c r="C855" s="239">
        <v>9.2520000000000005E-4</v>
      </c>
      <c r="D855" s="239">
        <v>8.3549999999999998E-4</v>
      </c>
      <c r="E855" s="234">
        <v>2194891</v>
      </c>
      <c r="F855" s="234" t="s">
        <v>1930</v>
      </c>
      <c r="G855" s="237">
        <v>338619</v>
      </c>
      <c r="H855" s="225">
        <v>301293</v>
      </c>
      <c r="I855" s="237">
        <v>582439</v>
      </c>
      <c r="J855" s="236">
        <v>126160</v>
      </c>
      <c r="K855" s="93">
        <f t="shared" si="32"/>
        <v>1348511</v>
      </c>
      <c r="L855" s="52"/>
      <c r="M855" s="237">
        <v>11362</v>
      </c>
      <c r="N855" s="237">
        <v>0</v>
      </c>
      <c r="O855" s="236">
        <v>0</v>
      </c>
      <c r="P855" s="93">
        <f t="shared" si="33"/>
        <v>11362</v>
      </c>
      <c r="Q855" s="52"/>
      <c r="R855" s="237">
        <v>609682</v>
      </c>
      <c r="S855" s="236">
        <v>51409</v>
      </c>
      <c r="T855" s="238">
        <v>661091</v>
      </c>
    </row>
    <row r="856" spans="1:20">
      <c r="A856" s="50">
        <v>99206</v>
      </c>
      <c r="B856" s="51" t="s">
        <v>2452</v>
      </c>
      <c r="C856" s="239">
        <v>1.7377E-3</v>
      </c>
      <c r="D856" s="239">
        <v>1.6957999999999999E-3</v>
      </c>
      <c r="E856" s="234">
        <v>4122419</v>
      </c>
      <c r="F856" s="234" t="s">
        <v>1930</v>
      </c>
      <c r="G856" s="237">
        <v>635991</v>
      </c>
      <c r="H856" s="225">
        <v>565885</v>
      </c>
      <c r="I856" s="237">
        <v>1093931</v>
      </c>
      <c r="J856" s="236">
        <v>840347</v>
      </c>
      <c r="K856" s="93">
        <f t="shared" si="32"/>
        <v>3136154</v>
      </c>
      <c r="L856" s="52"/>
      <c r="M856" s="237">
        <v>21341</v>
      </c>
      <c r="N856" s="237">
        <v>0</v>
      </c>
      <c r="O856" s="236">
        <v>0</v>
      </c>
      <c r="P856" s="93">
        <f t="shared" si="33"/>
        <v>21341</v>
      </c>
      <c r="Q856" s="52"/>
      <c r="R856" s="237">
        <v>1145097</v>
      </c>
      <c r="S856" s="236">
        <v>312871</v>
      </c>
      <c r="T856" s="238">
        <v>1457968</v>
      </c>
    </row>
    <row r="857" spans="1:20">
      <c r="A857" s="50">
        <v>99207</v>
      </c>
      <c r="B857" s="51" t="s">
        <v>1546</v>
      </c>
      <c r="C857" s="239">
        <v>1.3990000000000001E-4</v>
      </c>
      <c r="D857" s="239">
        <v>1.3329999999999999E-4</v>
      </c>
      <c r="E857" s="234">
        <v>331891</v>
      </c>
      <c r="F857" s="234" t="s">
        <v>1930</v>
      </c>
      <c r="G857" s="237">
        <v>51203</v>
      </c>
      <c r="H857" s="225">
        <v>45559</v>
      </c>
      <c r="I857" s="237">
        <v>88071</v>
      </c>
      <c r="J857" s="236">
        <v>190835</v>
      </c>
      <c r="K857" s="93">
        <f t="shared" si="32"/>
        <v>375668</v>
      </c>
      <c r="L857" s="52"/>
      <c r="M857" s="237">
        <v>1718</v>
      </c>
      <c r="N857" s="237">
        <v>0</v>
      </c>
      <c r="O857" s="236">
        <v>0</v>
      </c>
      <c r="P857" s="93">
        <f t="shared" si="33"/>
        <v>1718</v>
      </c>
      <c r="Q857" s="52"/>
      <c r="R857" s="237">
        <v>92190</v>
      </c>
      <c r="S857" s="236">
        <v>69872</v>
      </c>
      <c r="T857" s="238">
        <v>162062</v>
      </c>
    </row>
    <row r="858" spans="1:20">
      <c r="A858" s="50">
        <v>99208</v>
      </c>
      <c r="B858" s="51" t="s">
        <v>1547</v>
      </c>
      <c r="C858" s="239">
        <v>2.3560000000000001E-4</v>
      </c>
      <c r="D858" s="239">
        <v>1.4569999999999999E-4</v>
      </c>
      <c r="E858" s="234">
        <v>558924</v>
      </c>
      <c r="F858" s="234" t="s">
        <v>1930</v>
      </c>
      <c r="G858" s="237">
        <v>86229</v>
      </c>
      <c r="H858" s="225">
        <v>76723</v>
      </c>
      <c r="I858" s="237">
        <v>148317</v>
      </c>
      <c r="J858" s="236">
        <v>50056</v>
      </c>
      <c r="K858" s="93">
        <f t="shared" si="32"/>
        <v>361325</v>
      </c>
      <c r="L858" s="52"/>
      <c r="M858" s="237">
        <v>2893</v>
      </c>
      <c r="N858" s="237">
        <v>0</v>
      </c>
      <c r="O858" s="236">
        <v>18070</v>
      </c>
      <c r="P858" s="93">
        <f t="shared" si="33"/>
        <v>20963</v>
      </c>
      <c r="Q858" s="52"/>
      <c r="R858" s="237">
        <v>155254</v>
      </c>
      <c r="S858" s="236">
        <v>-7938</v>
      </c>
      <c r="T858" s="238">
        <v>147316</v>
      </c>
    </row>
    <row r="859" spans="1:20">
      <c r="A859" s="50">
        <v>99210</v>
      </c>
      <c r="B859" s="51" t="s">
        <v>1548</v>
      </c>
      <c r="C859" s="239">
        <v>1.6613000000000001E-3</v>
      </c>
      <c r="D859" s="239">
        <v>1.5943999999999999E-3</v>
      </c>
      <c r="E859" s="234">
        <v>3941172</v>
      </c>
      <c r="F859" s="234" t="s">
        <v>1930</v>
      </c>
      <c r="G859" s="237">
        <v>608029</v>
      </c>
      <c r="H859" s="225">
        <v>541006</v>
      </c>
      <c r="I859" s="237">
        <v>1045835</v>
      </c>
      <c r="J859" s="236">
        <v>151956</v>
      </c>
      <c r="K859" s="93">
        <f t="shared" si="32"/>
        <v>2346826</v>
      </c>
      <c r="L859" s="52"/>
      <c r="M859" s="237">
        <v>20402</v>
      </c>
      <c r="N859" s="237">
        <v>0</v>
      </c>
      <c r="O859" s="236">
        <v>0</v>
      </c>
      <c r="P859" s="93">
        <f t="shared" si="33"/>
        <v>20402</v>
      </c>
      <c r="Q859" s="52"/>
      <c r="R859" s="237">
        <v>1094752</v>
      </c>
      <c r="S859" s="236">
        <v>62014</v>
      </c>
      <c r="T859" s="238">
        <v>1156766</v>
      </c>
    </row>
    <row r="860" spans="1:20">
      <c r="A860" s="50">
        <v>99211</v>
      </c>
      <c r="B860" s="51" t="s">
        <v>1549</v>
      </c>
      <c r="C860" s="239">
        <v>3.8652899999999997E-2</v>
      </c>
      <c r="D860" s="239">
        <v>3.7100599999999997E-2</v>
      </c>
      <c r="E860" s="234">
        <v>91697898</v>
      </c>
      <c r="F860" s="234" t="s">
        <v>1930</v>
      </c>
      <c r="G860" s="237">
        <v>14146807</v>
      </c>
      <c r="H860" s="225">
        <v>12587395</v>
      </c>
      <c r="I860" s="237">
        <v>24333083</v>
      </c>
      <c r="J860" s="236">
        <v>650029</v>
      </c>
      <c r="K860" s="93">
        <f t="shared" si="32"/>
        <v>51717314</v>
      </c>
      <c r="L860" s="52"/>
      <c r="M860" s="237">
        <v>474696</v>
      </c>
      <c r="N860" s="237">
        <v>0</v>
      </c>
      <c r="O860" s="236">
        <v>1116278</v>
      </c>
      <c r="P860" s="93">
        <f t="shared" si="33"/>
        <v>1590974</v>
      </c>
      <c r="Q860" s="52"/>
      <c r="R860" s="237">
        <v>25471217</v>
      </c>
      <c r="S860" s="236">
        <v>-560159</v>
      </c>
      <c r="T860" s="238">
        <v>24911058</v>
      </c>
    </row>
    <row r="861" spans="1:20">
      <c r="A861" s="50">
        <v>99212</v>
      </c>
      <c r="B861" s="51" t="s">
        <v>1550</v>
      </c>
      <c r="C861" s="239">
        <v>7.2200000000000007E-5</v>
      </c>
      <c r="D861" s="239">
        <v>8.14E-5</v>
      </c>
      <c r="E861" s="235">
        <v>171283</v>
      </c>
      <c r="F861" s="235" t="s">
        <v>1930</v>
      </c>
      <c r="G861" s="237">
        <v>26425</v>
      </c>
      <c r="H861" s="225">
        <v>23512</v>
      </c>
      <c r="I861" s="237">
        <v>45452</v>
      </c>
      <c r="J861" s="236">
        <v>181</v>
      </c>
      <c r="K861" s="93">
        <f t="shared" ref="K861:K924" si="36">G861+H861+I861+J861</f>
        <v>95570</v>
      </c>
      <c r="L861" s="52"/>
      <c r="M861" s="237">
        <v>887</v>
      </c>
      <c r="N861" s="237">
        <v>0</v>
      </c>
      <c r="O861" s="236">
        <v>27961</v>
      </c>
      <c r="P861" s="93">
        <f t="shared" ref="P861:P924" si="37">M861+N861+O861</f>
        <v>28848</v>
      </c>
      <c r="Q861" s="52"/>
      <c r="R861" s="237">
        <v>47578</v>
      </c>
      <c r="S861" s="236">
        <v>-17534</v>
      </c>
      <c r="T861" s="238">
        <v>30044</v>
      </c>
    </row>
    <row r="862" spans="1:20">
      <c r="A862" s="50">
        <v>99213</v>
      </c>
      <c r="B862" s="51" t="s">
        <v>1551</v>
      </c>
      <c r="C862" s="239">
        <v>7.6519999999999995E-4</v>
      </c>
      <c r="D862" s="239">
        <v>7.5159999999999995E-4</v>
      </c>
      <c r="E862" s="235">
        <v>1815316</v>
      </c>
      <c r="F862" s="235" t="s">
        <v>1930</v>
      </c>
      <c r="G862" s="237">
        <v>280060</v>
      </c>
      <c r="H862" s="225">
        <v>249189</v>
      </c>
      <c r="I862" s="237">
        <v>481715</v>
      </c>
      <c r="J862" s="236">
        <v>17354</v>
      </c>
      <c r="K862" s="93">
        <f t="shared" si="36"/>
        <v>1028318</v>
      </c>
      <c r="L862" s="52"/>
      <c r="M862" s="237">
        <v>9397</v>
      </c>
      <c r="N862" s="237">
        <v>0</v>
      </c>
      <c r="O862" s="236">
        <v>31841</v>
      </c>
      <c r="P862" s="93">
        <f t="shared" si="37"/>
        <v>41238</v>
      </c>
      <c r="Q862" s="52"/>
      <c r="R862" s="237">
        <v>504246</v>
      </c>
      <c r="S862" s="236">
        <v>-6642</v>
      </c>
      <c r="T862" s="238">
        <v>497604</v>
      </c>
    </row>
    <row r="863" spans="1:20">
      <c r="A863" s="50">
        <v>99218</v>
      </c>
      <c r="B863" s="51" t="s">
        <v>1552</v>
      </c>
      <c r="C863" s="239">
        <v>3.3276999999999998E-3</v>
      </c>
      <c r="D863" s="239">
        <v>3.1162E-3</v>
      </c>
      <c r="E863" s="235">
        <v>7894442</v>
      </c>
      <c r="F863" s="235" t="s">
        <v>1930</v>
      </c>
      <c r="G863" s="237">
        <v>1217925</v>
      </c>
      <c r="H863" s="225">
        <v>1083672</v>
      </c>
      <c r="I863" s="237">
        <v>2094880</v>
      </c>
      <c r="J863" s="236">
        <v>301160</v>
      </c>
      <c r="K863" s="93">
        <f t="shared" si="36"/>
        <v>4697637</v>
      </c>
      <c r="L863" s="52"/>
      <c r="M863" s="237">
        <v>40867</v>
      </c>
      <c r="N863" s="237">
        <v>0</v>
      </c>
      <c r="O863" s="236">
        <v>0</v>
      </c>
      <c r="P863" s="93">
        <f t="shared" si="37"/>
        <v>40867</v>
      </c>
      <c r="Q863" s="52"/>
      <c r="R863" s="237">
        <v>2192864</v>
      </c>
      <c r="S863" s="236">
        <v>113866</v>
      </c>
      <c r="T863" s="238">
        <v>2306730</v>
      </c>
    </row>
    <row r="864" spans="1:20">
      <c r="A864" s="50">
        <v>99221</v>
      </c>
      <c r="B864" s="51" t="s">
        <v>2453</v>
      </c>
      <c r="C864" s="239">
        <v>1.26885E-2</v>
      </c>
      <c r="D864" s="239">
        <v>1.27709E-2</v>
      </c>
      <c r="E864" s="235">
        <v>30101461</v>
      </c>
      <c r="F864" s="235" t="s">
        <v>1930</v>
      </c>
      <c r="G864" s="237">
        <v>4643940</v>
      </c>
      <c r="H864" s="225">
        <v>4132035</v>
      </c>
      <c r="I864" s="237">
        <v>7987766</v>
      </c>
      <c r="J864" s="236">
        <v>0</v>
      </c>
      <c r="K864" s="93">
        <f t="shared" si="36"/>
        <v>16763741</v>
      </c>
      <c r="L864" s="52"/>
      <c r="M864" s="237">
        <v>155827</v>
      </c>
      <c r="N864" s="237">
        <v>0</v>
      </c>
      <c r="O864" s="236">
        <v>578576</v>
      </c>
      <c r="P864" s="93">
        <f t="shared" si="37"/>
        <v>734403</v>
      </c>
      <c r="Q864" s="52"/>
      <c r="R864" s="237">
        <v>8361379</v>
      </c>
      <c r="S864" s="236">
        <v>-311894</v>
      </c>
      <c r="T864" s="238">
        <v>8049485</v>
      </c>
    </row>
    <row r="865" spans="1:20">
      <c r="A865" s="50">
        <v>99222</v>
      </c>
      <c r="B865" s="51" t="s">
        <v>1554</v>
      </c>
      <c r="C865" s="239">
        <v>3.7200000000000003E-5</v>
      </c>
      <c r="D865" s="239">
        <v>3.9100000000000002E-5</v>
      </c>
      <c r="E865" s="235">
        <v>88251</v>
      </c>
      <c r="F865" s="235" t="s">
        <v>1930</v>
      </c>
      <c r="G865" s="237">
        <v>13615</v>
      </c>
      <c r="H865" s="225">
        <v>12114</v>
      </c>
      <c r="I865" s="237">
        <v>23418</v>
      </c>
      <c r="J865" s="236">
        <v>1038</v>
      </c>
      <c r="K865" s="93">
        <f t="shared" si="36"/>
        <v>50185</v>
      </c>
      <c r="L865" s="52"/>
      <c r="M865" s="237">
        <v>457</v>
      </c>
      <c r="N865" s="237">
        <v>0</v>
      </c>
      <c r="O865" s="236">
        <v>5264</v>
      </c>
      <c r="P865" s="93">
        <f t="shared" si="37"/>
        <v>5721</v>
      </c>
      <c r="Q865" s="52"/>
      <c r="R865" s="237">
        <v>24514</v>
      </c>
      <c r="S865" s="236">
        <v>-385</v>
      </c>
      <c r="T865" s="238">
        <v>24129</v>
      </c>
    </row>
    <row r="866" spans="1:20">
      <c r="A866" s="50">
        <v>99231</v>
      </c>
      <c r="B866" s="51" t="s">
        <v>2454</v>
      </c>
      <c r="C866" s="239">
        <v>3.6329999999999999E-4</v>
      </c>
      <c r="D866" s="239">
        <v>3.7179999999999998E-4</v>
      </c>
      <c r="E866" s="235">
        <v>861872</v>
      </c>
      <c r="F866" s="235" t="s">
        <v>1930</v>
      </c>
      <c r="G866" s="237">
        <v>132966</v>
      </c>
      <c r="H866" s="225">
        <v>118310</v>
      </c>
      <c r="I866" s="237">
        <v>228708</v>
      </c>
      <c r="J866" s="236">
        <v>0</v>
      </c>
      <c r="K866" s="93">
        <f t="shared" si="36"/>
        <v>479984</v>
      </c>
      <c r="L866" s="52"/>
      <c r="M866" s="237">
        <v>4462</v>
      </c>
      <c r="N866" s="237">
        <v>0</v>
      </c>
      <c r="O866" s="236">
        <v>28617</v>
      </c>
      <c r="P866" s="93">
        <f t="shared" si="37"/>
        <v>33079</v>
      </c>
      <c r="Q866" s="52"/>
      <c r="R866" s="237">
        <v>239405</v>
      </c>
      <c r="S866" s="236">
        <v>-17866</v>
      </c>
      <c r="T866" s="238">
        <v>221539</v>
      </c>
    </row>
    <row r="867" spans="1:20">
      <c r="A867" s="50">
        <v>99241</v>
      </c>
      <c r="B867" s="51" t="s">
        <v>2455</v>
      </c>
      <c r="C867" s="239">
        <v>5.488E-4</v>
      </c>
      <c r="D867" s="239">
        <v>5.5329999999999995E-4</v>
      </c>
      <c r="E867" s="235">
        <v>1301941</v>
      </c>
      <c r="F867" s="235" t="s">
        <v>1930</v>
      </c>
      <c r="G867" s="237">
        <v>200859</v>
      </c>
      <c r="H867" s="225">
        <v>178718</v>
      </c>
      <c r="I867" s="237">
        <v>345485</v>
      </c>
      <c r="J867" s="236">
        <v>0</v>
      </c>
      <c r="K867" s="93">
        <f t="shared" si="36"/>
        <v>725062</v>
      </c>
      <c r="L867" s="52"/>
      <c r="M867" s="237">
        <v>6740</v>
      </c>
      <c r="N867" s="237">
        <v>0</v>
      </c>
      <c r="O867" s="236">
        <v>64351</v>
      </c>
      <c r="P867" s="93">
        <f t="shared" si="37"/>
        <v>71091</v>
      </c>
      <c r="Q867" s="52"/>
      <c r="R867" s="237">
        <v>361644</v>
      </c>
      <c r="S867" s="236">
        <v>-55208</v>
      </c>
      <c r="T867" s="238">
        <v>306436</v>
      </c>
    </row>
    <row r="868" spans="1:20">
      <c r="A868" s="50">
        <v>99251</v>
      </c>
      <c r="B868" s="51" t="s">
        <v>2456</v>
      </c>
      <c r="C868" s="239">
        <v>1.5935000000000001E-3</v>
      </c>
      <c r="D868" s="239">
        <v>1.6069000000000001E-3</v>
      </c>
      <c r="E868" s="235">
        <v>3780327</v>
      </c>
      <c r="F868" s="235" t="s">
        <v>1930</v>
      </c>
      <c r="G868" s="237">
        <v>583215</v>
      </c>
      <c r="H868" s="225">
        <v>518926</v>
      </c>
      <c r="I868" s="237">
        <v>1003153</v>
      </c>
      <c r="J868" s="236">
        <v>1524</v>
      </c>
      <c r="K868" s="93">
        <f t="shared" si="36"/>
        <v>2106818</v>
      </c>
      <c r="L868" s="52"/>
      <c r="M868" s="237">
        <v>19570</v>
      </c>
      <c r="N868" s="237">
        <v>0</v>
      </c>
      <c r="O868" s="236">
        <v>33789</v>
      </c>
      <c r="P868" s="93">
        <f t="shared" si="37"/>
        <v>53359</v>
      </c>
      <c r="Q868" s="52"/>
      <c r="R868" s="237">
        <v>1050073</v>
      </c>
      <c r="S868" s="236">
        <v>-15782</v>
      </c>
      <c r="T868" s="238">
        <v>1034291</v>
      </c>
    </row>
    <row r="869" spans="1:20">
      <c r="A869" s="50">
        <v>99252</v>
      </c>
      <c r="B869" s="51" t="s">
        <v>1558</v>
      </c>
      <c r="C869" s="239">
        <v>6.7239999999999997E-4</v>
      </c>
      <c r="D869" s="239">
        <v>6.1269999999999999E-4</v>
      </c>
      <c r="E869" s="235">
        <v>1595163</v>
      </c>
      <c r="F869" s="235" t="s">
        <v>1930</v>
      </c>
      <c r="G869" s="237">
        <v>246096</v>
      </c>
      <c r="H869" s="225">
        <v>218968</v>
      </c>
      <c r="I869" s="237">
        <v>423295</v>
      </c>
      <c r="J869" s="236">
        <v>0</v>
      </c>
      <c r="K869" s="93">
        <f t="shared" si="36"/>
        <v>888359</v>
      </c>
      <c r="L869" s="52"/>
      <c r="M869" s="237">
        <v>8258</v>
      </c>
      <c r="N869" s="237">
        <v>0</v>
      </c>
      <c r="O869" s="236">
        <v>146683</v>
      </c>
      <c r="P869" s="93">
        <f t="shared" si="37"/>
        <v>154941</v>
      </c>
      <c r="Q869" s="52"/>
      <c r="R869" s="237">
        <v>443093</v>
      </c>
      <c r="S869" s="236">
        <v>-93460</v>
      </c>
      <c r="T869" s="238">
        <v>349633</v>
      </c>
    </row>
    <row r="870" spans="1:20">
      <c r="A870" s="50">
        <v>99261</v>
      </c>
      <c r="B870" s="51" t="s">
        <v>2457</v>
      </c>
      <c r="C870" s="239">
        <v>2.0975999999999998E-3</v>
      </c>
      <c r="D870" s="239">
        <v>1.9938E-3</v>
      </c>
      <c r="E870" s="235">
        <v>4976225</v>
      </c>
      <c r="F870" s="235" t="s">
        <v>1930</v>
      </c>
      <c r="G870" s="237">
        <v>767713</v>
      </c>
      <c r="H870" s="225">
        <v>683088</v>
      </c>
      <c r="I870" s="237">
        <v>1320498</v>
      </c>
      <c r="J870" s="236">
        <v>0</v>
      </c>
      <c r="K870" s="93">
        <f t="shared" si="36"/>
        <v>2771299</v>
      </c>
      <c r="L870" s="52"/>
      <c r="M870" s="237">
        <v>25761</v>
      </c>
      <c r="N870" s="237">
        <v>0</v>
      </c>
      <c r="O870" s="236">
        <v>102016</v>
      </c>
      <c r="P870" s="93">
        <f t="shared" si="37"/>
        <v>127777</v>
      </c>
      <c r="Q870" s="52"/>
      <c r="R870" s="237">
        <v>1382262</v>
      </c>
      <c r="S870" s="236">
        <v>-74815</v>
      </c>
      <c r="T870" s="238">
        <v>1307447</v>
      </c>
    </row>
    <row r="871" spans="1:20">
      <c r="A871" s="50">
        <v>99271</v>
      </c>
      <c r="B871" s="51" t="s">
        <v>2458</v>
      </c>
      <c r="C871" s="239">
        <v>4.2411999999999997E-3</v>
      </c>
      <c r="D871" s="239">
        <v>4.0137000000000003E-3</v>
      </c>
      <c r="E871" s="235">
        <v>10061577</v>
      </c>
      <c r="F871" s="235" t="s">
        <v>1930</v>
      </c>
      <c r="G871" s="237">
        <v>1552262</v>
      </c>
      <c r="H871" s="225">
        <v>1381155</v>
      </c>
      <c r="I871" s="237">
        <v>2669954</v>
      </c>
      <c r="J871" s="236">
        <v>74425</v>
      </c>
      <c r="K871" s="93">
        <f t="shared" si="36"/>
        <v>5677796</v>
      </c>
      <c r="L871" s="52"/>
      <c r="M871" s="237">
        <v>52086</v>
      </c>
      <c r="N871" s="237">
        <v>0</v>
      </c>
      <c r="O871" s="236">
        <v>77503</v>
      </c>
      <c r="P871" s="93">
        <f t="shared" si="37"/>
        <v>129589</v>
      </c>
      <c r="Q871" s="52"/>
      <c r="R871" s="237">
        <v>2794836</v>
      </c>
      <c r="S871" s="236">
        <v>-26683</v>
      </c>
      <c r="T871" s="238">
        <v>2768153</v>
      </c>
    </row>
    <row r="872" spans="1:20">
      <c r="A872" s="50">
        <v>99281</v>
      </c>
      <c r="B872" s="51" t="s">
        <v>2459</v>
      </c>
      <c r="C872" s="239">
        <v>2.3770000000000002E-3</v>
      </c>
      <c r="D872" s="239">
        <v>2.2918999999999999E-3</v>
      </c>
      <c r="E872" s="235">
        <v>5639057</v>
      </c>
      <c r="F872" s="235" t="s">
        <v>1930</v>
      </c>
      <c r="G872" s="237">
        <v>869972</v>
      </c>
      <c r="H872" s="225">
        <v>774075</v>
      </c>
      <c r="I872" s="237">
        <v>1496388</v>
      </c>
      <c r="J872" s="236">
        <v>19048</v>
      </c>
      <c r="K872" s="93">
        <f t="shared" si="36"/>
        <v>3159483</v>
      </c>
      <c r="L872" s="52"/>
      <c r="M872" s="237">
        <v>29192</v>
      </c>
      <c r="N872" s="237">
        <v>0</v>
      </c>
      <c r="O872" s="236">
        <v>84495</v>
      </c>
      <c r="P872" s="93">
        <f t="shared" si="37"/>
        <v>113687</v>
      </c>
      <c r="Q872" s="52"/>
      <c r="R872" s="237">
        <v>1566379</v>
      </c>
      <c r="S872" s="236">
        <v>-32585</v>
      </c>
      <c r="T872" s="238">
        <v>1533794</v>
      </c>
    </row>
    <row r="873" spans="1:20">
      <c r="A873" s="50">
        <v>99291</v>
      </c>
      <c r="B873" s="51" t="s">
        <v>2460</v>
      </c>
      <c r="C873" s="239">
        <v>8.2370000000000002E-4</v>
      </c>
      <c r="D873" s="239">
        <v>7.3499999999999998E-4</v>
      </c>
      <c r="E873" s="235">
        <v>1954098</v>
      </c>
      <c r="F873" s="235" t="s">
        <v>1930</v>
      </c>
      <c r="G873" s="237">
        <v>301471</v>
      </c>
      <c r="H873" s="225">
        <v>268240</v>
      </c>
      <c r="I873" s="237">
        <v>518542</v>
      </c>
      <c r="J873" s="236">
        <v>12562</v>
      </c>
      <c r="K873" s="93">
        <f t="shared" si="36"/>
        <v>1100815</v>
      </c>
      <c r="L873" s="52"/>
      <c r="M873" s="237">
        <v>10116</v>
      </c>
      <c r="N873" s="237">
        <v>0</v>
      </c>
      <c r="O873" s="236">
        <v>82354</v>
      </c>
      <c r="P873" s="93">
        <f t="shared" si="37"/>
        <v>92470</v>
      </c>
      <c r="Q873" s="52"/>
      <c r="R873" s="237">
        <v>542796</v>
      </c>
      <c r="S873" s="236">
        <v>-52321</v>
      </c>
      <c r="T873" s="238">
        <v>490475</v>
      </c>
    </row>
    <row r="874" spans="1:20">
      <c r="A874" s="50">
        <v>99301</v>
      </c>
      <c r="B874" s="51" t="s">
        <v>1563</v>
      </c>
      <c r="C874" s="239">
        <v>1.7239E-3</v>
      </c>
      <c r="D874" s="239">
        <v>1.7879E-3</v>
      </c>
      <c r="E874" s="235">
        <v>4089680</v>
      </c>
      <c r="F874" s="235" t="s">
        <v>1930</v>
      </c>
      <c r="G874" s="237">
        <v>630941</v>
      </c>
      <c r="H874" s="225">
        <v>561391</v>
      </c>
      <c r="I874" s="237">
        <v>1085243</v>
      </c>
      <c r="J874" s="236">
        <v>12780</v>
      </c>
      <c r="K874" s="93">
        <f t="shared" si="36"/>
        <v>2290355</v>
      </c>
      <c r="L874" s="52"/>
      <c r="M874" s="237">
        <v>21171</v>
      </c>
      <c r="N874" s="237">
        <v>0</v>
      </c>
      <c r="O874" s="236">
        <v>110271</v>
      </c>
      <c r="P874" s="93">
        <f t="shared" si="37"/>
        <v>131442</v>
      </c>
      <c r="Q874" s="52"/>
      <c r="R874" s="237">
        <v>1136004</v>
      </c>
      <c r="S874" s="236">
        <v>22906</v>
      </c>
      <c r="T874" s="238">
        <v>1158910</v>
      </c>
    </row>
    <row r="875" spans="1:20">
      <c r="A875" s="50">
        <v>99304</v>
      </c>
      <c r="B875" s="51" t="s">
        <v>1564</v>
      </c>
      <c r="C875" s="239">
        <v>8.4999999999999999E-6</v>
      </c>
      <c r="D875" s="239">
        <v>9.2E-6</v>
      </c>
      <c r="E875" s="235">
        <v>20165</v>
      </c>
      <c r="F875" s="235" t="s">
        <v>1930</v>
      </c>
      <c r="G875" s="237">
        <v>3111</v>
      </c>
      <c r="H875" s="225">
        <v>2768</v>
      </c>
      <c r="I875" s="237">
        <v>5351</v>
      </c>
      <c r="J875" s="236">
        <v>5796</v>
      </c>
      <c r="K875" s="93">
        <f t="shared" si="36"/>
        <v>17026</v>
      </c>
      <c r="L875" s="52"/>
      <c r="M875" s="237">
        <v>104</v>
      </c>
      <c r="N875" s="237">
        <v>0</v>
      </c>
      <c r="O875" s="236">
        <v>0</v>
      </c>
      <c r="P875" s="93">
        <f t="shared" si="37"/>
        <v>104</v>
      </c>
      <c r="Q875" s="52"/>
      <c r="R875" s="237">
        <v>5601</v>
      </c>
      <c r="S875" s="236">
        <v>2064</v>
      </c>
      <c r="T875" s="238">
        <v>7665</v>
      </c>
    </row>
    <row r="876" spans="1:20">
      <c r="A876" s="50">
        <v>99311</v>
      </c>
      <c r="B876" s="51" t="s">
        <v>2461</v>
      </c>
      <c r="C876" s="239">
        <v>6.0699999999999998E-5</v>
      </c>
      <c r="D876" s="239">
        <v>5.4299999999999998E-5</v>
      </c>
      <c r="E876" s="235">
        <v>144001</v>
      </c>
      <c r="F876" s="235" t="s">
        <v>1930</v>
      </c>
      <c r="G876" s="237">
        <v>22216</v>
      </c>
      <c r="H876" s="225">
        <v>19767</v>
      </c>
      <c r="I876" s="237">
        <v>38212</v>
      </c>
      <c r="J876" s="236">
        <v>4078</v>
      </c>
      <c r="K876" s="93">
        <f t="shared" si="36"/>
        <v>84273</v>
      </c>
      <c r="L876" s="52"/>
      <c r="M876" s="237">
        <v>745</v>
      </c>
      <c r="N876" s="237">
        <v>0</v>
      </c>
      <c r="O876" s="236">
        <v>3557</v>
      </c>
      <c r="P876" s="93">
        <f t="shared" si="37"/>
        <v>4302</v>
      </c>
      <c r="Q876" s="52"/>
      <c r="R876" s="237">
        <v>40000</v>
      </c>
      <c r="S876" s="236">
        <v>-2182</v>
      </c>
      <c r="T876" s="238">
        <v>37818</v>
      </c>
    </row>
    <row r="877" spans="1:20">
      <c r="A877" s="50">
        <v>99321</v>
      </c>
      <c r="B877" s="51" t="s">
        <v>2462</v>
      </c>
      <c r="C877" s="239">
        <v>8.7000000000000001E-5</v>
      </c>
      <c r="D877" s="239">
        <v>1.1E-4</v>
      </c>
      <c r="E877" s="235">
        <v>206394</v>
      </c>
      <c r="F877" s="235" t="s">
        <v>1930</v>
      </c>
      <c r="G877" s="237">
        <v>31842</v>
      </c>
      <c r="H877" s="225">
        <v>28331</v>
      </c>
      <c r="I877" s="237">
        <v>54769</v>
      </c>
      <c r="J877" s="236">
        <v>80354</v>
      </c>
      <c r="K877" s="93">
        <f t="shared" si="36"/>
        <v>195296</v>
      </c>
      <c r="L877" s="52"/>
      <c r="M877" s="237">
        <v>1068</v>
      </c>
      <c r="N877" s="237">
        <v>0</v>
      </c>
      <c r="O877" s="236">
        <v>0</v>
      </c>
      <c r="P877" s="93">
        <f t="shared" si="37"/>
        <v>1068</v>
      </c>
      <c r="Q877" s="52"/>
      <c r="R877" s="237">
        <v>57331</v>
      </c>
      <c r="S877" s="236">
        <v>48383</v>
      </c>
      <c r="T877" s="238">
        <v>105714</v>
      </c>
    </row>
    <row r="878" spans="1:20">
      <c r="A878" s="50">
        <v>99401</v>
      </c>
      <c r="B878" s="51" t="s">
        <v>1567</v>
      </c>
      <c r="C878" s="239">
        <v>8.3949999999999997E-4</v>
      </c>
      <c r="D878" s="239">
        <v>9.2389999999999996E-4</v>
      </c>
      <c r="E878" s="235">
        <v>1991581</v>
      </c>
      <c r="F878" s="235" t="s">
        <v>1930</v>
      </c>
      <c r="G878" s="237">
        <v>307254</v>
      </c>
      <c r="H878" s="225">
        <v>273385</v>
      </c>
      <c r="I878" s="237">
        <v>528489</v>
      </c>
      <c r="J878" s="236">
        <v>7764</v>
      </c>
      <c r="K878" s="93">
        <f t="shared" si="36"/>
        <v>1116892</v>
      </c>
      <c r="L878" s="52"/>
      <c r="M878" s="237">
        <v>10310</v>
      </c>
      <c r="N878" s="237">
        <v>0</v>
      </c>
      <c r="O878" s="236">
        <v>71466</v>
      </c>
      <c r="P878" s="93">
        <f t="shared" si="37"/>
        <v>81776</v>
      </c>
      <c r="Q878" s="52"/>
      <c r="R878" s="237">
        <v>553208</v>
      </c>
      <c r="S878" s="236">
        <v>7509</v>
      </c>
      <c r="T878" s="238">
        <v>560717</v>
      </c>
    </row>
    <row r="879" spans="1:20">
      <c r="A879" s="50">
        <v>99404</v>
      </c>
      <c r="B879" s="51" t="s">
        <v>1568</v>
      </c>
      <c r="C879" s="239">
        <v>9.0999999999999993E-6</v>
      </c>
      <c r="D879" s="239">
        <v>9.3999999999999998E-6</v>
      </c>
      <c r="E879" s="235">
        <v>21588</v>
      </c>
      <c r="F879" s="235" t="s">
        <v>1930</v>
      </c>
      <c r="G879" s="237">
        <v>3331</v>
      </c>
      <c r="H879" s="225">
        <v>2963</v>
      </c>
      <c r="I879" s="237">
        <v>5729</v>
      </c>
      <c r="J879" s="236">
        <v>1629</v>
      </c>
      <c r="K879" s="93">
        <f t="shared" si="36"/>
        <v>13652</v>
      </c>
      <c r="L879" s="52"/>
      <c r="M879" s="237">
        <v>112</v>
      </c>
      <c r="N879" s="237">
        <v>0</v>
      </c>
      <c r="O879" s="236">
        <v>0</v>
      </c>
      <c r="P879" s="93">
        <f t="shared" si="37"/>
        <v>112</v>
      </c>
      <c r="Q879" s="52"/>
      <c r="R879" s="237">
        <v>5997</v>
      </c>
      <c r="S879" s="236">
        <v>655</v>
      </c>
      <c r="T879" s="238">
        <v>6652</v>
      </c>
    </row>
    <row r="880" spans="1:20">
      <c r="A880" s="50">
        <v>99405</v>
      </c>
      <c r="B880" s="51" t="s">
        <v>1569</v>
      </c>
      <c r="C880" s="239">
        <v>5.2200000000000002E-5</v>
      </c>
      <c r="D880" s="239">
        <v>6.2700000000000006E-5</v>
      </c>
      <c r="E880" s="235">
        <v>123836</v>
      </c>
      <c r="F880" s="235" t="s">
        <v>1930</v>
      </c>
      <c r="G880" s="237">
        <v>19105</v>
      </c>
      <c r="H880" s="225">
        <v>16999</v>
      </c>
      <c r="I880" s="237">
        <v>32861</v>
      </c>
      <c r="J880" s="236">
        <v>14217</v>
      </c>
      <c r="K880" s="93">
        <f t="shared" si="36"/>
        <v>83182</v>
      </c>
      <c r="L880" s="52"/>
      <c r="M880" s="237">
        <v>641</v>
      </c>
      <c r="N880" s="237">
        <v>0</v>
      </c>
      <c r="O880" s="236">
        <v>0</v>
      </c>
      <c r="P880" s="93">
        <f t="shared" si="37"/>
        <v>641</v>
      </c>
      <c r="Q880" s="52"/>
      <c r="R880" s="237">
        <v>34398</v>
      </c>
      <c r="S880" s="236">
        <v>6652</v>
      </c>
      <c r="T880" s="238">
        <v>41050</v>
      </c>
    </row>
    <row r="881" spans="1:20">
      <c r="A881" s="50">
        <v>99411</v>
      </c>
      <c r="B881" s="51" t="s">
        <v>2463</v>
      </c>
      <c r="C881" s="239">
        <v>1.7239999999999999E-4</v>
      </c>
      <c r="D881" s="239">
        <v>1.583E-4</v>
      </c>
      <c r="E881" s="235">
        <v>408992</v>
      </c>
      <c r="F881" s="235" t="s">
        <v>1930</v>
      </c>
      <c r="G881" s="237">
        <v>63098</v>
      </c>
      <c r="H881" s="225">
        <v>56142</v>
      </c>
      <c r="I881" s="237">
        <v>108531</v>
      </c>
      <c r="J881" s="236">
        <v>41315</v>
      </c>
      <c r="K881" s="93">
        <f t="shared" si="36"/>
        <v>269086</v>
      </c>
      <c r="L881" s="52"/>
      <c r="M881" s="237">
        <v>2117</v>
      </c>
      <c r="N881" s="237">
        <v>0</v>
      </c>
      <c r="O881" s="236">
        <v>0</v>
      </c>
      <c r="P881" s="93">
        <f t="shared" si="37"/>
        <v>2117</v>
      </c>
      <c r="Q881" s="52"/>
      <c r="R881" s="237">
        <v>113607</v>
      </c>
      <c r="S881" s="236">
        <v>11785</v>
      </c>
      <c r="T881" s="238">
        <v>125392</v>
      </c>
    </row>
    <row r="882" spans="1:20">
      <c r="A882" s="50">
        <v>99413</v>
      </c>
      <c r="B882" s="51" t="s">
        <v>1571</v>
      </c>
      <c r="C882" s="239">
        <v>1.98E-5</v>
      </c>
      <c r="D882" s="239">
        <v>3.1099999999999997E-5</v>
      </c>
      <c r="E882" s="235">
        <v>46972</v>
      </c>
      <c r="F882" s="235" t="s">
        <v>1930</v>
      </c>
      <c r="G882" s="237">
        <v>7247</v>
      </c>
      <c r="H882" s="225">
        <v>6448</v>
      </c>
      <c r="I882" s="237">
        <v>12465</v>
      </c>
      <c r="J882" s="236">
        <v>4311</v>
      </c>
      <c r="K882" s="93">
        <f t="shared" si="36"/>
        <v>30471</v>
      </c>
      <c r="L882" s="52"/>
      <c r="M882" s="237">
        <v>243</v>
      </c>
      <c r="N882" s="237">
        <v>0</v>
      </c>
      <c r="O882" s="236">
        <v>5202</v>
      </c>
      <c r="P882" s="93">
        <f t="shared" si="37"/>
        <v>5445</v>
      </c>
      <c r="Q882" s="52"/>
      <c r="R882" s="237">
        <v>13048</v>
      </c>
      <c r="S882" s="236">
        <v>-653</v>
      </c>
      <c r="T882" s="238">
        <v>12395</v>
      </c>
    </row>
    <row r="883" spans="1:20">
      <c r="A883" s="50">
        <v>99421</v>
      </c>
      <c r="B883" s="51" t="s">
        <v>2464</v>
      </c>
      <c r="C883" s="239">
        <v>1.24E-5</v>
      </c>
      <c r="D883" s="239">
        <v>1.04E-5</v>
      </c>
      <c r="E883" s="235">
        <v>29417</v>
      </c>
      <c r="F883" s="235" t="s">
        <v>1930</v>
      </c>
      <c r="G883" s="237">
        <v>4538</v>
      </c>
      <c r="H883" s="225">
        <v>4038</v>
      </c>
      <c r="I883" s="237">
        <v>7806</v>
      </c>
      <c r="J883" s="236">
        <v>917</v>
      </c>
      <c r="K883" s="93">
        <f t="shared" si="36"/>
        <v>17299</v>
      </c>
      <c r="L883" s="52"/>
      <c r="M883" s="237">
        <v>152</v>
      </c>
      <c r="N883" s="237">
        <v>0</v>
      </c>
      <c r="O883" s="236">
        <v>3553</v>
      </c>
      <c r="P883" s="93">
        <f t="shared" si="37"/>
        <v>3705</v>
      </c>
      <c r="Q883" s="52"/>
      <c r="R883" s="237">
        <v>8171</v>
      </c>
      <c r="S883" s="236">
        <v>-895</v>
      </c>
      <c r="T883" s="238">
        <v>7276</v>
      </c>
    </row>
    <row r="884" spans="1:20">
      <c r="A884" s="50">
        <v>99431</v>
      </c>
      <c r="B884" s="51" t="s">
        <v>2465</v>
      </c>
      <c r="C884" s="239">
        <v>2.1999999999999999E-5</v>
      </c>
      <c r="D884" s="239">
        <v>2.2200000000000001E-5</v>
      </c>
      <c r="E884" s="235">
        <v>52192</v>
      </c>
      <c r="F884" s="235" t="s">
        <v>1930</v>
      </c>
      <c r="G884" s="237">
        <v>8052</v>
      </c>
      <c r="H884" s="225">
        <v>7164</v>
      </c>
      <c r="I884" s="237">
        <v>13850</v>
      </c>
      <c r="J884" s="236">
        <v>0</v>
      </c>
      <c r="K884" s="93">
        <f t="shared" si="36"/>
        <v>29066</v>
      </c>
      <c r="L884" s="52"/>
      <c r="M884" s="237">
        <v>270</v>
      </c>
      <c r="N884" s="237">
        <v>0</v>
      </c>
      <c r="O884" s="236">
        <v>4208</v>
      </c>
      <c r="P884" s="93">
        <f t="shared" si="37"/>
        <v>4478</v>
      </c>
      <c r="Q884" s="52"/>
      <c r="R884" s="237">
        <v>14497</v>
      </c>
      <c r="S884" s="236">
        <v>-434</v>
      </c>
      <c r="T884" s="238">
        <v>14063</v>
      </c>
    </row>
    <row r="885" spans="1:20">
      <c r="A885" s="50">
        <v>99501</v>
      </c>
      <c r="B885" s="51" t="s">
        <v>1574</v>
      </c>
      <c r="C885" s="239">
        <v>1.6559000000000001E-3</v>
      </c>
      <c r="D885" s="239">
        <v>1.6785000000000001E-3</v>
      </c>
      <c r="E885" s="235">
        <v>3928361</v>
      </c>
      <c r="F885" s="235" t="s">
        <v>1930</v>
      </c>
      <c r="G885" s="237">
        <v>606053</v>
      </c>
      <c r="H885" s="225">
        <v>539247</v>
      </c>
      <c r="I885" s="237">
        <v>1042435</v>
      </c>
      <c r="J885" s="236">
        <v>26120</v>
      </c>
      <c r="K885" s="93">
        <f t="shared" si="36"/>
        <v>2213855</v>
      </c>
      <c r="L885" s="52"/>
      <c r="M885" s="237">
        <v>20336</v>
      </c>
      <c r="N885" s="237">
        <v>0</v>
      </c>
      <c r="O885" s="236">
        <v>16129</v>
      </c>
      <c r="P885" s="93">
        <f t="shared" si="37"/>
        <v>36465</v>
      </c>
      <c r="Q885" s="52"/>
      <c r="R885" s="237">
        <v>1091193</v>
      </c>
      <c r="S885" s="236">
        <v>2662</v>
      </c>
      <c r="T885" s="238">
        <v>1093855</v>
      </c>
    </row>
    <row r="886" spans="1:20">
      <c r="A886" s="50">
        <v>99502</v>
      </c>
      <c r="B886" s="51" t="s">
        <v>1575</v>
      </c>
      <c r="C886" s="239">
        <v>1.5699999999999999E-4</v>
      </c>
      <c r="D886" s="239">
        <v>1.373E-4</v>
      </c>
      <c r="E886" s="235">
        <v>372458</v>
      </c>
      <c r="F886" s="235" t="s">
        <v>1930</v>
      </c>
      <c r="G886" s="237">
        <v>57461</v>
      </c>
      <c r="H886" s="225">
        <v>51127</v>
      </c>
      <c r="I886" s="237">
        <v>98836</v>
      </c>
      <c r="J886" s="236">
        <v>20987</v>
      </c>
      <c r="K886" s="93">
        <f t="shared" si="36"/>
        <v>228411</v>
      </c>
      <c r="L886" s="52"/>
      <c r="M886" s="237">
        <v>1928</v>
      </c>
      <c r="N886" s="237">
        <v>0</v>
      </c>
      <c r="O886" s="236">
        <v>0</v>
      </c>
      <c r="P886" s="93">
        <f t="shared" si="37"/>
        <v>1928</v>
      </c>
      <c r="Q886" s="52"/>
      <c r="R886" s="237">
        <v>103459</v>
      </c>
      <c r="S886" s="236">
        <v>11737</v>
      </c>
      <c r="T886" s="238">
        <v>115196</v>
      </c>
    </row>
    <row r="887" spans="1:20">
      <c r="A887" s="50">
        <v>99508</v>
      </c>
      <c r="B887" s="51" t="s">
        <v>1576</v>
      </c>
      <c r="C887" s="239">
        <v>2.1699999999999999E-5</v>
      </c>
      <c r="D887" s="239">
        <v>2.2099999999999998E-5</v>
      </c>
      <c r="E887" s="235">
        <v>51480</v>
      </c>
      <c r="F887" s="235" t="s">
        <v>1930</v>
      </c>
      <c r="G887" s="237">
        <v>7942</v>
      </c>
      <c r="H887" s="225">
        <v>7067</v>
      </c>
      <c r="I887" s="237">
        <v>13661</v>
      </c>
      <c r="J887" s="236">
        <v>28</v>
      </c>
      <c r="K887" s="93">
        <f t="shared" si="36"/>
        <v>28698</v>
      </c>
      <c r="L887" s="52"/>
      <c r="M887" s="237">
        <v>266</v>
      </c>
      <c r="N887" s="237">
        <v>0</v>
      </c>
      <c r="O887" s="236">
        <v>834</v>
      </c>
      <c r="P887" s="93">
        <f t="shared" si="37"/>
        <v>1100</v>
      </c>
      <c r="Q887" s="52"/>
      <c r="R887" s="237">
        <v>14300</v>
      </c>
      <c r="S887" s="236">
        <v>-1042</v>
      </c>
      <c r="T887" s="238">
        <v>13258</v>
      </c>
    </row>
    <row r="888" spans="1:20">
      <c r="A888" s="50">
        <v>99509</v>
      </c>
      <c r="B888" s="51" t="s">
        <v>1577</v>
      </c>
      <c r="C888" s="239">
        <v>2.62E-5</v>
      </c>
      <c r="D888" s="239">
        <v>2.76E-5</v>
      </c>
      <c r="E888" s="235">
        <v>62155</v>
      </c>
      <c r="F888" s="235" t="s">
        <v>1930</v>
      </c>
      <c r="G888" s="237">
        <v>9589</v>
      </c>
      <c r="H888" s="225">
        <v>8532</v>
      </c>
      <c r="I888" s="237">
        <v>16494</v>
      </c>
      <c r="J888" s="236">
        <v>0</v>
      </c>
      <c r="K888" s="93">
        <f t="shared" si="36"/>
        <v>34615</v>
      </c>
      <c r="L888" s="52"/>
      <c r="M888" s="237">
        <v>322</v>
      </c>
      <c r="N888" s="237">
        <v>0</v>
      </c>
      <c r="O888" s="236">
        <v>3733</v>
      </c>
      <c r="P888" s="93">
        <f t="shared" si="37"/>
        <v>4055</v>
      </c>
      <c r="Q888" s="52"/>
      <c r="R888" s="237">
        <v>17265</v>
      </c>
      <c r="S888" s="236">
        <v>-4641</v>
      </c>
      <c r="T888" s="238">
        <v>12624</v>
      </c>
    </row>
    <row r="889" spans="1:20">
      <c r="A889" s="50">
        <v>99511</v>
      </c>
      <c r="B889" s="51" t="s">
        <v>2466</v>
      </c>
      <c r="C889" s="239">
        <v>1.3468E-3</v>
      </c>
      <c r="D889" s="239">
        <v>1.4048999999999999E-3</v>
      </c>
      <c r="E889" s="235">
        <v>3195070</v>
      </c>
      <c r="F889" s="235" t="s">
        <v>1930</v>
      </c>
      <c r="G889" s="237">
        <v>492923</v>
      </c>
      <c r="H889" s="225">
        <v>438588</v>
      </c>
      <c r="I889" s="237">
        <v>847848</v>
      </c>
      <c r="J889" s="236">
        <v>2027</v>
      </c>
      <c r="K889" s="93">
        <f t="shared" si="36"/>
        <v>1781386</v>
      </c>
      <c r="L889" s="52"/>
      <c r="M889" s="237">
        <v>16540</v>
      </c>
      <c r="N889" s="237">
        <v>0</v>
      </c>
      <c r="O889" s="236">
        <v>134401</v>
      </c>
      <c r="P889" s="93">
        <f t="shared" si="37"/>
        <v>150941</v>
      </c>
      <c r="Q889" s="52"/>
      <c r="R889" s="237">
        <v>887505</v>
      </c>
      <c r="S889" s="236">
        <v>-51080</v>
      </c>
      <c r="T889" s="238">
        <v>836425</v>
      </c>
    </row>
    <row r="890" spans="1:20">
      <c r="A890" s="50">
        <v>99521</v>
      </c>
      <c r="B890" s="51" t="s">
        <v>2467</v>
      </c>
      <c r="C890" s="239">
        <v>4.9669999999999998E-4</v>
      </c>
      <c r="D890" s="239">
        <v>4.2700000000000002E-4</v>
      </c>
      <c r="E890" s="235">
        <v>1178342</v>
      </c>
      <c r="F890" s="235" t="s">
        <v>1930</v>
      </c>
      <c r="G890" s="237">
        <v>181790</v>
      </c>
      <c r="H890" s="225">
        <v>161751</v>
      </c>
      <c r="I890" s="237">
        <v>312687</v>
      </c>
      <c r="J890" s="236">
        <v>22179</v>
      </c>
      <c r="K890" s="93">
        <f t="shared" si="36"/>
        <v>678407</v>
      </c>
      <c r="L890" s="52"/>
      <c r="M890" s="237">
        <v>6100</v>
      </c>
      <c r="N890" s="237">
        <v>0</v>
      </c>
      <c r="O890" s="236">
        <v>9436</v>
      </c>
      <c r="P890" s="93">
        <f t="shared" si="37"/>
        <v>15536</v>
      </c>
      <c r="Q890" s="52"/>
      <c r="R890" s="237">
        <v>327312</v>
      </c>
      <c r="S890" s="236">
        <v>211</v>
      </c>
      <c r="T890" s="238">
        <v>327523</v>
      </c>
    </row>
    <row r="891" spans="1:20">
      <c r="A891" s="50">
        <v>99527</v>
      </c>
      <c r="B891" s="51" t="s">
        <v>1580</v>
      </c>
      <c r="C891" s="239">
        <v>1.15E-5</v>
      </c>
      <c r="D891" s="239">
        <v>1.19E-5</v>
      </c>
      <c r="E891" s="235">
        <v>27282</v>
      </c>
      <c r="F891" s="235" t="s">
        <v>1930</v>
      </c>
      <c r="G891" s="237">
        <v>4209</v>
      </c>
      <c r="H891" s="225">
        <v>3745</v>
      </c>
      <c r="I891" s="237">
        <v>7240</v>
      </c>
      <c r="J891" s="236">
        <v>1078</v>
      </c>
      <c r="K891" s="93">
        <f t="shared" si="36"/>
        <v>16272</v>
      </c>
      <c r="L891" s="52"/>
      <c r="M891" s="237">
        <v>141</v>
      </c>
      <c r="N891" s="237">
        <v>0</v>
      </c>
      <c r="O891" s="236">
        <v>0</v>
      </c>
      <c r="P891" s="93">
        <f t="shared" si="37"/>
        <v>141</v>
      </c>
      <c r="Q891" s="52"/>
      <c r="R891" s="237">
        <v>7578</v>
      </c>
      <c r="S891" s="236">
        <v>724</v>
      </c>
      <c r="T891" s="238">
        <v>8302</v>
      </c>
    </row>
    <row r="892" spans="1:20">
      <c r="A892" s="50">
        <v>99531</v>
      </c>
      <c r="B892" s="51" t="s">
        <v>2468</v>
      </c>
      <c r="C892" s="239">
        <v>8.8800000000000004E-5</v>
      </c>
      <c r="D892" s="239">
        <v>9.3499999999999996E-5</v>
      </c>
      <c r="E892" s="235">
        <v>210664</v>
      </c>
      <c r="F892" s="235" t="s">
        <v>1930</v>
      </c>
      <c r="G892" s="237">
        <v>32500</v>
      </c>
      <c r="H892" s="225">
        <v>28917</v>
      </c>
      <c r="I892" s="237">
        <v>55902</v>
      </c>
      <c r="J892" s="236">
        <v>59872</v>
      </c>
      <c r="K892" s="93">
        <f t="shared" si="36"/>
        <v>177191</v>
      </c>
      <c r="L892" s="52"/>
      <c r="M892" s="237">
        <v>1091</v>
      </c>
      <c r="N892" s="237">
        <v>0</v>
      </c>
      <c r="O892" s="236">
        <v>0</v>
      </c>
      <c r="P892" s="93">
        <f t="shared" si="37"/>
        <v>1091</v>
      </c>
      <c r="Q892" s="52"/>
      <c r="R892" s="237">
        <v>58517</v>
      </c>
      <c r="S892" s="236">
        <v>24500</v>
      </c>
      <c r="T892" s="238">
        <v>83017</v>
      </c>
    </row>
    <row r="893" spans="1:20">
      <c r="A893" s="50">
        <v>99601</v>
      </c>
      <c r="B893" s="51" t="s">
        <v>1582</v>
      </c>
      <c r="C893" s="239">
        <v>5.9616000000000001E-3</v>
      </c>
      <c r="D893" s="239">
        <v>5.7812000000000002E-3</v>
      </c>
      <c r="E893" s="235">
        <v>14142954</v>
      </c>
      <c r="F893" s="235" t="s">
        <v>1930</v>
      </c>
      <c r="G893" s="237">
        <v>2181922</v>
      </c>
      <c r="H893" s="225">
        <v>1941407</v>
      </c>
      <c r="I893" s="237">
        <v>3752994</v>
      </c>
      <c r="J893" s="236">
        <v>210675</v>
      </c>
      <c r="K893" s="93">
        <f t="shared" si="36"/>
        <v>8086998</v>
      </c>
      <c r="L893" s="52"/>
      <c r="M893" s="237">
        <v>73214</v>
      </c>
      <c r="N893" s="237">
        <v>0</v>
      </c>
      <c r="O893" s="236">
        <v>44248</v>
      </c>
      <c r="P893" s="93">
        <f t="shared" si="37"/>
        <v>117462</v>
      </c>
      <c r="Q893" s="52"/>
      <c r="R893" s="237">
        <v>3928533</v>
      </c>
      <c r="S893" s="236">
        <v>56562</v>
      </c>
      <c r="T893" s="238">
        <v>3985095</v>
      </c>
    </row>
    <row r="894" spans="1:20">
      <c r="A894" s="50">
        <v>99602</v>
      </c>
      <c r="B894" s="51" t="s">
        <v>1583</v>
      </c>
      <c r="C894" s="239">
        <v>6.0800000000000001E-5</v>
      </c>
      <c r="D894" s="239">
        <v>6.19E-5</v>
      </c>
      <c r="E894" s="235">
        <v>144238</v>
      </c>
      <c r="F894" s="235" t="s">
        <v>1930</v>
      </c>
      <c r="G894" s="237">
        <v>22253</v>
      </c>
      <c r="H894" s="225">
        <v>19799</v>
      </c>
      <c r="I894" s="237">
        <v>38275</v>
      </c>
      <c r="J894" s="236">
        <v>6923</v>
      </c>
      <c r="K894" s="93">
        <f t="shared" si="36"/>
        <v>87250</v>
      </c>
      <c r="L894" s="52"/>
      <c r="M894" s="237">
        <v>747</v>
      </c>
      <c r="N894" s="237">
        <v>0</v>
      </c>
      <c r="O894" s="236">
        <v>422</v>
      </c>
      <c r="P894" s="93">
        <f t="shared" si="37"/>
        <v>1169</v>
      </c>
      <c r="Q894" s="52"/>
      <c r="R894" s="237">
        <v>40066</v>
      </c>
      <c r="S894" s="236">
        <v>1213</v>
      </c>
      <c r="T894" s="238">
        <v>41279</v>
      </c>
    </row>
    <row r="895" spans="1:20">
      <c r="A895" s="50">
        <v>99603</v>
      </c>
      <c r="B895" s="51" t="s">
        <v>2772</v>
      </c>
      <c r="C895" s="239">
        <v>1.7550000000000001E-4</v>
      </c>
      <c r="D895" s="239">
        <v>1.615E-4</v>
      </c>
      <c r="E895" s="235">
        <v>416346</v>
      </c>
      <c r="F895" s="235" t="s">
        <v>1930</v>
      </c>
      <c r="G895" s="237">
        <v>64232</v>
      </c>
      <c r="H895" s="225">
        <v>57152</v>
      </c>
      <c r="I895" s="237">
        <v>110482</v>
      </c>
      <c r="J895" s="236">
        <v>75872</v>
      </c>
      <c r="K895" s="93">
        <f t="shared" si="36"/>
        <v>307738</v>
      </c>
      <c r="L895" s="52"/>
      <c r="M895" s="237">
        <v>2155</v>
      </c>
      <c r="N895" s="237">
        <v>0</v>
      </c>
      <c r="O895" s="236">
        <v>0</v>
      </c>
      <c r="P895" s="93">
        <f t="shared" si="37"/>
        <v>2155</v>
      </c>
      <c r="Q895" s="52"/>
      <c r="R895" s="237">
        <v>115650</v>
      </c>
      <c r="S895" s="236">
        <v>41812</v>
      </c>
      <c r="T895" s="238">
        <v>157462</v>
      </c>
    </row>
    <row r="896" spans="1:20">
      <c r="A896" s="50">
        <v>99604</v>
      </c>
      <c r="B896" s="51" t="s">
        <v>1585</v>
      </c>
      <c r="C896" s="239">
        <v>1.02E-4</v>
      </c>
      <c r="D896" s="239">
        <v>1.009E-4</v>
      </c>
      <c r="E896" s="52">
        <v>241979</v>
      </c>
      <c r="F896" s="52"/>
      <c r="G896" s="237">
        <v>37332</v>
      </c>
      <c r="H896" s="225">
        <v>33216</v>
      </c>
      <c r="I896" s="237">
        <v>64212</v>
      </c>
      <c r="J896" s="236">
        <v>20727</v>
      </c>
      <c r="K896" s="93">
        <f t="shared" si="36"/>
        <v>155487</v>
      </c>
      <c r="L896" s="52"/>
      <c r="M896" s="237">
        <v>1253</v>
      </c>
      <c r="N896" s="237">
        <v>0</v>
      </c>
      <c r="O896" s="236">
        <v>0</v>
      </c>
      <c r="P896" s="93">
        <f t="shared" si="37"/>
        <v>1253</v>
      </c>
      <c r="Q896" s="52"/>
      <c r="R896" s="237">
        <v>67215</v>
      </c>
      <c r="S896" s="236">
        <v>11859</v>
      </c>
      <c r="T896" s="238">
        <v>79074</v>
      </c>
    </row>
    <row r="897" spans="1:20">
      <c r="A897" s="50">
        <v>99609</v>
      </c>
      <c r="B897" s="51" t="s">
        <v>1586</v>
      </c>
      <c r="C897" s="239">
        <v>2.0100000000000001E-5</v>
      </c>
      <c r="D897" s="239">
        <v>1.52E-5</v>
      </c>
      <c r="E897" s="52">
        <v>47684</v>
      </c>
      <c r="F897" s="52"/>
      <c r="G897" s="237">
        <v>7357</v>
      </c>
      <c r="H897" s="225">
        <v>6545</v>
      </c>
      <c r="I897" s="237">
        <v>12654</v>
      </c>
      <c r="J897" s="236">
        <v>5627</v>
      </c>
      <c r="K897" s="93">
        <f t="shared" si="36"/>
        <v>32183</v>
      </c>
      <c r="L897" s="52"/>
      <c r="M897" s="237">
        <v>247</v>
      </c>
      <c r="N897" s="237">
        <v>0</v>
      </c>
      <c r="O897" s="236">
        <v>1142</v>
      </c>
      <c r="P897" s="93">
        <f t="shared" si="37"/>
        <v>1389</v>
      </c>
      <c r="Q897" s="52"/>
      <c r="R897" s="237">
        <v>13245</v>
      </c>
      <c r="S897" s="236">
        <v>2717</v>
      </c>
      <c r="T897" s="238">
        <v>15962</v>
      </c>
    </row>
    <row r="898" spans="1:20">
      <c r="A898" s="50">
        <v>99610</v>
      </c>
      <c r="B898" s="51" t="s">
        <v>1587</v>
      </c>
      <c r="C898" s="239">
        <v>1.872E-4</v>
      </c>
      <c r="D898" s="239">
        <v>1.9440000000000001E-4</v>
      </c>
      <c r="E898" s="52">
        <v>444102</v>
      </c>
      <c r="F898" s="52"/>
      <c r="G898" s="237">
        <v>68514</v>
      </c>
      <c r="H898" s="225">
        <v>60962</v>
      </c>
      <c r="I898" s="237">
        <v>117848</v>
      </c>
      <c r="J898" s="236">
        <v>855</v>
      </c>
      <c r="K898" s="93">
        <f t="shared" si="36"/>
        <v>248179</v>
      </c>
      <c r="L898" s="52"/>
      <c r="M898" s="237">
        <v>2299</v>
      </c>
      <c r="N898" s="237">
        <v>0</v>
      </c>
      <c r="O898" s="236">
        <v>8068</v>
      </c>
      <c r="P898" s="93">
        <f t="shared" si="37"/>
        <v>10367</v>
      </c>
      <c r="Q898" s="52"/>
      <c r="R898" s="237">
        <v>123360</v>
      </c>
      <c r="S898" s="236">
        <v>-738</v>
      </c>
      <c r="T898" s="238">
        <v>122622</v>
      </c>
    </row>
    <row r="899" spans="1:20">
      <c r="A899" s="50">
        <v>99611</v>
      </c>
      <c r="B899" s="51" t="s">
        <v>1588</v>
      </c>
      <c r="C899" s="239">
        <v>3.2894E-3</v>
      </c>
      <c r="D899" s="239">
        <v>3.1959000000000002E-3</v>
      </c>
      <c r="E899" s="52">
        <v>7803582</v>
      </c>
      <c r="F899" s="52"/>
      <c r="G899" s="237">
        <v>1203907</v>
      </c>
      <c r="H899" s="225">
        <v>1071199</v>
      </c>
      <c r="I899" s="237">
        <v>2070769</v>
      </c>
      <c r="J899" s="236">
        <v>61818</v>
      </c>
      <c r="K899" s="93">
        <f t="shared" si="36"/>
        <v>4407693</v>
      </c>
      <c r="L899" s="52"/>
      <c r="M899" s="237">
        <v>40397</v>
      </c>
      <c r="N899" s="237">
        <v>0</v>
      </c>
      <c r="O899" s="236">
        <v>100389</v>
      </c>
      <c r="P899" s="93">
        <f t="shared" si="37"/>
        <v>140786</v>
      </c>
      <c r="Q899" s="52"/>
      <c r="R899" s="237">
        <v>2167626</v>
      </c>
      <c r="S899" s="236">
        <v>-79577</v>
      </c>
      <c r="T899" s="238">
        <v>2088049</v>
      </c>
    </row>
    <row r="900" spans="1:20">
      <c r="A900" s="50">
        <v>99613</v>
      </c>
      <c r="B900" s="51" t="s">
        <v>1589</v>
      </c>
      <c r="C900" s="239">
        <v>3.57E-4</v>
      </c>
      <c r="D900" s="239">
        <v>3.2909999999999998E-4</v>
      </c>
      <c r="E900" s="52">
        <v>846926</v>
      </c>
      <c r="F900" s="52"/>
      <c r="G900" s="237">
        <v>130661</v>
      </c>
      <c r="H900" s="225">
        <v>116258</v>
      </c>
      <c r="I900" s="237">
        <v>224741</v>
      </c>
      <c r="J900" s="236">
        <v>342685</v>
      </c>
      <c r="K900" s="93">
        <f t="shared" si="36"/>
        <v>814345</v>
      </c>
      <c r="L900" s="52"/>
      <c r="M900" s="237">
        <v>4384</v>
      </c>
      <c r="N900" s="237">
        <v>0</v>
      </c>
      <c r="O900" s="236">
        <v>0</v>
      </c>
      <c r="P900" s="93">
        <f t="shared" si="37"/>
        <v>4384</v>
      </c>
      <c r="Q900" s="52"/>
      <c r="R900" s="237">
        <v>235253</v>
      </c>
      <c r="S900" s="236">
        <v>135388</v>
      </c>
      <c r="T900" s="238">
        <v>370641</v>
      </c>
    </row>
    <row r="901" spans="1:20">
      <c r="A901" s="50">
        <v>99621</v>
      </c>
      <c r="B901" s="51" t="s">
        <v>2469</v>
      </c>
      <c r="C901" s="239">
        <v>3.7399999999999998E-4</v>
      </c>
      <c r="D901" s="239">
        <v>3.7060000000000001E-4</v>
      </c>
      <c r="E901" s="52">
        <v>887256</v>
      </c>
      <c r="F901" s="52"/>
      <c r="G901" s="237">
        <v>136883</v>
      </c>
      <c r="H901" s="225">
        <v>121794</v>
      </c>
      <c r="I901" s="237">
        <v>235443</v>
      </c>
      <c r="J901" s="236">
        <v>26836</v>
      </c>
      <c r="K901" s="93">
        <f t="shared" si="36"/>
        <v>520956</v>
      </c>
      <c r="L901" s="52"/>
      <c r="M901" s="237">
        <v>4593</v>
      </c>
      <c r="N901" s="237">
        <v>0</v>
      </c>
      <c r="O901" s="236">
        <v>3834</v>
      </c>
      <c r="P901" s="93">
        <f t="shared" si="37"/>
        <v>8427</v>
      </c>
      <c r="Q901" s="52"/>
      <c r="R901" s="237">
        <v>246456</v>
      </c>
      <c r="S901" s="236">
        <v>12349</v>
      </c>
      <c r="T901" s="238">
        <v>258805</v>
      </c>
    </row>
    <row r="902" spans="1:20">
      <c r="A902" s="50">
        <v>99623</v>
      </c>
      <c r="B902" s="51" t="s">
        <v>3507</v>
      </c>
      <c r="C902" s="239">
        <v>3.4799999999999999E-5</v>
      </c>
      <c r="D902" s="239">
        <v>2.6400000000000001E-5</v>
      </c>
      <c r="E902" s="52">
        <v>82558</v>
      </c>
      <c r="F902" s="52"/>
      <c r="G902" s="237">
        <v>12737</v>
      </c>
      <c r="H902" s="225">
        <v>11333</v>
      </c>
      <c r="I902" s="237">
        <v>21908</v>
      </c>
      <c r="J902" s="236">
        <v>1303</v>
      </c>
      <c r="K902" s="93">
        <f t="shared" si="36"/>
        <v>47281</v>
      </c>
      <c r="L902" s="52"/>
      <c r="M902" s="237">
        <v>427</v>
      </c>
      <c r="N902" s="237">
        <v>0</v>
      </c>
      <c r="O902" s="236">
        <v>2046</v>
      </c>
      <c r="P902" s="93">
        <f t="shared" si="37"/>
        <v>2473</v>
      </c>
      <c r="Q902" s="52"/>
      <c r="R902" s="237">
        <v>22932</v>
      </c>
      <c r="S902" s="236">
        <v>311</v>
      </c>
      <c r="T902" s="238">
        <v>23243</v>
      </c>
    </row>
    <row r="903" spans="1:20">
      <c r="A903" s="50">
        <v>99631</v>
      </c>
      <c r="B903" s="51" t="s">
        <v>2470</v>
      </c>
      <c r="C903" s="239">
        <v>1.11E-4</v>
      </c>
      <c r="D903" s="239">
        <v>1.102E-4</v>
      </c>
      <c r="E903" s="52">
        <v>263330</v>
      </c>
      <c r="F903" s="52"/>
      <c r="G903" s="237">
        <v>40626</v>
      </c>
      <c r="H903" s="225">
        <v>36148</v>
      </c>
      <c r="I903" s="237">
        <v>69878</v>
      </c>
      <c r="J903" s="236">
        <v>803</v>
      </c>
      <c r="K903" s="93">
        <f t="shared" si="36"/>
        <v>147455</v>
      </c>
      <c r="L903" s="52"/>
      <c r="M903" s="237">
        <v>1363</v>
      </c>
      <c r="N903" s="237">
        <v>0</v>
      </c>
      <c r="O903" s="236">
        <v>2497</v>
      </c>
      <c r="P903" s="93">
        <f t="shared" si="37"/>
        <v>3860</v>
      </c>
      <c r="Q903" s="52"/>
      <c r="R903" s="237">
        <v>73146</v>
      </c>
      <c r="S903" s="236">
        <v>-4302</v>
      </c>
      <c r="T903" s="238">
        <v>68844</v>
      </c>
    </row>
    <row r="904" spans="1:20">
      <c r="A904" s="50">
        <v>99651</v>
      </c>
      <c r="B904" s="51" t="s">
        <v>2471</v>
      </c>
      <c r="C904" s="239">
        <v>5.7000000000000003E-5</v>
      </c>
      <c r="D904" s="239">
        <v>6.7199999999999994E-5</v>
      </c>
      <c r="E904" s="52">
        <v>135223</v>
      </c>
      <c r="F904" s="52"/>
      <c r="G904" s="237">
        <v>20862</v>
      </c>
      <c r="H904" s="225">
        <v>18562</v>
      </c>
      <c r="I904" s="237">
        <v>35883</v>
      </c>
      <c r="J904" s="236">
        <v>3097</v>
      </c>
      <c r="K904" s="93">
        <f t="shared" si="36"/>
        <v>78404</v>
      </c>
      <c r="L904" s="52"/>
      <c r="M904" s="237">
        <v>700</v>
      </c>
      <c r="N904" s="237">
        <v>0</v>
      </c>
      <c r="O904" s="236">
        <v>6539</v>
      </c>
      <c r="P904" s="93">
        <f t="shared" si="37"/>
        <v>7239</v>
      </c>
      <c r="Q904" s="52"/>
      <c r="R904" s="237">
        <v>37561</v>
      </c>
      <c r="S904" s="236">
        <v>-227</v>
      </c>
      <c r="T904" s="238">
        <v>37334</v>
      </c>
    </row>
    <row r="905" spans="1:20">
      <c r="A905" s="50">
        <v>99661</v>
      </c>
      <c r="B905" s="51" t="s">
        <v>2493</v>
      </c>
      <c r="C905" s="239">
        <v>2.5999999999999998E-5</v>
      </c>
      <c r="D905" s="239">
        <v>3.26E-5</v>
      </c>
      <c r="E905" s="52">
        <v>61681</v>
      </c>
      <c r="F905" s="52"/>
      <c r="G905" s="237">
        <v>9516</v>
      </c>
      <c r="H905" s="225">
        <v>8467</v>
      </c>
      <c r="I905" s="237">
        <v>16368</v>
      </c>
      <c r="J905" s="236">
        <v>41516</v>
      </c>
      <c r="K905" s="93">
        <f t="shared" si="36"/>
        <v>75867</v>
      </c>
      <c r="L905" s="52"/>
      <c r="M905" s="237">
        <v>319</v>
      </c>
      <c r="N905" s="237">
        <v>0</v>
      </c>
      <c r="O905" s="236">
        <v>0</v>
      </c>
      <c r="P905" s="93">
        <f t="shared" si="37"/>
        <v>319</v>
      </c>
      <c r="Q905" s="52"/>
      <c r="R905" s="237">
        <v>17133</v>
      </c>
      <c r="S905" s="236">
        <v>17737</v>
      </c>
      <c r="T905" s="238">
        <v>34870</v>
      </c>
    </row>
    <row r="906" spans="1:20">
      <c r="A906" s="50">
        <v>99701</v>
      </c>
      <c r="B906" s="51" t="s">
        <v>1595</v>
      </c>
      <c r="C906" s="239">
        <v>2.9659E-3</v>
      </c>
      <c r="D906" s="239">
        <v>2.9190000000000002E-3</v>
      </c>
      <c r="E906" s="52">
        <v>7036129</v>
      </c>
      <c r="F906" s="52"/>
      <c r="G906" s="237">
        <v>1085508</v>
      </c>
      <c r="H906" s="225">
        <v>965851</v>
      </c>
      <c r="I906" s="237">
        <v>1867117</v>
      </c>
      <c r="J906" s="236">
        <v>11285</v>
      </c>
      <c r="K906" s="93">
        <f t="shared" si="36"/>
        <v>3929761</v>
      </c>
      <c r="L906" s="52"/>
      <c r="M906" s="237">
        <v>36424</v>
      </c>
      <c r="N906" s="237">
        <v>0</v>
      </c>
      <c r="O906" s="236">
        <v>20475</v>
      </c>
      <c r="P906" s="93">
        <f t="shared" si="37"/>
        <v>56899</v>
      </c>
      <c r="Q906" s="52"/>
      <c r="R906" s="237">
        <v>1954448</v>
      </c>
      <c r="S906" s="236">
        <v>-5521</v>
      </c>
      <c r="T906" s="238">
        <v>1948927</v>
      </c>
    </row>
    <row r="907" spans="1:20">
      <c r="A907" s="50">
        <v>99705</v>
      </c>
      <c r="B907" s="51" t="s">
        <v>1596</v>
      </c>
      <c r="C907" s="239">
        <v>1.6349999999999999E-4</v>
      </c>
      <c r="D907" s="239">
        <v>1.7229999999999999E-4</v>
      </c>
      <c r="E907" s="52">
        <v>387878</v>
      </c>
      <c r="F907" s="52"/>
      <c r="G907" s="237">
        <v>59840</v>
      </c>
      <c r="H907" s="225">
        <v>53244</v>
      </c>
      <c r="I907" s="237">
        <v>102928</v>
      </c>
      <c r="J907" s="236">
        <v>9123</v>
      </c>
      <c r="K907" s="93">
        <f t="shared" si="36"/>
        <v>225135</v>
      </c>
      <c r="L907" s="52"/>
      <c r="M907" s="237">
        <v>2008</v>
      </c>
      <c r="N907" s="237">
        <v>0</v>
      </c>
      <c r="O907" s="236">
        <v>244</v>
      </c>
      <c r="P907" s="93">
        <f t="shared" si="37"/>
        <v>2252</v>
      </c>
      <c r="Q907" s="52"/>
      <c r="R907" s="237">
        <v>107742</v>
      </c>
      <c r="S907" s="236">
        <v>6947</v>
      </c>
      <c r="T907" s="238">
        <v>114689</v>
      </c>
    </row>
    <row r="908" spans="1:20">
      <c r="A908" s="50">
        <v>99711</v>
      </c>
      <c r="B908" s="51" t="s">
        <v>2472</v>
      </c>
      <c r="C908" s="239">
        <v>4.462E-4</v>
      </c>
      <c r="D908" s="239">
        <v>4.5459999999999999E-4</v>
      </c>
      <c r="E908" s="52">
        <v>1058539</v>
      </c>
      <c r="F908" s="52"/>
      <c r="G908" s="237">
        <v>163307</v>
      </c>
      <c r="H908" s="225">
        <v>145306</v>
      </c>
      <c r="I908" s="237">
        <v>280895</v>
      </c>
      <c r="J908" s="236">
        <v>10132</v>
      </c>
      <c r="K908" s="93">
        <f t="shared" si="36"/>
        <v>599640</v>
      </c>
      <c r="L908" s="52"/>
      <c r="M908" s="237">
        <v>5480</v>
      </c>
      <c r="N908" s="237">
        <v>0</v>
      </c>
      <c r="O908" s="236">
        <v>5402</v>
      </c>
      <c r="P908" s="93">
        <f t="shared" si="37"/>
        <v>10882</v>
      </c>
      <c r="Q908" s="52"/>
      <c r="R908" s="237">
        <v>294034</v>
      </c>
      <c r="S908" s="236">
        <v>-1088</v>
      </c>
      <c r="T908" s="238">
        <v>292946</v>
      </c>
    </row>
    <row r="909" spans="1:20">
      <c r="A909" s="50">
        <v>99717</v>
      </c>
      <c r="B909" s="51" t="s">
        <v>2473</v>
      </c>
      <c r="C909" s="239">
        <v>2.1800000000000001E-5</v>
      </c>
      <c r="D909" s="239">
        <v>2.19E-5</v>
      </c>
      <c r="E909" s="52">
        <v>51717</v>
      </c>
      <c r="F909" s="52"/>
      <c r="G909" s="237">
        <v>7979</v>
      </c>
      <c r="H909" s="225">
        <v>7099</v>
      </c>
      <c r="I909" s="237">
        <v>13724</v>
      </c>
      <c r="J909" s="236">
        <v>0</v>
      </c>
      <c r="K909" s="93">
        <f t="shared" si="36"/>
        <v>28802</v>
      </c>
      <c r="L909" s="52"/>
      <c r="M909" s="237">
        <v>268</v>
      </c>
      <c r="N909" s="237">
        <v>0</v>
      </c>
      <c r="O909" s="236">
        <v>4093</v>
      </c>
      <c r="P909" s="93">
        <f t="shared" si="37"/>
        <v>4361</v>
      </c>
      <c r="Q909" s="52"/>
      <c r="R909" s="237">
        <v>14366</v>
      </c>
      <c r="S909" s="236">
        <v>-1627</v>
      </c>
      <c r="T909" s="238">
        <v>12739</v>
      </c>
    </row>
    <row r="910" spans="1:20">
      <c r="A910" s="50">
        <v>99721</v>
      </c>
      <c r="B910" s="51" t="s">
        <v>2474</v>
      </c>
      <c r="C910" s="239">
        <v>5.886E-4</v>
      </c>
      <c r="D910" s="239">
        <v>5.7779999999999995E-4</v>
      </c>
      <c r="E910" s="52">
        <v>1396361</v>
      </c>
      <c r="F910" s="52"/>
      <c r="G910" s="237">
        <v>215425</v>
      </c>
      <c r="H910" s="225">
        <v>191679</v>
      </c>
      <c r="I910" s="237">
        <v>370540</v>
      </c>
      <c r="J910" s="236">
        <v>0</v>
      </c>
      <c r="K910" s="93">
        <f t="shared" si="36"/>
        <v>777644</v>
      </c>
      <c r="L910" s="52"/>
      <c r="M910" s="237">
        <v>7229</v>
      </c>
      <c r="N910" s="237">
        <v>0</v>
      </c>
      <c r="O910" s="236">
        <v>40498</v>
      </c>
      <c r="P910" s="93">
        <f t="shared" si="37"/>
        <v>47727</v>
      </c>
      <c r="Q910" s="52"/>
      <c r="R910" s="237">
        <v>387872</v>
      </c>
      <c r="S910" s="236">
        <v>-15685</v>
      </c>
      <c r="T910" s="238">
        <v>372187</v>
      </c>
    </row>
    <row r="911" spans="1:20">
      <c r="A911" s="50">
        <v>99727</v>
      </c>
      <c r="B911" s="51" t="s">
        <v>1600</v>
      </c>
      <c r="C911" s="239">
        <v>2.2099999999999998E-5</v>
      </c>
      <c r="D911" s="239">
        <v>2.3900000000000002E-5</v>
      </c>
      <c r="E911" s="52">
        <v>52429</v>
      </c>
      <c r="F911" s="52"/>
      <c r="G911" s="237">
        <v>8089</v>
      </c>
      <c r="H911" s="225">
        <v>7197</v>
      </c>
      <c r="I911" s="237">
        <v>13913</v>
      </c>
      <c r="J911" s="236">
        <v>68017</v>
      </c>
      <c r="K911" s="93">
        <f t="shared" si="36"/>
        <v>97216</v>
      </c>
      <c r="L911" s="52"/>
      <c r="M911" s="237">
        <v>271</v>
      </c>
      <c r="N911" s="237">
        <v>0</v>
      </c>
      <c r="O911" s="236">
        <v>0</v>
      </c>
      <c r="P911" s="93">
        <f t="shared" si="37"/>
        <v>271</v>
      </c>
      <c r="Q911" s="52"/>
      <c r="R911" s="237">
        <v>14563</v>
      </c>
      <c r="S911" s="236">
        <v>28353</v>
      </c>
      <c r="T911" s="238">
        <v>42916</v>
      </c>
    </row>
    <row r="912" spans="1:20">
      <c r="A912" s="50">
        <v>99801</v>
      </c>
      <c r="B912" s="51" t="s">
        <v>1601</v>
      </c>
      <c r="C912" s="239">
        <v>4.9709000000000003E-3</v>
      </c>
      <c r="D912" s="239">
        <v>5.1866000000000004E-3</v>
      </c>
      <c r="E912" s="52">
        <v>11792675</v>
      </c>
      <c r="F912" s="52"/>
      <c r="G912" s="237">
        <v>1819330</v>
      </c>
      <c r="H912" s="225">
        <v>1618783</v>
      </c>
      <c r="I912" s="237">
        <v>3129321</v>
      </c>
      <c r="J912" s="236">
        <v>0</v>
      </c>
      <c r="K912" s="93">
        <f t="shared" si="36"/>
        <v>6567434</v>
      </c>
      <c r="L912" s="52"/>
      <c r="M912" s="237">
        <v>61048</v>
      </c>
      <c r="N912" s="237">
        <v>0</v>
      </c>
      <c r="O912" s="236">
        <v>343453</v>
      </c>
      <c r="P912" s="93">
        <f t="shared" si="37"/>
        <v>404501</v>
      </c>
      <c r="Q912" s="52"/>
      <c r="R912" s="237">
        <v>3275689</v>
      </c>
      <c r="S912" s="236">
        <v>-89773</v>
      </c>
      <c r="T912" s="238">
        <v>3185916</v>
      </c>
    </row>
    <row r="913" spans="1:20">
      <c r="A913" s="50">
        <v>99802</v>
      </c>
      <c r="B913" s="51" t="s">
        <v>2773</v>
      </c>
      <c r="C913" s="239">
        <v>1.19E-5</v>
      </c>
      <c r="D913" s="239">
        <v>6.0000000000000002E-6</v>
      </c>
      <c r="E913" s="52">
        <v>28231</v>
      </c>
      <c r="F913" s="52"/>
      <c r="G913" s="237">
        <v>4355</v>
      </c>
      <c r="H913" s="225">
        <v>3875</v>
      </c>
      <c r="I913" s="237">
        <v>7491</v>
      </c>
      <c r="J913" s="236">
        <v>5957</v>
      </c>
      <c r="K913" s="93">
        <f t="shared" si="36"/>
        <v>21678</v>
      </c>
      <c r="L913" s="52"/>
      <c r="M913" s="237">
        <v>146</v>
      </c>
      <c r="N913" s="237">
        <v>0</v>
      </c>
      <c r="O913" s="236">
        <v>0</v>
      </c>
      <c r="P913" s="93">
        <f t="shared" si="37"/>
        <v>146</v>
      </c>
      <c r="Q913" s="52"/>
      <c r="R913" s="237">
        <v>7842</v>
      </c>
      <c r="S913" s="236">
        <v>1575</v>
      </c>
      <c r="T913" s="238">
        <v>9417</v>
      </c>
    </row>
    <row r="914" spans="1:20">
      <c r="A914" s="50">
        <v>99804</v>
      </c>
      <c r="B914" s="51" t="s">
        <v>1603</v>
      </c>
      <c r="C914" s="239">
        <v>8.1000000000000004E-5</v>
      </c>
      <c r="D914" s="239">
        <v>9.0500000000000004E-5</v>
      </c>
      <c r="E914" s="52">
        <v>192160</v>
      </c>
      <c r="F914" s="52"/>
      <c r="G914" s="237">
        <v>29646</v>
      </c>
      <c r="H914" s="225">
        <v>26377</v>
      </c>
      <c r="I914" s="237">
        <v>50992</v>
      </c>
      <c r="J914" s="236">
        <v>8772</v>
      </c>
      <c r="K914" s="93">
        <f t="shared" si="36"/>
        <v>115787</v>
      </c>
      <c r="L914" s="52"/>
      <c r="M914" s="237">
        <v>995</v>
      </c>
      <c r="N914" s="237">
        <v>0</v>
      </c>
      <c r="O914" s="236">
        <v>129</v>
      </c>
      <c r="P914" s="93">
        <f t="shared" si="37"/>
        <v>1124</v>
      </c>
      <c r="Q914" s="52"/>
      <c r="R914" s="237">
        <v>53377</v>
      </c>
      <c r="S914" s="236">
        <v>4885</v>
      </c>
      <c r="T914" s="238">
        <v>58262</v>
      </c>
    </row>
    <row r="915" spans="1:20">
      <c r="A915" s="50">
        <v>99811</v>
      </c>
      <c r="B915" s="51" t="s">
        <v>2022</v>
      </c>
      <c r="C915" s="239">
        <v>6.4733000000000004E-3</v>
      </c>
      <c r="D915" s="239">
        <v>6.7026999999999998E-3</v>
      </c>
      <c r="E915" s="52">
        <v>15356881</v>
      </c>
      <c r="F915" s="52"/>
      <c r="G915" s="237">
        <v>2369202</v>
      </c>
      <c r="H915" s="225">
        <v>2108043</v>
      </c>
      <c r="I915" s="237">
        <v>4075124</v>
      </c>
      <c r="J915" s="236">
        <v>0</v>
      </c>
      <c r="K915" s="93">
        <f t="shared" si="36"/>
        <v>8552369</v>
      </c>
      <c r="L915" s="52"/>
      <c r="M915" s="237">
        <v>79499</v>
      </c>
      <c r="N915" s="237">
        <v>0</v>
      </c>
      <c r="O915" s="236">
        <v>605474</v>
      </c>
      <c r="P915" s="93">
        <f t="shared" si="37"/>
        <v>684973</v>
      </c>
      <c r="Q915" s="52"/>
      <c r="R915" s="237">
        <v>4265730</v>
      </c>
      <c r="S915" s="236">
        <v>-297315</v>
      </c>
      <c r="T915" s="238">
        <v>3968415</v>
      </c>
    </row>
    <row r="916" spans="1:20">
      <c r="A916" s="50">
        <v>99812</v>
      </c>
      <c r="B916" s="51" t="s">
        <v>1605</v>
      </c>
      <c r="C916" s="239">
        <v>1.9700000000000001E-5</v>
      </c>
      <c r="D916" s="239">
        <v>2.2099999999999998E-5</v>
      </c>
      <c r="E916" s="52">
        <v>46735</v>
      </c>
      <c r="F916" s="52"/>
      <c r="G916" s="237">
        <v>7210</v>
      </c>
      <c r="H916" s="225">
        <v>6415</v>
      </c>
      <c r="I916" s="237">
        <v>12402</v>
      </c>
      <c r="J916" s="236">
        <v>15128</v>
      </c>
      <c r="K916" s="93">
        <f t="shared" si="36"/>
        <v>41155</v>
      </c>
      <c r="L916" s="52"/>
      <c r="M916" s="237">
        <v>242</v>
      </c>
      <c r="N916" s="237">
        <v>0</v>
      </c>
      <c r="O916" s="236">
        <v>0</v>
      </c>
      <c r="P916" s="93">
        <f t="shared" si="37"/>
        <v>242</v>
      </c>
      <c r="Q916" s="52"/>
      <c r="R916" s="237">
        <v>12982</v>
      </c>
      <c r="S916" s="236">
        <v>6159</v>
      </c>
      <c r="T916" s="238">
        <v>19141</v>
      </c>
    </row>
    <row r="917" spans="1:20">
      <c r="A917" s="50">
        <v>99818</v>
      </c>
      <c r="B917" s="51" t="s">
        <v>2023</v>
      </c>
      <c r="C917" s="239">
        <v>3.3399999999999999E-5</v>
      </c>
      <c r="D917" s="239">
        <v>3.1600000000000002E-5</v>
      </c>
      <c r="E917" s="52">
        <v>79236</v>
      </c>
      <c r="F917" s="52"/>
      <c r="G917" s="237">
        <v>12224</v>
      </c>
      <c r="H917" s="225">
        <v>10877</v>
      </c>
      <c r="I917" s="237">
        <v>21026</v>
      </c>
      <c r="J917" s="236">
        <v>554</v>
      </c>
      <c r="K917" s="93">
        <f t="shared" si="36"/>
        <v>44681</v>
      </c>
      <c r="L917" s="52"/>
      <c r="M917" s="237">
        <v>410</v>
      </c>
      <c r="N917" s="237">
        <v>0</v>
      </c>
      <c r="O917" s="236">
        <v>5622</v>
      </c>
      <c r="P917" s="93">
        <f t="shared" si="37"/>
        <v>6032</v>
      </c>
      <c r="Q917" s="52"/>
      <c r="R917" s="237">
        <v>22010</v>
      </c>
      <c r="S917" s="236">
        <v>419</v>
      </c>
      <c r="T917" s="238">
        <v>22429</v>
      </c>
    </row>
    <row r="918" spans="1:20">
      <c r="A918" s="50">
        <v>99821</v>
      </c>
      <c r="B918" s="51" t="s">
        <v>2475</v>
      </c>
      <c r="C918" s="239">
        <v>9.2899999999999995E-5</v>
      </c>
      <c r="D918" s="239">
        <v>9.1100000000000005E-5</v>
      </c>
      <c r="E918" s="52">
        <v>220391</v>
      </c>
      <c r="F918" s="52"/>
      <c r="G918" s="237">
        <v>34001</v>
      </c>
      <c r="H918" s="225">
        <v>30253</v>
      </c>
      <c r="I918" s="237">
        <v>58483</v>
      </c>
      <c r="J918" s="236">
        <v>16591</v>
      </c>
      <c r="K918" s="93">
        <f t="shared" si="36"/>
        <v>139328</v>
      </c>
      <c r="L918" s="52"/>
      <c r="M918" s="237">
        <v>1141</v>
      </c>
      <c r="N918" s="237">
        <v>0</v>
      </c>
      <c r="O918" s="236">
        <v>250</v>
      </c>
      <c r="P918" s="93">
        <f t="shared" si="37"/>
        <v>1391</v>
      </c>
      <c r="Q918" s="52"/>
      <c r="R918" s="237">
        <v>61219</v>
      </c>
      <c r="S918" s="236">
        <v>11230</v>
      </c>
      <c r="T918" s="238">
        <v>72449</v>
      </c>
    </row>
    <row r="919" spans="1:20">
      <c r="A919" s="50">
        <v>99831</v>
      </c>
      <c r="B919" s="51" t="s">
        <v>2476</v>
      </c>
      <c r="C919" s="239">
        <v>4.9700000000000002E-5</v>
      </c>
      <c r="D919" s="239">
        <v>6.3299999999999994E-5</v>
      </c>
      <c r="E919" s="52">
        <v>117905</v>
      </c>
      <c r="F919" s="52"/>
      <c r="G919" s="237">
        <v>18190</v>
      </c>
      <c r="H919" s="225">
        <v>16185</v>
      </c>
      <c r="I919" s="237">
        <v>31288</v>
      </c>
      <c r="J919" s="236">
        <v>4819</v>
      </c>
      <c r="K919" s="93">
        <f t="shared" si="36"/>
        <v>70482</v>
      </c>
      <c r="L919" s="52"/>
      <c r="M919" s="237">
        <v>610</v>
      </c>
      <c r="N919" s="237">
        <v>0</v>
      </c>
      <c r="O919" s="236">
        <v>7455</v>
      </c>
      <c r="P919" s="93">
        <f t="shared" si="37"/>
        <v>8065</v>
      </c>
      <c r="Q919" s="52"/>
      <c r="R919" s="237">
        <v>32751</v>
      </c>
      <c r="S919" s="236">
        <v>103</v>
      </c>
      <c r="T919" s="238">
        <v>32854</v>
      </c>
    </row>
    <row r="920" spans="1:20">
      <c r="A920" s="50">
        <v>99841</v>
      </c>
      <c r="B920" s="51" t="s">
        <v>2477</v>
      </c>
      <c r="C920" s="239">
        <v>3.2199999999999997E-5</v>
      </c>
      <c r="D920" s="239">
        <v>4.3399999999999998E-5</v>
      </c>
      <c r="E920" s="52">
        <v>76389</v>
      </c>
      <c r="F920" s="52"/>
      <c r="G920" s="237">
        <v>11785</v>
      </c>
      <c r="H920" s="225">
        <v>10486</v>
      </c>
      <c r="I920" s="237">
        <v>20271</v>
      </c>
      <c r="J920" s="236">
        <v>574</v>
      </c>
      <c r="K920" s="93">
        <f t="shared" si="36"/>
        <v>43116</v>
      </c>
      <c r="L920" s="52"/>
      <c r="M920" s="237">
        <v>395</v>
      </c>
      <c r="N920" s="237">
        <v>0</v>
      </c>
      <c r="O920" s="236">
        <v>8879</v>
      </c>
      <c r="P920" s="93">
        <f t="shared" si="37"/>
        <v>9274</v>
      </c>
      <c r="Q920" s="52"/>
      <c r="R920" s="237">
        <v>21219</v>
      </c>
      <c r="S920" s="236">
        <v>-2883</v>
      </c>
      <c r="T920" s="238">
        <v>18336</v>
      </c>
    </row>
    <row r="921" spans="1:20">
      <c r="A921" s="50">
        <v>99851</v>
      </c>
      <c r="B921" s="51" t="s">
        <v>2478</v>
      </c>
      <c r="C921" s="239">
        <v>2.34E-5</v>
      </c>
      <c r="D921" s="239">
        <v>2.23E-5</v>
      </c>
      <c r="E921" s="52">
        <v>55513</v>
      </c>
      <c r="F921" s="52"/>
      <c r="G921" s="237">
        <v>8564</v>
      </c>
      <c r="H921" s="225">
        <v>7620</v>
      </c>
      <c r="I921" s="237">
        <v>14731</v>
      </c>
      <c r="J921" s="236">
        <v>65</v>
      </c>
      <c r="K921" s="93">
        <f t="shared" si="36"/>
        <v>30980</v>
      </c>
      <c r="L921" s="52"/>
      <c r="M921" s="237">
        <v>287</v>
      </c>
      <c r="N921" s="237">
        <v>0</v>
      </c>
      <c r="O921" s="236">
        <v>4221</v>
      </c>
      <c r="P921" s="93">
        <f t="shared" si="37"/>
        <v>4508</v>
      </c>
      <c r="Q921" s="52"/>
      <c r="R921" s="237">
        <v>15420</v>
      </c>
      <c r="S921" s="236">
        <v>-1336</v>
      </c>
      <c r="T921" s="238">
        <v>14084</v>
      </c>
    </row>
    <row r="922" spans="1:20">
      <c r="A922" s="50">
        <v>99901</v>
      </c>
      <c r="B922" s="51" t="s">
        <v>1611</v>
      </c>
      <c r="C922" s="239">
        <v>1.5693E-3</v>
      </c>
      <c r="D922" s="239">
        <v>1.6707E-3</v>
      </c>
      <c r="E922" s="52">
        <v>3722916</v>
      </c>
      <c r="F922" s="52"/>
      <c r="G922" s="237">
        <v>574358</v>
      </c>
      <c r="H922" s="225">
        <v>511045</v>
      </c>
      <c r="I922" s="237">
        <v>987918</v>
      </c>
      <c r="J922" s="236">
        <v>38150</v>
      </c>
      <c r="K922" s="93">
        <f t="shared" si="36"/>
        <v>2111471</v>
      </c>
      <c r="L922" s="52"/>
      <c r="M922" s="237">
        <v>19273</v>
      </c>
      <c r="N922" s="237">
        <v>0</v>
      </c>
      <c r="O922" s="236">
        <v>80037</v>
      </c>
      <c r="P922" s="93">
        <f t="shared" si="37"/>
        <v>99310</v>
      </c>
      <c r="Q922" s="52"/>
      <c r="R922" s="237">
        <v>1034126</v>
      </c>
      <c r="S922" s="236">
        <v>-6774</v>
      </c>
      <c r="T922" s="238">
        <v>1027352</v>
      </c>
    </row>
    <row r="923" spans="1:20">
      <c r="A923" s="50">
        <v>99911</v>
      </c>
      <c r="B923" s="51" t="s">
        <v>2479</v>
      </c>
      <c r="C923" s="239">
        <v>2.3900000000000001E-4</v>
      </c>
      <c r="D923" s="239">
        <v>2.5980000000000003E-4</v>
      </c>
      <c r="E923" s="52">
        <v>566990</v>
      </c>
      <c r="F923" s="52"/>
      <c r="G923" s="237">
        <v>87473</v>
      </c>
      <c r="H923" s="225">
        <v>77831</v>
      </c>
      <c r="I923" s="237">
        <v>150457</v>
      </c>
      <c r="J923" s="236">
        <v>4825</v>
      </c>
      <c r="K923" s="93">
        <f t="shared" si="36"/>
        <v>320586</v>
      </c>
      <c r="L923" s="52"/>
      <c r="M923" s="237">
        <v>2935</v>
      </c>
      <c r="N923" s="237">
        <v>0</v>
      </c>
      <c r="O923" s="236">
        <v>11799</v>
      </c>
      <c r="P923" s="93">
        <f t="shared" si="37"/>
        <v>14734</v>
      </c>
      <c r="Q923" s="52"/>
      <c r="R923" s="237">
        <v>157495</v>
      </c>
      <c r="S923" s="236">
        <v>-7207</v>
      </c>
      <c r="T923" s="238">
        <v>150288</v>
      </c>
    </row>
    <row r="924" spans="1:20">
      <c r="A924" s="50">
        <v>99921</v>
      </c>
      <c r="B924" s="51" t="s">
        <v>2480</v>
      </c>
      <c r="C924" s="239">
        <v>1.3119999999999999E-4</v>
      </c>
      <c r="D924" s="239">
        <v>1.506E-4</v>
      </c>
      <c r="E924" s="52">
        <v>311251</v>
      </c>
      <c r="F924" s="52"/>
      <c r="G924" s="237">
        <v>48019</v>
      </c>
      <c r="H924" s="225">
        <v>42726</v>
      </c>
      <c r="I924" s="237">
        <v>82594</v>
      </c>
      <c r="J924" s="236">
        <v>1708</v>
      </c>
      <c r="K924" s="93">
        <f t="shared" si="36"/>
        <v>175047</v>
      </c>
      <c r="L924" s="52"/>
      <c r="M924" s="237">
        <v>1611</v>
      </c>
      <c r="N924" s="237">
        <v>0</v>
      </c>
      <c r="O924" s="236">
        <v>19558</v>
      </c>
      <c r="P924" s="93">
        <f t="shared" si="37"/>
        <v>21169</v>
      </c>
      <c r="Q924" s="52"/>
      <c r="R924" s="237">
        <v>86457</v>
      </c>
      <c r="S924" s="236">
        <v>-7225</v>
      </c>
      <c r="T924" s="238">
        <v>79232</v>
      </c>
    </row>
    <row r="925" spans="1:20">
      <c r="A925" s="50">
        <v>99931</v>
      </c>
      <c r="B925" s="51" t="s">
        <v>2481</v>
      </c>
      <c r="C925" s="239">
        <v>1.52E-5</v>
      </c>
      <c r="D925" s="239">
        <v>1.5800000000000001E-5</v>
      </c>
      <c r="E925" s="52">
        <v>36060</v>
      </c>
      <c r="F925" s="52"/>
      <c r="G925" s="237">
        <v>5563</v>
      </c>
      <c r="H925" s="225">
        <v>4950</v>
      </c>
      <c r="I925" s="237">
        <v>9569</v>
      </c>
      <c r="J925" s="236">
        <v>1614</v>
      </c>
      <c r="K925" s="93">
        <f t="shared" ref="K925:K928" si="38">G925+H925+I925+J925</f>
        <v>21696</v>
      </c>
      <c r="L925" s="52"/>
      <c r="M925" s="237">
        <v>187</v>
      </c>
      <c r="N925" s="237">
        <v>0</v>
      </c>
      <c r="O925" s="236">
        <v>5213</v>
      </c>
      <c r="P925" s="93">
        <f t="shared" ref="P925:P928" si="39">M925+N925+O925</f>
        <v>5400</v>
      </c>
      <c r="Q925" s="52"/>
      <c r="R925" s="237">
        <v>10016</v>
      </c>
      <c r="S925" s="236">
        <v>-2861</v>
      </c>
      <c r="T925" s="238">
        <v>7155</v>
      </c>
    </row>
    <row r="926" spans="1:20">
      <c r="A926" s="50">
        <v>99941</v>
      </c>
      <c r="B926" s="51" t="s">
        <v>2482</v>
      </c>
      <c r="C926" s="239">
        <v>7.4200000000000001E-5</v>
      </c>
      <c r="D926" s="239">
        <v>7.5400000000000003E-5</v>
      </c>
      <c r="E926" s="52">
        <v>176028</v>
      </c>
      <c r="F926" s="52"/>
      <c r="G926" s="237">
        <v>27157</v>
      </c>
      <c r="H926" s="225">
        <v>24164</v>
      </c>
      <c r="I926" s="237">
        <v>46711</v>
      </c>
      <c r="J926" s="236">
        <v>0</v>
      </c>
      <c r="K926" s="93">
        <f t="shared" si="38"/>
        <v>98032</v>
      </c>
      <c r="L926" s="52"/>
      <c r="M926" s="237">
        <v>911</v>
      </c>
      <c r="N926" s="237">
        <v>0</v>
      </c>
      <c r="O926" s="236">
        <v>9131</v>
      </c>
      <c r="P926" s="93">
        <f t="shared" si="39"/>
        <v>10042</v>
      </c>
      <c r="Q926" s="52"/>
      <c r="R926" s="237">
        <v>48896</v>
      </c>
      <c r="S926" s="236">
        <v>-5026</v>
      </c>
      <c r="T926" s="238">
        <v>43870</v>
      </c>
    </row>
    <row r="927" spans="1:20">
      <c r="A927" s="50">
        <v>99991</v>
      </c>
      <c r="B927" s="51" t="s">
        <v>1616</v>
      </c>
      <c r="C927" s="239">
        <v>5.2700000000000002E-4</v>
      </c>
      <c r="D927" s="239">
        <v>5.3450000000000004E-4</v>
      </c>
      <c r="E927" s="52">
        <v>1250224</v>
      </c>
      <c r="F927" s="52"/>
      <c r="G927" s="237">
        <v>192880</v>
      </c>
      <c r="H927" s="225">
        <v>171619</v>
      </c>
      <c r="I927" s="237">
        <v>331761</v>
      </c>
      <c r="J927" s="236">
        <v>9601</v>
      </c>
      <c r="K927" s="93">
        <f t="shared" si="38"/>
        <v>705861</v>
      </c>
      <c r="L927" s="52"/>
      <c r="M927" s="237">
        <v>6472</v>
      </c>
      <c r="N927" s="237">
        <v>0</v>
      </c>
      <c r="O927" s="236">
        <v>27621</v>
      </c>
      <c r="P927" s="93">
        <f t="shared" si="39"/>
        <v>34093</v>
      </c>
      <c r="Q927" s="52"/>
      <c r="R927" s="237">
        <v>347279</v>
      </c>
      <c r="S927" s="236">
        <v>10622</v>
      </c>
      <c r="T927" s="238">
        <v>357901</v>
      </c>
    </row>
    <row r="928" spans="1:20">
      <c r="A928" s="50">
        <v>99999</v>
      </c>
      <c r="B928" s="51" t="s">
        <v>1617</v>
      </c>
      <c r="C928" s="239">
        <v>9.2020000000000003E-4</v>
      </c>
      <c r="D928" s="239">
        <v>8.7509999999999997E-4</v>
      </c>
      <c r="E928" s="52">
        <v>2183029</v>
      </c>
      <c r="F928" s="52"/>
      <c r="G928" s="237">
        <v>336790</v>
      </c>
      <c r="H928" s="225">
        <v>299665</v>
      </c>
      <c r="I928" s="237">
        <v>579292</v>
      </c>
      <c r="J928" s="236">
        <v>139284</v>
      </c>
      <c r="K928" s="93">
        <f t="shared" si="38"/>
        <v>1355031</v>
      </c>
      <c r="L928" s="52"/>
      <c r="M928" s="237">
        <v>11301</v>
      </c>
      <c r="N928" s="237">
        <v>0</v>
      </c>
      <c r="O928" s="236">
        <v>3425</v>
      </c>
      <c r="P928" s="93">
        <f t="shared" si="39"/>
        <v>14726</v>
      </c>
      <c r="Q928" s="52"/>
      <c r="R928" s="237">
        <v>606387</v>
      </c>
      <c r="S928" s="236">
        <v>34690</v>
      </c>
      <c r="T928" s="238">
        <v>641077</v>
      </c>
    </row>
    <row r="929" spans="1:20">
      <c r="A929" s="50"/>
      <c r="B929" s="51"/>
      <c r="C929" s="181"/>
      <c r="D929" s="96"/>
    </row>
    <row r="930" spans="1:20" s="100" customFormat="1">
      <c r="A930" s="95"/>
      <c r="B930" s="56"/>
      <c r="C930" s="181"/>
      <c r="D930" s="87"/>
      <c r="E930" s="97"/>
      <c r="F930" s="97"/>
      <c r="G930" s="98"/>
      <c r="H930" s="99"/>
      <c r="I930" s="98"/>
      <c r="J930" s="98"/>
      <c r="K930" s="99"/>
      <c r="L930" s="98"/>
      <c r="M930" s="98"/>
      <c r="N930" s="98"/>
      <c r="O930" s="98"/>
      <c r="P930" s="99"/>
      <c r="Q930" s="98"/>
      <c r="R930" s="98"/>
      <c r="S930" s="98"/>
      <c r="T930" s="98"/>
    </row>
    <row r="931" spans="1:20">
      <c r="B931" s="4" t="s">
        <v>691</v>
      </c>
      <c r="C931" s="256" t="s">
        <v>692</v>
      </c>
    </row>
    <row r="932" spans="1:20">
      <c r="A932" s="231"/>
      <c r="B932" s="135" t="s">
        <v>2027</v>
      </c>
      <c r="C932" s="231">
        <v>96331</v>
      </c>
      <c r="H932" s="87"/>
      <c r="K932" s="87"/>
      <c r="P932" s="87"/>
    </row>
    <row r="933" spans="1:20">
      <c r="A933" s="231"/>
      <c r="B933" s="135" t="s">
        <v>2028</v>
      </c>
      <c r="C933" s="231">
        <v>94611</v>
      </c>
      <c r="H933" s="87"/>
      <c r="K933" s="87"/>
      <c r="P933" s="87"/>
    </row>
    <row r="934" spans="1:20">
      <c r="A934" s="231"/>
      <c r="B934" s="135" t="s">
        <v>1041</v>
      </c>
      <c r="C934" s="231">
        <v>93402</v>
      </c>
      <c r="H934" s="87"/>
      <c r="K934" s="87"/>
      <c r="P934" s="87"/>
    </row>
    <row r="935" spans="1:20">
      <c r="A935" s="231"/>
      <c r="B935" s="135" t="s">
        <v>2499</v>
      </c>
      <c r="C935" s="231">
        <v>90151</v>
      </c>
      <c r="H935" s="87"/>
      <c r="K935" s="87"/>
      <c r="P935" s="87"/>
    </row>
    <row r="936" spans="1:20">
      <c r="A936" s="231"/>
      <c r="B936" s="135" t="s">
        <v>1105</v>
      </c>
      <c r="C936" s="50">
        <v>94109</v>
      </c>
      <c r="H936" s="87"/>
      <c r="K936" s="87"/>
      <c r="P936" s="87"/>
    </row>
    <row r="937" spans="1:20">
      <c r="A937" s="231"/>
      <c r="B937" s="135" t="s">
        <v>738</v>
      </c>
      <c r="C937" s="50">
        <v>90101</v>
      </c>
      <c r="H937" s="87"/>
      <c r="K937" s="87"/>
      <c r="P937" s="87"/>
    </row>
    <row r="938" spans="1:20">
      <c r="A938" s="231"/>
      <c r="B938" s="135" t="s">
        <v>741</v>
      </c>
      <c r="C938" s="50">
        <v>90117</v>
      </c>
      <c r="H938" s="87"/>
      <c r="K938" s="87"/>
      <c r="P938" s="87"/>
    </row>
    <row r="939" spans="1:20">
      <c r="A939" s="231"/>
      <c r="B939" s="135" t="s">
        <v>1948</v>
      </c>
      <c r="C939" s="50">
        <v>98411</v>
      </c>
      <c r="H939" s="87"/>
      <c r="K939" s="87"/>
      <c r="P939" s="87"/>
    </row>
    <row r="940" spans="1:20">
      <c r="A940" s="231"/>
      <c r="B940" s="135" t="s">
        <v>1492</v>
      </c>
      <c r="C940" s="50">
        <v>98417</v>
      </c>
      <c r="H940" s="87"/>
      <c r="K940" s="87"/>
      <c r="P940" s="87"/>
    </row>
    <row r="941" spans="1:20">
      <c r="A941" s="231"/>
      <c r="B941" s="135" t="s">
        <v>1350</v>
      </c>
      <c r="C941" s="50">
        <v>97008</v>
      </c>
      <c r="H941" s="87"/>
      <c r="K941" s="87"/>
      <c r="P941" s="87"/>
    </row>
    <row r="942" spans="1:20">
      <c r="A942" s="231"/>
      <c r="B942" s="135" t="s">
        <v>1351</v>
      </c>
      <c r="C942" s="50">
        <v>97010</v>
      </c>
      <c r="H942" s="87"/>
      <c r="K942" s="87"/>
      <c r="P942" s="87"/>
    </row>
    <row r="943" spans="1:20">
      <c r="A943" s="231"/>
      <c r="B943" s="135" t="s">
        <v>735</v>
      </c>
      <c r="C943" s="50">
        <v>90096</v>
      </c>
      <c r="H943" s="87"/>
      <c r="K943" s="87"/>
      <c r="P943" s="87"/>
    </row>
    <row r="944" spans="1:20">
      <c r="A944" s="231"/>
      <c r="B944" s="135" t="s">
        <v>786</v>
      </c>
      <c r="C944" s="50">
        <v>90805</v>
      </c>
      <c r="H944" s="87"/>
      <c r="K944" s="87"/>
      <c r="P944" s="87"/>
    </row>
    <row r="945" spans="1:16">
      <c r="A945" s="231"/>
      <c r="B945" s="135" t="s">
        <v>929</v>
      </c>
      <c r="C945" s="50">
        <v>92109</v>
      </c>
      <c r="H945" s="87"/>
      <c r="K945" s="87"/>
      <c r="P945" s="87"/>
    </row>
    <row r="946" spans="1:16">
      <c r="A946" s="231"/>
      <c r="B946" s="135" t="s">
        <v>747</v>
      </c>
      <c r="C946" s="50">
        <v>90201</v>
      </c>
      <c r="H946" s="87"/>
      <c r="K946" s="87"/>
      <c r="P946" s="87"/>
    </row>
    <row r="947" spans="1:16">
      <c r="A947" s="231"/>
      <c r="B947" s="135" t="s">
        <v>750</v>
      </c>
      <c r="C947" s="50">
        <v>90206</v>
      </c>
      <c r="H947" s="87"/>
      <c r="K947" s="87"/>
      <c r="P947" s="87"/>
    </row>
    <row r="948" spans="1:16">
      <c r="A948" s="231"/>
      <c r="B948" s="135" t="s">
        <v>748</v>
      </c>
      <c r="C948" s="50">
        <v>90203</v>
      </c>
      <c r="H948" s="87"/>
      <c r="K948" s="87"/>
      <c r="P948" s="87"/>
    </row>
    <row r="949" spans="1:16">
      <c r="A949" s="231"/>
      <c r="B949" s="135" t="s">
        <v>749</v>
      </c>
      <c r="C949" s="50">
        <v>90205</v>
      </c>
      <c r="H949" s="87"/>
      <c r="K949" s="87"/>
      <c r="P949" s="87"/>
    </row>
    <row r="950" spans="1:16">
      <c r="A950" s="231"/>
      <c r="B950" s="135" t="s">
        <v>752</v>
      </c>
      <c r="C950" s="50">
        <v>90301</v>
      </c>
      <c r="H950" s="87"/>
      <c r="K950" s="87"/>
      <c r="P950" s="87"/>
    </row>
    <row r="951" spans="1:16">
      <c r="A951" s="231"/>
      <c r="B951" s="135" t="s">
        <v>1024</v>
      </c>
      <c r="C951" s="50">
        <v>93209</v>
      </c>
      <c r="H951" s="87"/>
      <c r="K951" s="87"/>
      <c r="P951" s="87"/>
    </row>
    <row r="952" spans="1:16">
      <c r="A952" s="231"/>
      <c r="B952" s="135" t="s">
        <v>2029</v>
      </c>
      <c r="C952" s="50">
        <v>92021</v>
      </c>
      <c r="H952" s="87"/>
      <c r="K952" s="87"/>
      <c r="P952" s="87"/>
    </row>
    <row r="953" spans="1:16">
      <c r="A953" s="231"/>
      <c r="B953" s="135" t="s">
        <v>2030</v>
      </c>
      <c r="C953" s="50">
        <v>94351</v>
      </c>
      <c r="H953" s="87"/>
      <c r="K953" s="87"/>
      <c r="P953" s="87"/>
    </row>
    <row r="954" spans="1:16">
      <c r="A954" s="231"/>
      <c r="B954" s="135" t="s">
        <v>2031</v>
      </c>
      <c r="C954" s="50">
        <v>94347</v>
      </c>
      <c r="H954" s="87"/>
      <c r="K954" s="87"/>
      <c r="P954" s="87"/>
    </row>
    <row r="955" spans="1:16">
      <c r="A955" s="231"/>
      <c r="B955" s="135" t="s">
        <v>755</v>
      </c>
      <c r="C955" s="231">
        <v>90401</v>
      </c>
      <c r="H955" s="87"/>
      <c r="K955" s="87"/>
      <c r="P955" s="87"/>
    </row>
    <row r="956" spans="1:16">
      <c r="A956" s="231"/>
      <c r="B956" s="135" t="s">
        <v>2032</v>
      </c>
      <c r="C956" s="50">
        <v>90451</v>
      </c>
      <c r="H956" s="87"/>
      <c r="K956" s="87"/>
      <c r="P956" s="87"/>
    </row>
    <row r="957" spans="1:16">
      <c r="A957" s="231"/>
      <c r="B957" s="135" t="s">
        <v>2033</v>
      </c>
      <c r="C957" s="50">
        <v>99271</v>
      </c>
      <c r="H957" s="87"/>
      <c r="K957" s="87"/>
      <c r="P957" s="87"/>
    </row>
    <row r="958" spans="1:16">
      <c r="A958" s="231"/>
      <c r="B958" s="135" t="s">
        <v>737</v>
      </c>
      <c r="C958" s="50">
        <v>90099</v>
      </c>
      <c r="H958" s="87"/>
      <c r="K958" s="87"/>
      <c r="P958" s="87"/>
    </row>
    <row r="959" spans="1:16">
      <c r="A959" s="231"/>
      <c r="B959" s="135" t="s">
        <v>1596</v>
      </c>
      <c r="C959" s="50">
        <v>99705</v>
      </c>
      <c r="H959" s="87"/>
      <c r="K959" s="87"/>
      <c r="P959" s="87"/>
    </row>
    <row r="960" spans="1:16">
      <c r="A960" s="231"/>
      <c r="B960" s="135" t="s">
        <v>1949</v>
      </c>
      <c r="C960" s="231">
        <v>97651</v>
      </c>
      <c r="H960" s="87"/>
      <c r="K960" s="87"/>
      <c r="P960" s="87"/>
    </row>
    <row r="961" spans="1:16">
      <c r="A961" s="231"/>
      <c r="B961" s="135" t="s">
        <v>2034</v>
      </c>
      <c r="C961" s="50">
        <v>95106</v>
      </c>
      <c r="H961" s="87"/>
      <c r="K961" s="87"/>
      <c r="P961" s="87"/>
    </row>
    <row r="962" spans="1:16">
      <c r="A962" s="231"/>
      <c r="B962" s="135" t="s">
        <v>764</v>
      </c>
      <c r="C962" s="50">
        <v>90501</v>
      </c>
      <c r="H962" s="87"/>
      <c r="K962" s="87"/>
      <c r="P962" s="87"/>
    </row>
    <row r="963" spans="1:16">
      <c r="A963" s="231"/>
      <c r="B963" s="135" t="s">
        <v>1950</v>
      </c>
      <c r="C963" s="50">
        <v>97611</v>
      </c>
      <c r="H963" s="87"/>
      <c r="K963" s="87"/>
      <c r="P963" s="87"/>
    </row>
    <row r="964" spans="1:16">
      <c r="A964" s="231"/>
      <c r="B964" s="135" t="s">
        <v>1393</v>
      </c>
      <c r="C964" s="50">
        <v>97607</v>
      </c>
      <c r="H964" s="87"/>
      <c r="K964" s="87"/>
      <c r="P964" s="87"/>
    </row>
    <row r="965" spans="1:16">
      <c r="A965" s="231"/>
      <c r="B965" s="135" t="s">
        <v>2753</v>
      </c>
      <c r="C965" s="50">
        <v>97613</v>
      </c>
      <c r="H965" s="87"/>
      <c r="K965" s="87"/>
      <c r="P965" s="87"/>
    </row>
    <row r="966" spans="1:16">
      <c r="A966" s="231"/>
      <c r="B966" s="135" t="s">
        <v>1951</v>
      </c>
      <c r="C966" s="50">
        <v>91121</v>
      </c>
      <c r="H966" s="87"/>
      <c r="K966" s="87"/>
      <c r="P966" s="87"/>
    </row>
    <row r="967" spans="1:16">
      <c r="A967" s="231"/>
      <c r="B967" s="135" t="s">
        <v>838</v>
      </c>
      <c r="C967" s="53">
        <v>91127</v>
      </c>
      <c r="H967" s="87"/>
      <c r="K967" s="87"/>
      <c r="P967" s="87"/>
    </row>
    <row r="968" spans="1:16">
      <c r="A968" s="231"/>
      <c r="B968" s="135" t="s">
        <v>839</v>
      </c>
      <c r="C968" s="50">
        <v>91128</v>
      </c>
      <c r="H968" s="87"/>
      <c r="K968" s="87"/>
      <c r="P968" s="87"/>
    </row>
    <row r="969" spans="1:16">
      <c r="A969" s="231"/>
      <c r="B969" s="135" t="s">
        <v>2035</v>
      </c>
      <c r="C969" s="231">
        <v>91681</v>
      </c>
      <c r="H969" s="87"/>
      <c r="K969" s="87"/>
      <c r="P969" s="87"/>
    </row>
    <row r="970" spans="1:16">
      <c r="A970" s="231"/>
      <c r="B970" s="135" t="s">
        <v>2036</v>
      </c>
      <c r="C970" s="50">
        <v>90811</v>
      </c>
      <c r="H970" s="87"/>
      <c r="K970" s="87"/>
      <c r="P970" s="87"/>
    </row>
    <row r="971" spans="1:16">
      <c r="A971" s="231"/>
      <c r="B971" s="135" t="s">
        <v>2038</v>
      </c>
      <c r="C971" s="50">
        <v>90721</v>
      </c>
      <c r="H971" s="87"/>
      <c r="K971" s="87"/>
      <c r="P971" s="87"/>
    </row>
    <row r="972" spans="1:16">
      <c r="A972" s="231"/>
      <c r="B972" s="135" t="s">
        <v>2037</v>
      </c>
      <c r="C972" s="50">
        <v>98271</v>
      </c>
      <c r="H972" s="87"/>
      <c r="K972" s="87"/>
      <c r="P972" s="87"/>
    </row>
    <row r="973" spans="1:16">
      <c r="A973" s="231"/>
      <c r="B973" s="135" t="s">
        <v>767</v>
      </c>
      <c r="C973" s="50">
        <v>90601</v>
      </c>
      <c r="H973" s="87"/>
      <c r="K973" s="87"/>
      <c r="P973" s="87"/>
    </row>
    <row r="974" spans="1:16">
      <c r="A974" s="231"/>
      <c r="B974" s="135" t="s">
        <v>259</v>
      </c>
      <c r="C974" s="50">
        <v>90602</v>
      </c>
      <c r="H974" s="87"/>
      <c r="K974" s="87"/>
      <c r="P974" s="87"/>
    </row>
    <row r="975" spans="1:16">
      <c r="A975" s="231"/>
      <c r="B975" s="135" t="s">
        <v>768</v>
      </c>
      <c r="C975" s="50">
        <v>90605</v>
      </c>
      <c r="H975" s="87"/>
      <c r="K975" s="87"/>
      <c r="P975" s="87"/>
    </row>
    <row r="976" spans="1:16">
      <c r="A976" s="231"/>
      <c r="B976" s="135" t="s">
        <v>2039</v>
      </c>
      <c r="C976" s="50">
        <v>97461</v>
      </c>
      <c r="H976" s="87"/>
      <c r="K976" s="87"/>
      <c r="P976" s="87"/>
    </row>
    <row r="977" spans="1:16">
      <c r="A977" s="231"/>
      <c r="B977" s="135" t="s">
        <v>1384</v>
      </c>
      <c r="C977" s="50">
        <v>97463</v>
      </c>
      <c r="H977" s="87"/>
      <c r="K977" s="87"/>
      <c r="P977" s="87"/>
    </row>
    <row r="978" spans="1:16">
      <c r="A978" s="231"/>
      <c r="B978" s="135" t="s">
        <v>777</v>
      </c>
      <c r="C978" s="231">
        <v>90705</v>
      </c>
      <c r="H978" s="87"/>
      <c r="K978" s="87"/>
      <c r="P978" s="87"/>
    </row>
    <row r="979" spans="1:16">
      <c r="A979" s="231"/>
      <c r="B979" s="135" t="s">
        <v>2040</v>
      </c>
      <c r="C979" s="50">
        <v>98451</v>
      </c>
      <c r="H979" s="87"/>
      <c r="K979" s="87"/>
      <c r="P979" s="87"/>
    </row>
    <row r="980" spans="1:16">
      <c r="A980" s="231"/>
      <c r="B980" s="135" t="s">
        <v>2041</v>
      </c>
      <c r="C980" s="50">
        <v>96451</v>
      </c>
      <c r="H980" s="87"/>
      <c r="K980" s="87"/>
      <c r="P980" s="87"/>
    </row>
    <row r="981" spans="1:16">
      <c r="A981" s="231"/>
      <c r="B981" s="135" t="s">
        <v>2042</v>
      </c>
      <c r="C981" s="50">
        <v>96121</v>
      </c>
      <c r="H981" s="87"/>
      <c r="K981" s="87"/>
      <c r="P981" s="87"/>
    </row>
    <row r="982" spans="1:16">
      <c r="A982" s="231"/>
      <c r="B982" s="135" t="s">
        <v>2500</v>
      </c>
      <c r="C982" s="50">
        <v>91091</v>
      </c>
      <c r="H982" s="87"/>
      <c r="K982" s="87"/>
      <c r="P982" s="87"/>
    </row>
    <row r="983" spans="1:16">
      <c r="A983" s="231"/>
      <c r="B983" s="135" t="s">
        <v>2043</v>
      </c>
      <c r="C983" s="50">
        <v>90611</v>
      </c>
      <c r="H983" s="87"/>
      <c r="K983" s="87"/>
      <c r="P983" s="87"/>
    </row>
    <row r="984" spans="1:16">
      <c r="A984" s="231"/>
      <c r="B984" s="135" t="s">
        <v>1345</v>
      </c>
      <c r="C984" s="50">
        <v>96918</v>
      </c>
      <c r="H984" s="87"/>
      <c r="K984" s="87"/>
      <c r="P984" s="87"/>
    </row>
    <row r="985" spans="1:16">
      <c r="A985" s="231"/>
      <c r="B985" s="135" t="s">
        <v>2044</v>
      </c>
      <c r="C985" s="50">
        <v>96911</v>
      </c>
      <c r="H985" s="87"/>
      <c r="K985" s="87"/>
      <c r="P985" s="87"/>
    </row>
    <row r="986" spans="1:16">
      <c r="A986" s="231"/>
      <c r="B986" s="135" t="s">
        <v>1547</v>
      </c>
      <c r="C986" s="50">
        <v>99208</v>
      </c>
      <c r="H986" s="87"/>
      <c r="K986" s="87"/>
      <c r="P986" s="87"/>
    </row>
    <row r="987" spans="1:16">
      <c r="A987" s="231"/>
      <c r="B987" s="135" t="s">
        <v>2045</v>
      </c>
      <c r="C987" s="50">
        <v>91631</v>
      </c>
      <c r="H987" s="87"/>
      <c r="K987" s="87"/>
      <c r="P987" s="87"/>
    </row>
    <row r="988" spans="1:16">
      <c r="A988" s="231"/>
      <c r="B988" s="135" t="s">
        <v>775</v>
      </c>
      <c r="C988" s="50">
        <v>90701</v>
      </c>
      <c r="H988" s="87"/>
      <c r="K988" s="87"/>
      <c r="P988" s="87"/>
    </row>
    <row r="989" spans="1:16">
      <c r="A989" s="231"/>
      <c r="B989" s="135" t="s">
        <v>776</v>
      </c>
      <c r="C989" s="50">
        <v>90704</v>
      </c>
      <c r="H989" s="87"/>
      <c r="K989" s="87"/>
      <c r="P989" s="87"/>
    </row>
    <row r="990" spans="1:16">
      <c r="A990" s="231"/>
      <c r="B990" s="135" t="s">
        <v>2756</v>
      </c>
      <c r="C990" s="50">
        <v>91633</v>
      </c>
      <c r="H990" s="87"/>
      <c r="K990" s="87"/>
      <c r="P990" s="87"/>
    </row>
    <row r="991" spans="1:16">
      <c r="A991" s="231"/>
      <c r="B991" s="135" t="s">
        <v>2046</v>
      </c>
      <c r="C991" s="50">
        <v>90631</v>
      </c>
      <c r="H991" s="87"/>
      <c r="K991" s="87"/>
      <c r="P991" s="87"/>
    </row>
    <row r="992" spans="1:16">
      <c r="A992" s="231"/>
      <c r="B992" s="135" t="s">
        <v>2047</v>
      </c>
      <c r="C992" s="50">
        <v>90731</v>
      </c>
      <c r="H992" s="87"/>
      <c r="K992" s="87"/>
      <c r="P992" s="87"/>
    </row>
    <row r="993" spans="1:16">
      <c r="A993" s="231"/>
      <c r="B993" s="135" t="s">
        <v>1952</v>
      </c>
      <c r="C993" s="50">
        <v>93621</v>
      </c>
      <c r="H993" s="87"/>
      <c r="K993" s="87"/>
      <c r="P993" s="87"/>
    </row>
    <row r="994" spans="1:16">
      <c r="A994" s="231"/>
      <c r="B994" s="135" t="s">
        <v>1070</v>
      </c>
      <c r="C994" s="50">
        <v>93623</v>
      </c>
      <c r="H994" s="87"/>
      <c r="K994" s="87"/>
      <c r="P994" s="87"/>
    </row>
    <row r="995" spans="1:16">
      <c r="A995" s="231"/>
      <c r="B995" s="135" t="s">
        <v>2048</v>
      </c>
      <c r="C995" s="50">
        <v>91020</v>
      </c>
      <c r="H995" s="87"/>
      <c r="K995" s="87"/>
      <c r="P995" s="87"/>
    </row>
    <row r="996" spans="1:16">
      <c r="A996" s="231"/>
      <c r="B996" s="135" t="s">
        <v>2049</v>
      </c>
      <c r="C996" s="50">
        <v>95141</v>
      </c>
      <c r="H996" s="87"/>
      <c r="K996" s="87"/>
      <c r="P996" s="87"/>
    </row>
    <row r="997" spans="1:16">
      <c r="A997" s="231"/>
      <c r="B997" s="135" t="s">
        <v>1190</v>
      </c>
      <c r="C997" s="50">
        <v>95103</v>
      </c>
      <c r="H997" s="87"/>
      <c r="K997" s="87"/>
      <c r="P997" s="87"/>
    </row>
    <row r="998" spans="1:16">
      <c r="A998" s="231"/>
      <c r="B998" s="135" t="s">
        <v>2050</v>
      </c>
      <c r="C998" s="50">
        <v>93021</v>
      </c>
      <c r="H998" s="87"/>
      <c r="K998" s="87"/>
      <c r="P998" s="87"/>
    </row>
    <row r="999" spans="1:16">
      <c r="A999" s="231"/>
      <c r="B999" s="135" t="s">
        <v>784</v>
      </c>
      <c r="C999" s="50">
        <v>90801</v>
      </c>
      <c r="H999" s="87"/>
      <c r="K999" s="87"/>
      <c r="P999" s="87"/>
    </row>
    <row r="1000" spans="1:16">
      <c r="A1000" s="231"/>
      <c r="B1000" s="135" t="s">
        <v>785</v>
      </c>
      <c r="C1000" s="50">
        <v>90804</v>
      </c>
      <c r="H1000" s="87"/>
      <c r="K1000" s="87"/>
      <c r="P1000" s="87"/>
    </row>
    <row r="1001" spans="1:16">
      <c r="A1001" s="231"/>
      <c r="B1001" s="135" t="s">
        <v>787</v>
      </c>
      <c r="C1001" s="50">
        <v>90808</v>
      </c>
      <c r="H1001" s="87"/>
      <c r="K1001" s="87"/>
      <c r="P1001" s="87"/>
    </row>
    <row r="1002" spans="1:16">
      <c r="A1002" s="231"/>
      <c r="B1002" s="135" t="s">
        <v>1076</v>
      </c>
      <c r="C1002" s="50">
        <v>93671</v>
      </c>
      <c r="H1002" s="87"/>
      <c r="K1002" s="87"/>
      <c r="P1002" s="87"/>
    </row>
    <row r="1003" spans="1:16">
      <c r="A1003" s="231"/>
      <c r="B1003" s="135" t="s">
        <v>2776</v>
      </c>
      <c r="C1003" s="50">
        <v>93677</v>
      </c>
      <c r="H1003" s="87"/>
      <c r="K1003" s="87"/>
      <c r="P1003" s="87"/>
    </row>
    <row r="1004" spans="1:16">
      <c r="A1004" s="231"/>
      <c r="B1004" s="135" t="s">
        <v>2051</v>
      </c>
      <c r="C1004" s="231">
        <v>97441</v>
      </c>
      <c r="H1004" s="87"/>
      <c r="K1004" s="87"/>
      <c r="P1004" s="87"/>
    </row>
    <row r="1005" spans="1:16">
      <c r="A1005" s="231"/>
      <c r="B1005" s="135" t="s">
        <v>2052</v>
      </c>
      <c r="C1005" s="50">
        <v>93111</v>
      </c>
      <c r="H1005" s="87"/>
      <c r="K1005" s="87"/>
      <c r="P1005" s="87"/>
    </row>
    <row r="1006" spans="1:16">
      <c r="A1006" s="231"/>
      <c r="B1006" s="135" t="s">
        <v>2053</v>
      </c>
      <c r="C1006" s="50">
        <v>91111</v>
      </c>
      <c r="H1006" s="87"/>
      <c r="K1006" s="87"/>
      <c r="P1006" s="87"/>
    </row>
    <row r="1007" spans="1:16">
      <c r="A1007" s="231"/>
      <c r="B1007" s="135" t="s">
        <v>2054</v>
      </c>
      <c r="C1007" s="50">
        <v>96231</v>
      </c>
      <c r="H1007" s="87"/>
      <c r="K1007" s="87"/>
      <c r="P1007" s="87"/>
    </row>
    <row r="1008" spans="1:16">
      <c r="A1008" s="231"/>
      <c r="B1008" s="135" t="s">
        <v>2055</v>
      </c>
      <c r="C1008" s="53">
        <v>99831</v>
      </c>
      <c r="H1008" s="87"/>
      <c r="K1008" s="87"/>
      <c r="P1008" s="87"/>
    </row>
    <row r="1009" spans="1:16">
      <c r="A1009" s="231"/>
      <c r="B1009" s="135" t="s">
        <v>2056</v>
      </c>
      <c r="C1009" s="50">
        <v>91151</v>
      </c>
      <c r="H1009" s="87"/>
      <c r="K1009" s="87"/>
      <c r="P1009" s="87"/>
    </row>
    <row r="1010" spans="1:16">
      <c r="A1010" s="231"/>
      <c r="B1010" s="135" t="s">
        <v>844</v>
      </c>
      <c r="C1010" s="231">
        <v>91154</v>
      </c>
      <c r="H1010" s="87"/>
      <c r="K1010" s="87"/>
      <c r="P1010" s="87"/>
    </row>
    <row r="1011" spans="1:16">
      <c r="A1011" s="231"/>
      <c r="B1011" s="135" t="s">
        <v>792</v>
      </c>
      <c r="C1011" s="50">
        <v>90901</v>
      </c>
      <c r="H1011" s="87"/>
      <c r="K1011" s="87"/>
      <c r="P1011" s="87"/>
    </row>
    <row r="1012" spans="1:16">
      <c r="A1012" s="231"/>
      <c r="B1012" s="135" t="s">
        <v>2057</v>
      </c>
      <c r="C1012" s="50">
        <v>90941</v>
      </c>
      <c r="H1012" s="87"/>
      <c r="K1012" s="87"/>
      <c r="P1012" s="87"/>
    </row>
    <row r="1013" spans="1:16">
      <c r="A1013" s="231"/>
      <c r="B1013" s="135" t="s">
        <v>2058</v>
      </c>
      <c r="C1013" s="50">
        <v>99521</v>
      </c>
      <c r="H1013" s="87"/>
      <c r="K1013" s="87"/>
      <c r="P1013" s="87"/>
    </row>
    <row r="1014" spans="1:16">
      <c r="A1014" s="231"/>
      <c r="B1014" s="135" t="s">
        <v>1580</v>
      </c>
      <c r="C1014" s="50">
        <v>99527</v>
      </c>
      <c r="H1014" s="87"/>
      <c r="K1014" s="87"/>
      <c r="P1014" s="87"/>
    </row>
    <row r="1015" spans="1:16">
      <c r="A1015" s="231"/>
      <c r="B1015" s="135" t="s">
        <v>1576</v>
      </c>
      <c r="C1015" s="50">
        <v>99508</v>
      </c>
      <c r="H1015" s="87"/>
      <c r="K1015" s="87"/>
      <c r="P1015" s="87"/>
    </row>
    <row r="1016" spans="1:16">
      <c r="A1016" s="231"/>
      <c r="B1016" s="135" t="s">
        <v>1156</v>
      </c>
      <c r="C1016" s="50">
        <v>94532</v>
      </c>
      <c r="H1016" s="87"/>
      <c r="K1016" s="87"/>
      <c r="P1016" s="87"/>
    </row>
    <row r="1017" spans="1:16">
      <c r="A1017" s="231"/>
      <c r="B1017" s="135" t="s">
        <v>1953</v>
      </c>
      <c r="C1017" s="50">
        <v>91071</v>
      </c>
      <c r="H1017" s="87"/>
      <c r="K1017" s="87"/>
      <c r="P1017" s="87"/>
    </row>
    <row r="1018" spans="1:16">
      <c r="A1018" s="231"/>
      <c r="B1018" s="135" t="s">
        <v>826</v>
      </c>
      <c r="C1018" s="50">
        <v>91077</v>
      </c>
      <c r="H1018" s="87"/>
      <c r="K1018" s="87"/>
      <c r="P1018" s="87"/>
    </row>
    <row r="1019" spans="1:16">
      <c r="A1019" s="231"/>
      <c r="B1019" s="135" t="s">
        <v>2059</v>
      </c>
      <c r="C1019" s="50">
        <v>92331</v>
      </c>
      <c r="H1019" s="87"/>
      <c r="K1019" s="87"/>
      <c r="P1019" s="87"/>
    </row>
    <row r="1020" spans="1:16">
      <c r="A1020" s="231"/>
      <c r="B1020" s="135" t="s">
        <v>2060</v>
      </c>
      <c r="C1020" s="50">
        <v>92414</v>
      </c>
      <c r="H1020" s="87"/>
      <c r="K1020" s="87"/>
      <c r="P1020" s="87"/>
    </row>
    <row r="1021" spans="1:16">
      <c r="A1021" s="231"/>
      <c r="B1021" s="135" t="s">
        <v>2061</v>
      </c>
      <c r="C1021" s="50">
        <v>99511</v>
      </c>
      <c r="H1021" s="87"/>
      <c r="K1021" s="87"/>
      <c r="P1021" s="87"/>
    </row>
    <row r="1022" spans="1:16">
      <c r="A1022" s="231"/>
      <c r="B1022" s="135" t="s">
        <v>2062</v>
      </c>
      <c r="C1022" s="53">
        <v>99941</v>
      </c>
      <c r="H1022" s="87"/>
      <c r="K1022" s="87"/>
      <c r="P1022" s="87"/>
    </row>
    <row r="1023" spans="1:16">
      <c r="A1023" s="231"/>
      <c r="B1023" s="135" t="s">
        <v>1298</v>
      </c>
      <c r="C1023" s="50">
        <v>96405</v>
      </c>
      <c r="H1023" s="87"/>
      <c r="K1023" s="87"/>
      <c r="P1023" s="87"/>
    </row>
    <row r="1024" spans="1:16">
      <c r="A1024" s="231"/>
      <c r="B1024" s="135" t="s">
        <v>1954</v>
      </c>
      <c r="C1024" s="231">
        <v>98811</v>
      </c>
      <c r="H1024" s="87"/>
      <c r="K1024" s="87"/>
      <c r="P1024" s="87"/>
    </row>
    <row r="1025" spans="1:16">
      <c r="A1025" s="231"/>
      <c r="B1025" s="135" t="s">
        <v>1518</v>
      </c>
      <c r="C1025" s="50">
        <v>98817</v>
      </c>
      <c r="H1025" s="87"/>
      <c r="K1025" s="87"/>
      <c r="P1025" s="87"/>
    </row>
    <row r="1026" spans="1:16">
      <c r="A1026" s="231"/>
      <c r="B1026" s="135" t="s">
        <v>2063</v>
      </c>
      <c r="C1026" s="50">
        <v>92561</v>
      </c>
      <c r="H1026" s="87"/>
      <c r="K1026" s="87"/>
      <c r="P1026" s="87"/>
    </row>
    <row r="1027" spans="1:16">
      <c r="A1027" s="231"/>
      <c r="B1027" s="135" t="s">
        <v>1459</v>
      </c>
      <c r="C1027" s="50">
        <v>98102</v>
      </c>
      <c r="H1027" s="87"/>
      <c r="K1027" s="87"/>
      <c r="P1027" s="87"/>
    </row>
    <row r="1028" spans="1:16">
      <c r="A1028" s="231"/>
      <c r="B1028" s="135" t="s">
        <v>2064</v>
      </c>
      <c r="C1028" s="50">
        <v>95321</v>
      </c>
      <c r="H1028" s="87"/>
      <c r="K1028" s="87"/>
      <c r="P1028" s="87"/>
    </row>
    <row r="1029" spans="1:16">
      <c r="A1029" s="231"/>
      <c r="B1029" s="135" t="s">
        <v>2065</v>
      </c>
      <c r="C1029" s="50">
        <v>91861</v>
      </c>
      <c r="H1029" s="87"/>
      <c r="K1029" s="87"/>
      <c r="P1029" s="87"/>
    </row>
    <row r="1030" spans="1:16">
      <c r="A1030" s="231"/>
      <c r="B1030" s="135" t="s">
        <v>2066</v>
      </c>
      <c r="C1030" s="50">
        <v>92421</v>
      </c>
      <c r="H1030" s="87"/>
      <c r="K1030" s="87"/>
      <c r="P1030" s="87"/>
    </row>
    <row r="1031" spans="1:16">
      <c r="A1031" s="231"/>
      <c r="B1031" s="135" t="s">
        <v>799</v>
      </c>
      <c r="C1031" s="50">
        <v>91001</v>
      </c>
      <c r="H1031" s="87"/>
      <c r="K1031" s="87"/>
      <c r="P1031" s="87"/>
    </row>
    <row r="1032" spans="1:16">
      <c r="A1032" s="231"/>
      <c r="B1032" s="135" t="s">
        <v>802</v>
      </c>
      <c r="C1032" s="50">
        <v>91004</v>
      </c>
      <c r="H1032" s="87"/>
      <c r="K1032" s="87"/>
      <c r="P1032" s="87"/>
    </row>
    <row r="1033" spans="1:16">
      <c r="A1033" s="231"/>
      <c r="B1033" s="135" t="s">
        <v>2777</v>
      </c>
      <c r="C1033" s="50">
        <v>91006</v>
      </c>
      <c r="H1033" s="87"/>
      <c r="K1033" s="87"/>
      <c r="P1033" s="87"/>
    </row>
    <row r="1034" spans="1:16">
      <c r="A1034" s="231"/>
      <c r="B1034" s="135" t="s">
        <v>2778</v>
      </c>
      <c r="C1034" s="50">
        <v>91003</v>
      </c>
      <c r="H1034" s="87"/>
      <c r="K1034" s="87"/>
      <c r="P1034" s="87"/>
    </row>
    <row r="1035" spans="1:16">
      <c r="A1035" s="231"/>
      <c r="B1035" s="135" t="s">
        <v>806</v>
      </c>
      <c r="C1035" s="50">
        <v>91009</v>
      </c>
      <c r="H1035" s="87"/>
      <c r="K1035" s="87"/>
      <c r="P1035" s="87"/>
    </row>
    <row r="1036" spans="1:16">
      <c r="A1036" s="231"/>
      <c r="B1036" s="135" t="s">
        <v>819</v>
      </c>
      <c r="C1036" s="50">
        <v>91042</v>
      </c>
      <c r="H1036" s="87"/>
      <c r="K1036" s="87"/>
      <c r="P1036" s="87"/>
    </row>
    <row r="1037" spans="1:16">
      <c r="A1037" s="231"/>
      <c r="B1037" s="135" t="s">
        <v>2067</v>
      </c>
      <c r="C1037" s="50">
        <v>98711</v>
      </c>
      <c r="H1037" s="87"/>
      <c r="K1037" s="87"/>
      <c r="P1037" s="87"/>
    </row>
    <row r="1038" spans="1:16">
      <c r="A1038" s="231"/>
      <c r="B1038" s="135" t="s">
        <v>1515</v>
      </c>
      <c r="C1038" s="50">
        <v>98717</v>
      </c>
      <c r="H1038" s="87"/>
      <c r="K1038" s="87"/>
      <c r="P1038" s="87"/>
    </row>
    <row r="1039" spans="1:16">
      <c r="A1039" s="231"/>
      <c r="B1039" s="135" t="s">
        <v>829</v>
      </c>
      <c r="C1039" s="50">
        <v>91101</v>
      </c>
      <c r="H1039" s="87"/>
      <c r="K1039" s="87"/>
      <c r="P1039" s="87"/>
    </row>
    <row r="1040" spans="1:16">
      <c r="A1040" s="231"/>
      <c r="B1040" s="135" t="s">
        <v>2068</v>
      </c>
      <c r="C1040" s="50">
        <v>93531</v>
      </c>
      <c r="H1040" s="87"/>
      <c r="K1040" s="87"/>
      <c r="P1040" s="87"/>
    </row>
    <row r="1041" spans="1:16">
      <c r="A1041" s="231"/>
      <c r="B1041" s="135" t="s">
        <v>2751</v>
      </c>
      <c r="C1041" s="50">
        <v>93537</v>
      </c>
      <c r="H1041" s="87"/>
      <c r="K1041" s="87"/>
      <c r="P1041" s="87"/>
    </row>
    <row r="1042" spans="1:16">
      <c r="A1042" s="231"/>
      <c r="B1042" s="135" t="s">
        <v>2069</v>
      </c>
      <c r="C1042" s="50">
        <v>97111</v>
      </c>
      <c r="H1042" s="87"/>
      <c r="K1042" s="87"/>
      <c r="P1042" s="87"/>
    </row>
    <row r="1043" spans="1:16">
      <c r="A1043" s="231"/>
      <c r="B1043" s="135" t="s">
        <v>847</v>
      </c>
      <c r="C1043" s="50">
        <v>91201</v>
      </c>
      <c r="H1043" s="87"/>
      <c r="K1043" s="87"/>
      <c r="P1043" s="87"/>
    </row>
    <row r="1044" spans="1:16">
      <c r="A1044" s="231"/>
      <c r="B1044" s="135" t="s">
        <v>2779</v>
      </c>
      <c r="C1044" s="50">
        <v>91206</v>
      </c>
      <c r="H1044" s="87"/>
      <c r="K1044" s="87"/>
      <c r="P1044" s="87"/>
    </row>
    <row r="1045" spans="1:16">
      <c r="A1045" s="231"/>
      <c r="B1045" s="135" t="s">
        <v>2780</v>
      </c>
      <c r="C1045" s="50">
        <v>91203</v>
      </c>
      <c r="H1045" s="87"/>
      <c r="K1045" s="87"/>
      <c r="P1045" s="87"/>
    </row>
    <row r="1046" spans="1:16">
      <c r="A1046" s="231"/>
      <c r="B1046" s="135" t="s">
        <v>851</v>
      </c>
      <c r="C1046" s="50">
        <v>91208</v>
      </c>
      <c r="H1046" s="87"/>
      <c r="K1046" s="87"/>
      <c r="P1046" s="87"/>
    </row>
    <row r="1047" spans="1:16">
      <c r="A1047" s="231"/>
      <c r="B1047" s="135" t="s">
        <v>848</v>
      </c>
      <c r="C1047" s="50">
        <v>91202</v>
      </c>
      <c r="H1047" s="87"/>
      <c r="K1047" s="87"/>
      <c r="P1047" s="87"/>
    </row>
    <row r="1048" spans="1:16">
      <c r="A1048" s="231"/>
      <c r="B1048" s="135" t="s">
        <v>1955</v>
      </c>
      <c r="C1048" s="50">
        <v>90111</v>
      </c>
      <c r="H1048" s="87"/>
      <c r="K1048" s="87"/>
      <c r="P1048" s="87"/>
    </row>
    <row r="1049" spans="1:16">
      <c r="A1049" s="231"/>
      <c r="B1049" s="135" t="s">
        <v>2070</v>
      </c>
      <c r="C1049" s="231">
        <v>90011</v>
      </c>
      <c r="H1049" s="87"/>
      <c r="K1049" s="87"/>
      <c r="P1049" s="87"/>
    </row>
    <row r="1050" spans="1:16">
      <c r="A1050" s="231"/>
      <c r="B1050" s="135" t="s">
        <v>2071</v>
      </c>
      <c r="C1050" s="50">
        <v>93931</v>
      </c>
      <c r="H1050" s="87"/>
      <c r="K1050" s="87"/>
      <c r="P1050" s="87"/>
    </row>
    <row r="1051" spans="1:16">
      <c r="A1051" s="231"/>
      <c r="B1051" s="135" t="s">
        <v>862</v>
      </c>
      <c r="C1051" s="231">
        <v>91301</v>
      </c>
      <c r="H1051" s="87"/>
      <c r="K1051" s="87"/>
      <c r="P1051" s="87"/>
    </row>
    <row r="1052" spans="1:16">
      <c r="A1052" s="231"/>
      <c r="B1052" s="135" t="s">
        <v>2781</v>
      </c>
      <c r="C1052" s="50">
        <v>91306</v>
      </c>
      <c r="H1052" s="87"/>
      <c r="K1052" s="87"/>
      <c r="P1052" s="87"/>
    </row>
    <row r="1053" spans="1:16">
      <c r="A1053" s="231"/>
      <c r="B1053" s="135" t="s">
        <v>865</v>
      </c>
      <c r="C1053" s="50">
        <v>91308</v>
      </c>
      <c r="H1053" s="87"/>
      <c r="K1053" s="87"/>
      <c r="P1053" s="87"/>
    </row>
    <row r="1054" spans="1:16">
      <c r="A1054" s="231"/>
      <c r="B1054" s="135" t="s">
        <v>2072</v>
      </c>
      <c r="C1054" s="50">
        <v>91461</v>
      </c>
      <c r="H1054" s="87"/>
      <c r="K1054" s="87"/>
      <c r="P1054" s="87"/>
    </row>
    <row r="1055" spans="1:16">
      <c r="A1055" s="231"/>
      <c r="B1055" s="135" t="s">
        <v>2073</v>
      </c>
      <c r="C1055" s="50">
        <v>91010</v>
      </c>
      <c r="H1055" s="87"/>
      <c r="K1055" s="87"/>
      <c r="P1055" s="87"/>
    </row>
    <row r="1056" spans="1:16">
      <c r="A1056" s="231"/>
      <c r="B1056" s="135" t="s">
        <v>804</v>
      </c>
      <c r="C1056" s="50">
        <v>91007</v>
      </c>
      <c r="H1056" s="87"/>
      <c r="K1056" s="87"/>
      <c r="P1056" s="87"/>
    </row>
    <row r="1057" spans="1:16">
      <c r="A1057" s="231"/>
      <c r="B1057" s="135" t="s">
        <v>872</v>
      </c>
      <c r="C1057" s="50">
        <v>91401</v>
      </c>
      <c r="H1057" s="87"/>
      <c r="K1057" s="87"/>
      <c r="P1057" s="87"/>
    </row>
    <row r="1058" spans="1:16">
      <c r="A1058" s="231"/>
      <c r="B1058" s="135" t="s">
        <v>2074</v>
      </c>
      <c r="C1058" s="50">
        <v>93171</v>
      </c>
      <c r="H1058" s="87"/>
      <c r="K1058" s="87"/>
      <c r="P1058" s="87"/>
    </row>
    <row r="1059" spans="1:16">
      <c r="A1059" s="231"/>
      <c r="B1059" s="135" t="s">
        <v>882</v>
      </c>
      <c r="C1059" s="50">
        <v>91501</v>
      </c>
      <c r="H1059" s="87"/>
      <c r="K1059" s="87"/>
      <c r="P1059" s="87"/>
    </row>
    <row r="1060" spans="1:16">
      <c r="A1060" s="231"/>
      <c r="B1060" s="135" t="s">
        <v>883</v>
      </c>
      <c r="C1060" s="50">
        <v>91504</v>
      </c>
      <c r="H1060" s="87"/>
      <c r="K1060" s="87"/>
      <c r="P1060" s="87"/>
    </row>
    <row r="1061" spans="1:16">
      <c r="A1061" s="231"/>
      <c r="B1061" s="135" t="s">
        <v>2075</v>
      </c>
      <c r="C1061" s="50">
        <v>96312</v>
      </c>
      <c r="H1061" s="87"/>
      <c r="K1061" s="87"/>
      <c r="P1061" s="87"/>
    </row>
    <row r="1062" spans="1:16">
      <c r="A1062" s="231"/>
      <c r="B1062" s="135" t="s">
        <v>2076</v>
      </c>
      <c r="C1062" s="50">
        <v>96241</v>
      </c>
      <c r="H1062" s="87"/>
      <c r="K1062" s="87"/>
      <c r="P1062" s="87"/>
    </row>
    <row r="1063" spans="1:16">
      <c r="A1063" s="231"/>
      <c r="B1063" s="135" t="s">
        <v>2077</v>
      </c>
      <c r="C1063" s="50">
        <v>94431</v>
      </c>
      <c r="H1063" s="87"/>
      <c r="K1063" s="87"/>
      <c r="P1063" s="87"/>
    </row>
    <row r="1064" spans="1:16">
      <c r="A1064" s="231"/>
      <c r="B1064" s="135" t="s">
        <v>1148</v>
      </c>
      <c r="C1064" s="50">
        <v>94437</v>
      </c>
      <c r="H1064" s="87"/>
      <c r="K1064" s="87"/>
      <c r="P1064" s="87"/>
    </row>
    <row r="1065" spans="1:16">
      <c r="A1065" s="231"/>
      <c r="B1065" s="135" t="s">
        <v>2078</v>
      </c>
      <c r="C1065" s="50">
        <v>91671</v>
      </c>
      <c r="H1065" s="87"/>
      <c r="K1065" s="87"/>
      <c r="P1065" s="87"/>
    </row>
    <row r="1066" spans="1:16">
      <c r="A1066" s="231"/>
      <c r="B1066" s="135" t="s">
        <v>805</v>
      </c>
      <c r="C1066" s="50">
        <v>91008</v>
      </c>
      <c r="H1066" s="87"/>
      <c r="K1066" s="87"/>
      <c r="P1066" s="87"/>
    </row>
    <row r="1067" spans="1:16">
      <c r="A1067" s="231"/>
      <c r="B1067" s="135" t="s">
        <v>1312</v>
      </c>
      <c r="C1067" s="50">
        <v>96512</v>
      </c>
      <c r="H1067" s="87"/>
      <c r="K1067" s="87"/>
      <c r="P1067" s="87"/>
    </row>
    <row r="1068" spans="1:16">
      <c r="A1068" s="231"/>
      <c r="B1068" s="135" t="s">
        <v>1309</v>
      </c>
      <c r="C1068" s="50">
        <v>96507</v>
      </c>
      <c r="H1068" s="87"/>
      <c r="K1068" s="87"/>
      <c r="P1068" s="87"/>
    </row>
    <row r="1069" spans="1:16">
      <c r="A1069" s="231"/>
      <c r="B1069" s="135" t="s">
        <v>1640</v>
      </c>
      <c r="C1069" s="50">
        <v>91015</v>
      </c>
      <c r="H1069" s="87"/>
      <c r="K1069" s="87"/>
      <c r="P1069" s="87"/>
    </row>
    <row r="1070" spans="1:16">
      <c r="A1070" s="231"/>
      <c r="B1070" s="135" t="s">
        <v>2079</v>
      </c>
      <c r="C1070" s="50">
        <v>96521</v>
      </c>
      <c r="H1070" s="87"/>
      <c r="K1070" s="87"/>
      <c r="P1070" s="87"/>
    </row>
    <row r="1071" spans="1:16">
      <c r="A1071" s="231"/>
      <c r="B1071" s="135" t="s">
        <v>2080</v>
      </c>
      <c r="C1071" s="50">
        <v>91024</v>
      </c>
      <c r="H1071" s="87"/>
      <c r="K1071" s="87"/>
      <c r="P1071" s="87"/>
    </row>
    <row r="1072" spans="1:16">
      <c r="A1072" s="231"/>
      <c r="B1072" s="135" t="s">
        <v>2081</v>
      </c>
      <c r="C1072" s="50">
        <v>96821</v>
      </c>
      <c r="H1072" s="87"/>
      <c r="K1072" s="87"/>
      <c r="P1072" s="87"/>
    </row>
    <row r="1073" spans="1:16">
      <c r="A1073" s="231"/>
      <c r="B1073" s="135" t="s">
        <v>884</v>
      </c>
      <c r="C1073" s="50">
        <v>91601</v>
      </c>
      <c r="H1073" s="87"/>
      <c r="K1073" s="87"/>
      <c r="P1073" s="87"/>
    </row>
    <row r="1074" spans="1:16">
      <c r="A1074" s="53"/>
      <c r="B1074" s="135" t="s">
        <v>885</v>
      </c>
      <c r="C1074" s="50">
        <v>91604</v>
      </c>
      <c r="H1074" s="87"/>
      <c r="K1074" s="87"/>
      <c r="P1074" s="87"/>
    </row>
    <row r="1075" spans="1:16">
      <c r="A1075" s="53"/>
      <c r="B1075" s="135" t="s">
        <v>2082</v>
      </c>
      <c r="C1075" s="50">
        <v>96391</v>
      </c>
      <c r="H1075" s="87"/>
      <c r="K1075" s="87"/>
      <c r="P1075" s="87"/>
    </row>
    <row r="1076" spans="1:16">
      <c r="A1076" s="53"/>
      <c r="B1076" s="135" t="s">
        <v>2083</v>
      </c>
      <c r="C1076" s="50">
        <v>99221</v>
      </c>
      <c r="H1076" s="87"/>
      <c r="K1076" s="87"/>
      <c r="P1076" s="87"/>
    </row>
    <row r="1077" spans="1:16">
      <c r="A1077" s="231"/>
      <c r="B1077" s="135" t="s">
        <v>2084</v>
      </c>
      <c r="C1077" s="50">
        <v>91051</v>
      </c>
      <c r="H1077" s="87"/>
      <c r="K1077" s="87"/>
      <c r="P1077" s="87"/>
    </row>
    <row r="1078" spans="1:16">
      <c r="A1078" s="231"/>
      <c r="B1078" s="135" t="s">
        <v>897</v>
      </c>
      <c r="C1078" s="50">
        <v>91701</v>
      </c>
      <c r="H1078" s="87"/>
      <c r="K1078" s="87"/>
      <c r="P1078" s="87"/>
    </row>
    <row r="1079" spans="1:16">
      <c r="A1079" s="231"/>
      <c r="B1079" s="135" t="s">
        <v>898</v>
      </c>
      <c r="C1079" s="50">
        <v>91704</v>
      </c>
      <c r="H1079" s="87"/>
      <c r="K1079" s="87"/>
      <c r="P1079" s="87"/>
    </row>
    <row r="1080" spans="1:16">
      <c r="A1080" s="231"/>
      <c r="B1080" s="135" t="s">
        <v>2782</v>
      </c>
      <c r="C1080" s="50">
        <v>91706</v>
      </c>
      <c r="H1080" s="87"/>
      <c r="K1080" s="87"/>
      <c r="P1080" s="87"/>
    </row>
    <row r="1081" spans="1:16">
      <c r="A1081" s="231"/>
      <c r="B1081" s="135" t="s">
        <v>2085</v>
      </c>
      <c r="C1081" s="50">
        <v>91881</v>
      </c>
      <c r="H1081" s="87"/>
      <c r="K1081" s="87"/>
      <c r="P1081" s="87"/>
    </row>
    <row r="1082" spans="1:16">
      <c r="A1082" s="231"/>
      <c r="B1082" s="135" t="s">
        <v>901</v>
      </c>
      <c r="C1082" s="50">
        <v>91801</v>
      </c>
      <c r="H1082" s="87"/>
      <c r="K1082" s="87"/>
      <c r="P1082" s="87"/>
    </row>
    <row r="1083" spans="1:16">
      <c r="A1083" s="231"/>
      <c r="B1083" s="135" t="s">
        <v>902</v>
      </c>
      <c r="C1083" s="50">
        <v>91804</v>
      </c>
      <c r="H1083" s="87"/>
      <c r="K1083" s="87"/>
      <c r="P1083" s="87"/>
    </row>
    <row r="1084" spans="1:16">
      <c r="A1084" s="231"/>
      <c r="B1084" s="135" t="s">
        <v>2086</v>
      </c>
      <c r="C1084" s="50">
        <v>91691</v>
      </c>
      <c r="H1084" s="87"/>
      <c r="K1084" s="87"/>
      <c r="P1084" s="87"/>
    </row>
    <row r="1085" spans="1:16">
      <c r="A1085" s="231"/>
      <c r="B1085" s="135" t="s">
        <v>1554</v>
      </c>
      <c r="C1085" s="50">
        <v>99222</v>
      </c>
      <c r="H1085" s="87"/>
      <c r="K1085" s="87"/>
      <c r="P1085" s="87"/>
    </row>
    <row r="1086" spans="1:16">
      <c r="A1086" s="231"/>
      <c r="B1086" s="135" t="s">
        <v>1043</v>
      </c>
      <c r="C1086" s="50">
        <v>93408</v>
      </c>
      <c r="H1086" s="87"/>
      <c r="K1086" s="87"/>
      <c r="P1086" s="87"/>
    </row>
    <row r="1087" spans="1:16">
      <c r="A1087" s="231"/>
      <c r="B1087" s="135" t="s">
        <v>1258</v>
      </c>
      <c r="C1087" s="50">
        <v>96009</v>
      </c>
      <c r="H1087" s="87"/>
      <c r="K1087" s="87"/>
      <c r="P1087" s="87"/>
    </row>
    <row r="1088" spans="1:16">
      <c r="A1088" s="231"/>
      <c r="B1088" s="135" t="s">
        <v>2087</v>
      </c>
      <c r="C1088" s="50">
        <v>92441</v>
      </c>
      <c r="H1088" s="87"/>
      <c r="K1088" s="87"/>
      <c r="P1088" s="87"/>
    </row>
    <row r="1089" spans="1:16">
      <c r="A1089" s="231"/>
      <c r="B1089" s="135" t="s">
        <v>2088</v>
      </c>
      <c r="C1089" s="50">
        <v>96811</v>
      </c>
      <c r="H1089" s="87"/>
      <c r="K1089" s="87"/>
      <c r="P1089" s="87"/>
    </row>
    <row r="1090" spans="1:16">
      <c r="A1090" s="231"/>
      <c r="B1090" s="135" t="s">
        <v>1956</v>
      </c>
      <c r="C1090" s="50">
        <v>96011</v>
      </c>
      <c r="H1090" s="87"/>
      <c r="K1090" s="87"/>
      <c r="P1090" s="87"/>
    </row>
    <row r="1091" spans="1:16">
      <c r="A1091" s="231"/>
      <c r="B1091" s="135" t="s">
        <v>1261</v>
      </c>
      <c r="C1091" s="50">
        <v>96018</v>
      </c>
      <c r="H1091" s="87"/>
      <c r="K1091" s="87"/>
      <c r="P1091" s="87"/>
    </row>
    <row r="1092" spans="1:16">
      <c r="A1092" s="231"/>
      <c r="B1092" s="135" t="s">
        <v>1254</v>
      </c>
      <c r="C1092" s="50">
        <v>96003</v>
      </c>
      <c r="H1092" s="87"/>
      <c r="K1092" s="87"/>
      <c r="P1092" s="87"/>
    </row>
    <row r="1093" spans="1:16">
      <c r="A1093" s="231"/>
      <c r="B1093" s="135" t="s">
        <v>1256</v>
      </c>
      <c r="C1093" s="50">
        <v>96005</v>
      </c>
      <c r="H1093" s="87"/>
      <c r="K1093" s="87"/>
      <c r="P1093" s="87"/>
    </row>
    <row r="1094" spans="1:16">
      <c r="A1094" s="231"/>
      <c r="B1094" s="135" t="s">
        <v>1260</v>
      </c>
      <c r="C1094" s="50">
        <v>96012</v>
      </c>
      <c r="H1094" s="87"/>
      <c r="K1094" s="87"/>
      <c r="P1094" s="87"/>
    </row>
    <row r="1095" spans="1:16">
      <c r="A1095" s="231"/>
      <c r="B1095" s="135" t="s">
        <v>915</v>
      </c>
      <c r="C1095" s="50">
        <v>91901</v>
      </c>
      <c r="H1095" s="87"/>
      <c r="K1095" s="87"/>
      <c r="P1095" s="87"/>
    </row>
    <row r="1096" spans="1:16">
      <c r="A1096" s="231"/>
      <c r="B1096" s="135" t="s">
        <v>917</v>
      </c>
      <c r="C1096" s="50">
        <v>91904</v>
      </c>
      <c r="H1096" s="87"/>
      <c r="K1096" s="87"/>
      <c r="P1096" s="87"/>
    </row>
    <row r="1097" spans="1:16">
      <c r="A1097" s="231"/>
      <c r="B1097" s="135" t="s">
        <v>2783</v>
      </c>
      <c r="C1097" s="50">
        <v>91903</v>
      </c>
      <c r="H1097" s="87"/>
      <c r="K1097" s="87"/>
      <c r="P1097" s="87"/>
    </row>
    <row r="1098" spans="1:16">
      <c r="A1098" s="231"/>
      <c r="B1098" s="135" t="s">
        <v>922</v>
      </c>
      <c r="C1098" s="50">
        <v>92001</v>
      </c>
      <c r="H1098" s="87"/>
      <c r="K1098" s="87"/>
      <c r="P1098" s="87"/>
    </row>
    <row r="1099" spans="1:16">
      <c r="A1099" s="231"/>
      <c r="B1099" s="135" t="s">
        <v>1957</v>
      </c>
      <c r="C1099" s="50">
        <v>93641</v>
      </c>
      <c r="H1099" s="87"/>
      <c r="K1099" s="87"/>
      <c r="P1099" s="87"/>
    </row>
    <row r="1100" spans="1:16">
      <c r="A1100" s="231"/>
      <c r="B1100" s="135" t="s">
        <v>1073</v>
      </c>
      <c r="C1100" s="231">
        <v>93647</v>
      </c>
      <c r="H1100" s="87"/>
      <c r="K1100" s="87"/>
      <c r="P1100" s="87"/>
    </row>
    <row r="1101" spans="1:16">
      <c r="A1101" s="231"/>
      <c r="B1101" s="135" t="s">
        <v>2089</v>
      </c>
      <c r="C1101" s="50">
        <v>98041</v>
      </c>
      <c r="H1101" s="87"/>
      <c r="K1101" s="87"/>
      <c r="P1101" s="87"/>
    </row>
    <row r="1102" spans="1:16">
      <c r="A1102" s="231"/>
      <c r="B1102" s="135" t="s">
        <v>2767</v>
      </c>
      <c r="C1102" s="50">
        <v>96612</v>
      </c>
      <c r="H1102" s="87"/>
      <c r="K1102" s="87"/>
      <c r="P1102" s="87"/>
    </row>
    <row r="1103" spans="1:16">
      <c r="A1103" s="231"/>
      <c r="B1103" s="135" t="s">
        <v>2090</v>
      </c>
      <c r="C1103" s="50">
        <v>90751</v>
      </c>
      <c r="H1103" s="87"/>
      <c r="K1103" s="87"/>
      <c r="P1103" s="87"/>
    </row>
    <row r="1104" spans="1:16">
      <c r="A1104" s="231"/>
      <c r="B1104" s="135" t="s">
        <v>927</v>
      </c>
      <c r="C1104" s="50">
        <v>92101</v>
      </c>
      <c r="H1104" s="87"/>
      <c r="K1104" s="87"/>
      <c r="P1104" s="87"/>
    </row>
    <row r="1105" spans="1:16">
      <c r="A1105" s="231"/>
      <c r="B1105" s="135" t="s">
        <v>928</v>
      </c>
      <c r="C1105" s="50">
        <v>92104</v>
      </c>
      <c r="H1105" s="87"/>
      <c r="K1105" s="87"/>
      <c r="P1105" s="87"/>
    </row>
    <row r="1106" spans="1:16">
      <c r="A1106" s="231"/>
      <c r="B1106" s="135" t="s">
        <v>1958</v>
      </c>
      <c r="C1106" s="50">
        <v>91821</v>
      </c>
      <c r="H1106" s="87"/>
      <c r="K1106" s="87"/>
      <c r="P1106" s="87"/>
    </row>
    <row r="1107" spans="1:16">
      <c r="A1107" s="231"/>
      <c r="B1107" s="135" t="s">
        <v>2091</v>
      </c>
      <c r="C1107" s="231">
        <v>90931</v>
      </c>
      <c r="H1107" s="87"/>
      <c r="K1107" s="87"/>
      <c r="P1107" s="87"/>
    </row>
    <row r="1108" spans="1:16">
      <c r="A1108" s="231"/>
      <c r="B1108" s="135" t="s">
        <v>932</v>
      </c>
      <c r="C1108" s="50">
        <v>92201</v>
      </c>
      <c r="H1108" s="87"/>
      <c r="K1108" s="87"/>
      <c r="P1108" s="87"/>
    </row>
    <row r="1109" spans="1:16">
      <c r="A1109" s="231"/>
      <c r="B1109" s="254" t="s">
        <v>1931</v>
      </c>
      <c r="C1109" s="50">
        <v>92214</v>
      </c>
      <c r="H1109" s="87"/>
      <c r="K1109" s="87"/>
      <c r="P1109" s="87"/>
    </row>
    <row r="1110" spans="1:16">
      <c r="A1110" s="231"/>
      <c r="B1110" s="135" t="s">
        <v>2092</v>
      </c>
      <c r="C1110" s="50">
        <v>95131</v>
      </c>
      <c r="H1110" s="87"/>
      <c r="K1110" s="87"/>
      <c r="P1110" s="87"/>
    </row>
    <row r="1111" spans="1:16">
      <c r="A1111" s="231"/>
      <c r="B1111" s="135" t="s">
        <v>2501</v>
      </c>
      <c r="C1111" s="50">
        <v>93441</v>
      </c>
      <c r="H1111" s="87"/>
      <c r="K1111" s="87"/>
      <c r="P1111" s="87"/>
    </row>
    <row r="1112" spans="1:16">
      <c r="A1112" s="231"/>
      <c r="B1112" s="135" t="s">
        <v>1050</v>
      </c>
      <c r="C1112" s="50">
        <v>93442</v>
      </c>
      <c r="H1112" s="87"/>
      <c r="K1112" s="87"/>
      <c r="P1112" s="87"/>
    </row>
    <row r="1113" spans="1:16">
      <c r="A1113" s="231"/>
      <c r="B1113" s="135" t="s">
        <v>2093</v>
      </c>
      <c r="C1113" s="50">
        <v>98091</v>
      </c>
      <c r="H1113" s="87"/>
      <c r="K1113" s="87"/>
      <c r="P1113" s="87"/>
    </row>
    <row r="1114" spans="1:16">
      <c r="A1114" s="231"/>
      <c r="B1114" s="135" t="s">
        <v>933</v>
      </c>
      <c r="C1114" s="50">
        <v>92301</v>
      </c>
      <c r="H1114" s="87"/>
      <c r="K1114" s="87"/>
      <c r="P1114" s="87"/>
    </row>
    <row r="1115" spans="1:16">
      <c r="A1115" s="231"/>
      <c r="B1115" s="135" t="s">
        <v>934</v>
      </c>
      <c r="C1115" s="50">
        <v>92302</v>
      </c>
      <c r="H1115" s="87"/>
      <c r="K1115" s="87"/>
      <c r="P1115" s="87"/>
    </row>
    <row r="1116" spans="1:16">
      <c r="A1116" s="231"/>
      <c r="B1116" s="135" t="s">
        <v>1959</v>
      </c>
      <c r="C1116" s="50">
        <v>98211</v>
      </c>
      <c r="H1116" s="87"/>
      <c r="K1116" s="87"/>
      <c r="P1116" s="87"/>
    </row>
    <row r="1117" spans="1:16">
      <c r="A1117" s="231"/>
      <c r="B1117" s="135" t="s">
        <v>1473</v>
      </c>
      <c r="C1117" s="50">
        <v>98218</v>
      </c>
      <c r="H1117" s="87"/>
      <c r="K1117" s="87"/>
      <c r="P1117" s="87"/>
    </row>
    <row r="1118" spans="1:16">
      <c r="A1118" s="231"/>
      <c r="B1118" s="135" t="s">
        <v>957</v>
      </c>
      <c r="C1118" s="50">
        <v>92506</v>
      </c>
      <c r="H1118" s="87"/>
      <c r="K1118" s="87"/>
      <c r="P1118" s="87"/>
    </row>
    <row r="1119" spans="1:16">
      <c r="A1119" s="231"/>
      <c r="B1119" s="135" t="s">
        <v>2760</v>
      </c>
      <c r="C1119" s="50">
        <v>92508</v>
      </c>
      <c r="H1119" s="87"/>
      <c r="K1119" s="87"/>
      <c r="P1119" s="87"/>
    </row>
    <row r="1120" spans="1:16">
      <c r="A1120" s="231"/>
      <c r="B1120" s="135" t="s">
        <v>1619</v>
      </c>
      <c r="C1120" s="50">
        <v>96519</v>
      </c>
      <c r="H1120" s="87"/>
      <c r="K1120" s="87"/>
      <c r="P1120" s="87"/>
    </row>
    <row r="1121" spans="1:16">
      <c r="A1121" s="231"/>
      <c r="B1121" s="135" t="s">
        <v>2094</v>
      </c>
      <c r="C1121" s="50">
        <v>94341</v>
      </c>
      <c r="H1121" s="87"/>
      <c r="K1121" s="87"/>
      <c r="P1121" s="87"/>
    </row>
    <row r="1122" spans="1:16">
      <c r="A1122" s="231"/>
      <c r="B1122" s="135" t="s">
        <v>2095</v>
      </c>
      <c r="C1122" s="50">
        <v>94641</v>
      </c>
      <c r="H1122" s="87"/>
      <c r="K1122" s="87"/>
      <c r="P1122" s="87"/>
    </row>
    <row r="1123" spans="1:16">
      <c r="A1123" s="231"/>
      <c r="B1123" s="135" t="s">
        <v>2096</v>
      </c>
      <c r="C1123" s="50">
        <v>90813</v>
      </c>
      <c r="H1123" s="87"/>
      <c r="K1123" s="87"/>
      <c r="P1123" s="87"/>
    </row>
    <row r="1124" spans="1:16">
      <c r="A1124" s="231"/>
      <c r="B1124" s="135" t="s">
        <v>1116</v>
      </c>
      <c r="C1124" s="231">
        <v>94168</v>
      </c>
      <c r="H1124" s="87"/>
      <c r="K1124" s="87"/>
      <c r="P1124" s="87"/>
    </row>
    <row r="1125" spans="1:16">
      <c r="A1125" s="231"/>
      <c r="B1125" s="135" t="s">
        <v>2097</v>
      </c>
      <c r="C1125" s="50">
        <v>98911</v>
      </c>
      <c r="H1125" s="87"/>
      <c r="K1125" s="87"/>
      <c r="P1125" s="87"/>
    </row>
    <row r="1126" spans="1:16">
      <c r="A1126" s="231"/>
      <c r="B1126" s="135" t="s">
        <v>2098</v>
      </c>
      <c r="C1126" s="50">
        <v>97521</v>
      </c>
      <c r="H1126" s="87"/>
      <c r="K1126" s="87"/>
      <c r="P1126" s="87"/>
    </row>
    <row r="1127" spans="1:16">
      <c r="A1127" s="231"/>
      <c r="B1127" s="135" t="s">
        <v>1641</v>
      </c>
      <c r="C1127" s="50">
        <v>97527</v>
      </c>
      <c r="H1127" s="87"/>
      <c r="K1127" s="87"/>
      <c r="P1127" s="87"/>
    </row>
    <row r="1128" spans="1:16">
      <c r="A1128" s="231"/>
      <c r="B1128" s="135" t="s">
        <v>942</v>
      </c>
      <c r="C1128" s="50">
        <v>92401</v>
      </c>
      <c r="H1128" s="87"/>
      <c r="K1128" s="87"/>
      <c r="P1128" s="87"/>
    </row>
    <row r="1129" spans="1:16">
      <c r="A1129" s="231"/>
      <c r="B1129" s="135" t="s">
        <v>1960</v>
      </c>
      <c r="C1129" s="50">
        <v>91311</v>
      </c>
      <c r="H1129" s="87"/>
      <c r="K1129" s="87"/>
      <c r="P1129" s="87"/>
    </row>
    <row r="1130" spans="1:16">
      <c r="A1130" s="231"/>
      <c r="B1130" s="135" t="s">
        <v>867</v>
      </c>
      <c r="C1130" s="50">
        <v>91317</v>
      </c>
      <c r="H1130" s="87"/>
      <c r="K1130" s="87"/>
      <c r="P1130" s="87"/>
    </row>
    <row r="1131" spans="1:16">
      <c r="A1131" s="231"/>
      <c r="B1131" s="135" t="s">
        <v>2099</v>
      </c>
      <c r="C1131" s="50">
        <v>91261</v>
      </c>
      <c r="H1131" s="87"/>
      <c r="K1131" s="87"/>
      <c r="P1131" s="87"/>
    </row>
    <row r="1132" spans="1:16">
      <c r="A1132" s="231"/>
      <c r="B1132" s="135" t="s">
        <v>2100</v>
      </c>
      <c r="C1132" s="50">
        <v>91851</v>
      </c>
      <c r="H1132" s="87"/>
      <c r="K1132" s="87"/>
      <c r="P1132" s="87"/>
    </row>
    <row r="1133" spans="1:16">
      <c r="A1133" s="231"/>
      <c r="B1133" s="135" t="s">
        <v>1374</v>
      </c>
      <c r="C1133" s="50">
        <v>97408</v>
      </c>
      <c r="H1133" s="87"/>
      <c r="K1133" s="87"/>
      <c r="P1133" s="87"/>
    </row>
    <row r="1134" spans="1:16">
      <c r="A1134" s="231"/>
      <c r="B1134" s="135" t="s">
        <v>2101</v>
      </c>
      <c r="C1134" s="50">
        <v>96641</v>
      </c>
      <c r="H1134" s="87"/>
      <c r="K1134" s="87"/>
      <c r="P1134" s="87"/>
    </row>
    <row r="1135" spans="1:16">
      <c r="A1135" s="231"/>
      <c r="B1135" s="135" t="s">
        <v>2102</v>
      </c>
      <c r="C1135" s="50">
        <v>93031</v>
      </c>
      <c r="H1135" s="87"/>
      <c r="K1135" s="87"/>
      <c r="P1135" s="87"/>
    </row>
    <row r="1136" spans="1:16">
      <c r="A1136" s="231"/>
      <c r="B1136" s="135" t="s">
        <v>1005</v>
      </c>
      <c r="C1136" s="50">
        <v>93027</v>
      </c>
      <c r="H1136" s="87"/>
      <c r="K1136" s="87"/>
      <c r="P1136" s="87"/>
    </row>
    <row r="1137" spans="1:16">
      <c r="A1137" s="231"/>
      <c r="B1137" s="135" t="s">
        <v>2103</v>
      </c>
      <c r="C1137" s="50">
        <v>96051</v>
      </c>
      <c r="H1137" s="87"/>
      <c r="K1137" s="87"/>
      <c r="P1137" s="87"/>
    </row>
    <row r="1138" spans="1:16">
      <c r="A1138" s="231"/>
      <c r="B1138" s="135" t="s">
        <v>2104</v>
      </c>
      <c r="C1138" s="50">
        <v>92571</v>
      </c>
      <c r="H1138" s="87"/>
      <c r="K1138" s="87"/>
      <c r="P1138" s="87"/>
    </row>
    <row r="1139" spans="1:16">
      <c r="A1139" s="231"/>
      <c r="B1139" s="135" t="s">
        <v>2105</v>
      </c>
      <c r="C1139" s="50">
        <v>93631</v>
      </c>
      <c r="H1139" s="87"/>
      <c r="K1139" s="87"/>
      <c r="P1139" s="87"/>
    </row>
    <row r="1140" spans="1:16">
      <c r="A1140" s="231"/>
      <c r="B1140" s="254" t="s">
        <v>1932</v>
      </c>
      <c r="C1140" s="50">
        <v>93604</v>
      </c>
      <c r="H1140" s="87"/>
      <c r="K1140" s="87"/>
      <c r="P1140" s="87"/>
    </row>
    <row r="1141" spans="1:16">
      <c r="A1141" s="231"/>
      <c r="B1141" s="135" t="s">
        <v>955</v>
      </c>
      <c r="C1141" s="50">
        <v>92504</v>
      </c>
      <c r="H1141" s="87"/>
      <c r="K1141" s="87"/>
      <c r="P1141" s="87"/>
    </row>
    <row r="1142" spans="1:16">
      <c r="A1142" s="231"/>
      <c r="B1142" s="135" t="s">
        <v>953</v>
      </c>
      <c r="C1142" s="50">
        <v>92501</v>
      </c>
      <c r="H1142" s="87"/>
      <c r="K1142" s="87"/>
      <c r="P1142" s="87"/>
    </row>
    <row r="1143" spans="1:16">
      <c r="A1143" s="231"/>
      <c r="B1143" s="135" t="s">
        <v>956</v>
      </c>
      <c r="C1143" s="50">
        <v>92505</v>
      </c>
      <c r="H1143" s="87"/>
      <c r="K1143" s="87"/>
      <c r="P1143" s="87"/>
    </row>
    <row r="1144" spans="1:16">
      <c r="A1144" s="231"/>
      <c r="B1144" s="135" t="s">
        <v>1961</v>
      </c>
      <c r="C1144" s="50">
        <v>93921</v>
      </c>
      <c r="H1144" s="87"/>
      <c r="K1144" s="87"/>
      <c r="P1144" s="87"/>
    </row>
    <row r="1145" spans="1:16">
      <c r="A1145" s="231"/>
      <c r="B1145" s="135" t="s">
        <v>2106</v>
      </c>
      <c r="C1145" s="50">
        <v>99431</v>
      </c>
      <c r="H1145" s="87"/>
      <c r="K1145" s="87"/>
      <c r="P1145" s="87"/>
    </row>
    <row r="1146" spans="1:16">
      <c r="A1146" s="231"/>
      <c r="B1146" s="135" t="s">
        <v>970</v>
      </c>
      <c r="C1146" s="50">
        <v>92604</v>
      </c>
      <c r="H1146" s="87"/>
      <c r="K1146" s="87"/>
      <c r="P1146" s="87"/>
    </row>
    <row r="1147" spans="1:16">
      <c r="A1147" s="231"/>
      <c r="B1147" s="135" t="s">
        <v>968</v>
      </c>
      <c r="C1147" s="50">
        <v>92601</v>
      </c>
      <c r="H1147" s="87"/>
      <c r="K1147" s="87"/>
      <c r="P1147" s="87"/>
    </row>
    <row r="1148" spans="1:16">
      <c r="A1148" s="231"/>
      <c r="B1148" s="135" t="s">
        <v>972</v>
      </c>
      <c r="C1148" s="50">
        <v>92608</v>
      </c>
      <c r="H1148" s="87"/>
      <c r="K1148" s="87"/>
      <c r="P1148" s="87"/>
    </row>
    <row r="1149" spans="1:16">
      <c r="A1149" s="231"/>
      <c r="B1149" s="135" t="s">
        <v>984</v>
      </c>
      <c r="C1149" s="50">
        <v>92704</v>
      </c>
      <c r="H1149" s="87"/>
      <c r="K1149" s="87"/>
      <c r="P1149" s="87"/>
    </row>
    <row r="1150" spans="1:16">
      <c r="A1150" s="231"/>
      <c r="B1150" s="135" t="s">
        <v>983</v>
      </c>
      <c r="C1150" s="50">
        <v>92701</v>
      </c>
      <c r="H1150" s="87"/>
      <c r="K1150" s="87"/>
      <c r="P1150" s="87"/>
    </row>
    <row r="1151" spans="1:16">
      <c r="A1151" s="231"/>
      <c r="B1151" s="135" t="s">
        <v>2107</v>
      </c>
      <c r="C1151" s="50">
        <v>93651</v>
      </c>
      <c r="H1151" s="87"/>
      <c r="K1151" s="87"/>
      <c r="P1151" s="87"/>
    </row>
    <row r="1152" spans="1:16">
      <c r="A1152" s="231"/>
      <c r="B1152" s="135" t="s">
        <v>985</v>
      </c>
      <c r="C1152" s="50">
        <v>92801</v>
      </c>
      <c r="H1152" s="87"/>
      <c r="K1152" s="87"/>
      <c r="P1152" s="87"/>
    </row>
    <row r="1153" spans="1:16">
      <c r="A1153" s="231"/>
      <c r="B1153" s="135" t="s">
        <v>987</v>
      </c>
      <c r="C1153" s="50">
        <v>92804</v>
      </c>
      <c r="H1153" s="87"/>
      <c r="K1153" s="87"/>
      <c r="P1153" s="87"/>
    </row>
    <row r="1154" spans="1:16">
      <c r="A1154" s="231"/>
      <c r="B1154" s="135" t="s">
        <v>986</v>
      </c>
      <c r="C1154" s="50">
        <v>92802</v>
      </c>
      <c r="H1154" s="87"/>
      <c r="K1154" s="87"/>
      <c r="P1154" s="87"/>
    </row>
    <row r="1155" spans="1:16">
      <c r="A1155" s="231"/>
      <c r="B1155" s="135" t="s">
        <v>2108</v>
      </c>
      <c r="C1155" s="50">
        <v>96081</v>
      </c>
      <c r="H1155" s="87"/>
      <c r="K1155" s="87"/>
      <c r="P1155" s="87"/>
    </row>
    <row r="1156" spans="1:16">
      <c r="A1156" s="231"/>
      <c r="B1156" s="135" t="s">
        <v>994</v>
      </c>
      <c r="C1156" s="50">
        <v>92901</v>
      </c>
      <c r="H1156" s="87"/>
      <c r="K1156" s="87"/>
      <c r="P1156" s="87"/>
    </row>
    <row r="1157" spans="1:16">
      <c r="A1157" s="231"/>
      <c r="B1157" s="135" t="s">
        <v>1001</v>
      </c>
      <c r="C1157" s="50">
        <v>93001</v>
      </c>
      <c r="H1157" s="87"/>
      <c r="K1157" s="87"/>
      <c r="P1157" s="87"/>
    </row>
    <row r="1158" spans="1:16">
      <c r="A1158" s="231"/>
      <c r="B1158" s="135" t="s">
        <v>1002</v>
      </c>
      <c r="C1158" s="50">
        <v>93009</v>
      </c>
      <c r="H1158" s="87"/>
      <c r="K1158" s="87"/>
      <c r="P1158" s="87"/>
    </row>
    <row r="1159" spans="1:16">
      <c r="A1159" s="231"/>
      <c r="B1159" s="135" t="s">
        <v>2109</v>
      </c>
      <c r="C1159" s="50">
        <v>92921</v>
      </c>
      <c r="H1159" s="87"/>
      <c r="K1159" s="87"/>
      <c r="P1159" s="87"/>
    </row>
    <row r="1160" spans="1:16">
      <c r="A1160" s="231"/>
      <c r="B1160" s="135" t="s">
        <v>2110</v>
      </c>
      <c r="C1160" s="50">
        <v>98621</v>
      </c>
      <c r="H1160" s="87"/>
      <c r="K1160" s="87"/>
      <c r="P1160" s="87"/>
    </row>
    <row r="1161" spans="1:16">
      <c r="A1161" s="231"/>
      <c r="B1161" s="135" t="s">
        <v>1509</v>
      </c>
      <c r="C1161" s="50">
        <v>98627</v>
      </c>
      <c r="H1161" s="87"/>
      <c r="K1161" s="87"/>
      <c r="P1161" s="87"/>
    </row>
    <row r="1162" spans="1:16">
      <c r="A1162" s="231"/>
      <c r="B1162" s="135" t="s">
        <v>2111</v>
      </c>
      <c r="C1162" s="50">
        <v>91221</v>
      </c>
      <c r="H1162" s="87"/>
      <c r="K1162" s="87"/>
      <c r="P1162" s="87"/>
    </row>
    <row r="1163" spans="1:16">
      <c r="A1163" s="231"/>
      <c r="B1163" s="135" t="s">
        <v>2112</v>
      </c>
      <c r="C1163" s="50">
        <v>92861</v>
      </c>
      <c r="H1163" s="87"/>
      <c r="K1163" s="87"/>
      <c r="P1163" s="87"/>
    </row>
    <row r="1164" spans="1:16">
      <c r="A1164" s="231"/>
      <c r="B1164" s="135" t="s">
        <v>1962</v>
      </c>
      <c r="C1164" s="50">
        <v>94311</v>
      </c>
      <c r="H1164" s="87"/>
      <c r="K1164" s="87"/>
      <c r="P1164" s="87"/>
    </row>
    <row r="1165" spans="1:16">
      <c r="A1165" s="231"/>
      <c r="B1165" s="135" t="s">
        <v>1132</v>
      </c>
      <c r="C1165" s="50">
        <v>94317</v>
      </c>
      <c r="H1165" s="87"/>
      <c r="K1165" s="87"/>
      <c r="P1165" s="87"/>
    </row>
    <row r="1166" spans="1:16">
      <c r="A1166" s="231"/>
      <c r="B1166" s="135" t="s">
        <v>1131</v>
      </c>
      <c r="C1166" s="50">
        <v>94313</v>
      </c>
      <c r="H1166" s="87"/>
      <c r="K1166" s="87"/>
      <c r="P1166" s="87"/>
    </row>
    <row r="1167" spans="1:16">
      <c r="A1167" s="231"/>
      <c r="B1167" s="135" t="s">
        <v>1007</v>
      </c>
      <c r="C1167" s="50">
        <v>93101</v>
      </c>
      <c r="H1167" s="87"/>
      <c r="K1167" s="87"/>
      <c r="P1167" s="87"/>
    </row>
    <row r="1168" spans="1:16">
      <c r="A1168" s="231"/>
      <c r="B1168" s="135" t="s">
        <v>260</v>
      </c>
      <c r="C1168" s="50">
        <v>93103</v>
      </c>
      <c r="H1168" s="87"/>
      <c r="K1168" s="87"/>
      <c r="P1168" s="87"/>
    </row>
    <row r="1169" spans="1:16">
      <c r="A1169" s="231"/>
      <c r="B1169" s="135" t="s">
        <v>1963</v>
      </c>
      <c r="C1169" s="50">
        <v>93211</v>
      </c>
      <c r="H1169" s="87"/>
      <c r="K1169" s="87"/>
      <c r="P1169" s="87"/>
    </row>
    <row r="1170" spans="1:16">
      <c r="A1170" s="231"/>
      <c r="B1170" s="135" t="s">
        <v>1026</v>
      </c>
      <c r="C1170" s="50">
        <v>93212</v>
      </c>
      <c r="H1170" s="87"/>
      <c r="K1170" s="87"/>
      <c r="P1170" s="87"/>
    </row>
    <row r="1171" spans="1:16">
      <c r="A1171" s="231"/>
      <c r="B1171" s="135" t="s">
        <v>1021</v>
      </c>
      <c r="C1171" s="50">
        <v>93201</v>
      </c>
      <c r="H1171" s="87"/>
      <c r="K1171" s="87"/>
      <c r="P1171" s="87"/>
    </row>
    <row r="1172" spans="1:16">
      <c r="A1172" s="231"/>
      <c r="B1172" s="135" t="s">
        <v>1023</v>
      </c>
      <c r="C1172" s="50">
        <v>93204</v>
      </c>
      <c r="H1172" s="87"/>
      <c r="K1172" s="87"/>
      <c r="P1172" s="87"/>
    </row>
    <row r="1173" spans="1:16">
      <c r="A1173" s="231"/>
      <c r="B1173" s="135" t="s">
        <v>1550</v>
      </c>
      <c r="C1173" s="50">
        <v>99212</v>
      </c>
      <c r="H1173" s="87"/>
      <c r="K1173" s="87"/>
      <c r="P1173" s="87"/>
    </row>
    <row r="1174" spans="1:16">
      <c r="A1174" s="231"/>
      <c r="B1174" s="135" t="s">
        <v>1349</v>
      </c>
      <c r="C1174" s="50">
        <v>97005</v>
      </c>
      <c r="H1174" s="87"/>
      <c r="K1174" s="87"/>
      <c r="P1174" s="87"/>
    </row>
    <row r="1175" spans="1:16">
      <c r="A1175" s="231"/>
      <c r="B1175" s="135" t="s">
        <v>2113</v>
      </c>
      <c r="C1175" s="53">
        <v>99931</v>
      </c>
      <c r="H1175" s="87"/>
      <c r="K1175" s="87"/>
      <c r="P1175" s="87"/>
    </row>
    <row r="1176" spans="1:16">
      <c r="A1176" s="231"/>
      <c r="B1176" s="135" t="s">
        <v>1618</v>
      </c>
      <c r="C1176" s="231">
        <v>92509</v>
      </c>
      <c r="H1176" s="87"/>
      <c r="K1176" s="87"/>
      <c r="P1176" s="87"/>
    </row>
    <row r="1177" spans="1:16">
      <c r="A1177" s="231"/>
      <c r="B1177" s="135" t="s">
        <v>2114</v>
      </c>
      <c r="C1177" s="50">
        <v>98021</v>
      </c>
      <c r="H1177" s="87"/>
      <c r="K1177" s="87"/>
      <c r="P1177" s="87"/>
    </row>
    <row r="1178" spans="1:16">
      <c r="A1178" s="231"/>
      <c r="B1178" s="135" t="s">
        <v>1450</v>
      </c>
      <c r="C1178" s="50">
        <v>98023</v>
      </c>
      <c r="H1178" s="87"/>
      <c r="K1178" s="87"/>
      <c r="P1178" s="87"/>
    </row>
    <row r="1179" spans="1:16">
      <c r="A1179" s="231"/>
      <c r="B1179" s="135" t="s">
        <v>2026</v>
      </c>
      <c r="C1179" s="224">
        <v>70505</v>
      </c>
      <c r="H1179" s="87"/>
      <c r="K1179" s="87"/>
      <c r="P1179" s="87"/>
    </row>
    <row r="1180" spans="1:16">
      <c r="A1180" s="231"/>
      <c r="B1180" s="135" t="s">
        <v>2772</v>
      </c>
      <c r="C1180" s="231">
        <v>99603</v>
      </c>
      <c r="H1180" s="87"/>
      <c r="K1180" s="87"/>
      <c r="P1180" s="87"/>
    </row>
    <row r="1181" spans="1:16">
      <c r="A1181" s="231"/>
      <c r="B1181" s="135" t="s">
        <v>1587</v>
      </c>
      <c r="C1181" s="50">
        <v>99610</v>
      </c>
      <c r="H1181" s="87"/>
      <c r="K1181" s="87"/>
      <c r="P1181" s="87"/>
    </row>
    <row r="1182" spans="1:16">
      <c r="A1182" s="231"/>
      <c r="B1182" s="135" t="s">
        <v>2115</v>
      </c>
      <c r="C1182" s="50">
        <v>92681</v>
      </c>
      <c r="H1182" s="87"/>
      <c r="K1182" s="87"/>
      <c r="P1182" s="87"/>
    </row>
    <row r="1183" spans="1:16">
      <c r="A1183" s="231"/>
      <c r="B1183" s="135" t="s">
        <v>1008</v>
      </c>
      <c r="C1183" s="50">
        <v>93108</v>
      </c>
      <c r="H1183" s="87"/>
      <c r="K1183" s="87"/>
      <c r="P1183" s="87"/>
    </row>
    <row r="1184" spans="1:16">
      <c r="A1184" s="231"/>
      <c r="B1184" s="135" t="s">
        <v>1964</v>
      </c>
      <c r="C1184" s="50">
        <v>97951</v>
      </c>
      <c r="H1184" s="87"/>
      <c r="K1184" s="87"/>
      <c r="P1184" s="87"/>
    </row>
    <row r="1185" spans="1:16">
      <c r="A1185" s="231"/>
      <c r="B1185" s="135" t="s">
        <v>1441</v>
      </c>
      <c r="C1185" s="50">
        <v>97957</v>
      </c>
      <c r="H1185" s="87"/>
      <c r="K1185" s="87"/>
      <c r="P1185" s="87"/>
    </row>
    <row r="1186" spans="1:16">
      <c r="A1186" s="231"/>
      <c r="B1186" s="135" t="s">
        <v>2116</v>
      </c>
      <c r="C1186" s="50">
        <v>92111</v>
      </c>
      <c r="H1186" s="87"/>
      <c r="K1186" s="87"/>
      <c r="P1186" s="87"/>
    </row>
    <row r="1187" spans="1:16">
      <c r="A1187" s="231"/>
      <c r="B1187" s="135" t="s">
        <v>1028</v>
      </c>
      <c r="C1187" s="231">
        <v>93301</v>
      </c>
      <c r="H1187" s="87"/>
      <c r="K1187" s="87"/>
      <c r="P1187" s="87"/>
    </row>
    <row r="1188" spans="1:16">
      <c r="A1188" s="231"/>
      <c r="B1188" s="135" t="s">
        <v>1029</v>
      </c>
      <c r="C1188" s="50">
        <v>93304</v>
      </c>
      <c r="H1188" s="87"/>
      <c r="K1188" s="87"/>
      <c r="P1188" s="87"/>
    </row>
    <row r="1189" spans="1:16">
      <c r="A1189" s="231"/>
      <c r="B1189" s="135" t="s">
        <v>1030</v>
      </c>
      <c r="C1189" s="50">
        <v>93305</v>
      </c>
      <c r="H1189" s="87"/>
      <c r="K1189" s="87"/>
      <c r="P1189" s="87"/>
    </row>
    <row r="1190" spans="1:16">
      <c r="A1190" s="231"/>
      <c r="B1190" s="135" t="s">
        <v>1548</v>
      </c>
      <c r="C1190" s="50">
        <v>99210</v>
      </c>
      <c r="H1190" s="87"/>
      <c r="K1190" s="87"/>
      <c r="P1190" s="87"/>
    </row>
    <row r="1191" spans="1:16">
      <c r="A1191" s="231"/>
      <c r="B1191" s="135" t="s">
        <v>1352</v>
      </c>
      <c r="C1191" s="50">
        <v>97011</v>
      </c>
      <c r="H1191" s="87"/>
      <c r="K1191" s="87"/>
      <c r="P1191" s="87"/>
    </row>
    <row r="1192" spans="1:16">
      <c r="A1192" s="231"/>
      <c r="B1192" s="135" t="s">
        <v>1354</v>
      </c>
      <c r="C1192" s="50">
        <v>97013</v>
      </c>
      <c r="H1192" s="87"/>
      <c r="K1192" s="87"/>
      <c r="P1192" s="87"/>
    </row>
    <row r="1193" spans="1:16">
      <c r="A1193" s="231"/>
      <c r="B1193" s="135" t="s">
        <v>2768</v>
      </c>
      <c r="C1193" s="50">
        <v>97012</v>
      </c>
      <c r="H1193" s="87"/>
      <c r="K1193" s="87"/>
      <c r="P1193" s="87"/>
    </row>
    <row r="1194" spans="1:16">
      <c r="A1194" s="231"/>
      <c r="B1194" s="135" t="s">
        <v>1356</v>
      </c>
      <c r="C1194" s="50">
        <v>97018</v>
      </c>
      <c r="H1194" s="87"/>
      <c r="K1194" s="87"/>
      <c r="P1194" s="87"/>
    </row>
    <row r="1195" spans="1:16">
      <c r="A1195" s="231"/>
      <c r="B1195" s="135" t="s">
        <v>2117</v>
      </c>
      <c r="C1195" s="50">
        <v>90911</v>
      </c>
      <c r="H1195" s="87"/>
      <c r="K1195" s="87"/>
      <c r="P1195" s="87"/>
    </row>
    <row r="1196" spans="1:16">
      <c r="A1196" s="231"/>
      <c r="B1196" s="135" t="s">
        <v>794</v>
      </c>
      <c r="C1196" s="50">
        <v>90917</v>
      </c>
      <c r="H1196" s="87"/>
      <c r="K1196" s="87"/>
      <c r="P1196" s="87"/>
    </row>
    <row r="1197" spans="1:16">
      <c r="A1197" s="231"/>
      <c r="B1197" s="135" t="s">
        <v>2118</v>
      </c>
      <c r="C1197" s="50">
        <v>90641</v>
      </c>
      <c r="H1197" s="87"/>
      <c r="K1197" s="87"/>
      <c r="P1197" s="87"/>
    </row>
    <row r="1198" spans="1:16">
      <c r="A1198" s="231"/>
      <c r="B1198" s="135" t="s">
        <v>2119</v>
      </c>
      <c r="C1198" s="50">
        <v>98641</v>
      </c>
      <c r="H1198" s="87"/>
      <c r="K1198" s="87"/>
      <c r="P1198" s="87"/>
    </row>
    <row r="1199" spans="1:16">
      <c r="A1199" s="231"/>
      <c r="B1199" s="135" t="s">
        <v>3523</v>
      </c>
      <c r="C1199" s="50" t="s">
        <v>3521</v>
      </c>
      <c r="H1199" s="87"/>
      <c r="K1199" s="87"/>
      <c r="P1199" s="87"/>
    </row>
    <row r="1200" spans="1:16">
      <c r="A1200" s="231"/>
      <c r="B1200" s="135" t="s">
        <v>2120</v>
      </c>
      <c r="C1200" s="50">
        <v>98161</v>
      </c>
      <c r="H1200" s="87"/>
      <c r="K1200" s="87"/>
      <c r="P1200" s="87"/>
    </row>
    <row r="1201" spans="1:16">
      <c r="A1201" s="231"/>
      <c r="B1201" s="135" t="s">
        <v>2121</v>
      </c>
      <c r="C1201" s="50">
        <v>97731</v>
      </c>
      <c r="H1201" s="87"/>
      <c r="K1201" s="87"/>
      <c r="P1201" s="87"/>
    </row>
    <row r="1202" spans="1:16">
      <c r="A1202" s="231"/>
      <c r="B1202" s="135" t="s">
        <v>2122</v>
      </c>
      <c r="C1202" s="53">
        <v>99851</v>
      </c>
      <c r="H1202" s="87"/>
      <c r="K1202" s="87"/>
      <c r="P1202" s="87"/>
    </row>
    <row r="1203" spans="1:16">
      <c r="A1203" s="231"/>
      <c r="B1203" s="135" t="s">
        <v>2123</v>
      </c>
      <c r="C1203" s="231">
        <v>90131</v>
      </c>
      <c r="H1203" s="87"/>
      <c r="K1203" s="87"/>
      <c r="P1203" s="87"/>
    </row>
    <row r="1204" spans="1:16">
      <c r="A1204" s="231"/>
      <c r="B1204" s="135" t="s">
        <v>2124</v>
      </c>
      <c r="C1204" s="50">
        <v>91651</v>
      </c>
      <c r="H1204" s="87"/>
      <c r="K1204" s="87"/>
      <c r="P1204" s="87"/>
    </row>
    <row r="1205" spans="1:16">
      <c r="A1205" s="231"/>
      <c r="B1205" s="135" t="s">
        <v>2125</v>
      </c>
      <c r="C1205" s="50">
        <v>94211</v>
      </c>
      <c r="H1205" s="87"/>
      <c r="K1205" s="87"/>
      <c r="P1205" s="87"/>
    </row>
    <row r="1206" spans="1:16">
      <c r="A1206" s="231"/>
      <c r="B1206" s="135" t="s">
        <v>2126</v>
      </c>
      <c r="C1206" s="50">
        <v>94331</v>
      </c>
      <c r="H1206" s="87"/>
      <c r="K1206" s="87"/>
      <c r="P1206" s="87"/>
    </row>
    <row r="1207" spans="1:16">
      <c r="A1207" s="231"/>
      <c r="B1207" s="135" t="s">
        <v>2127</v>
      </c>
      <c r="C1207" s="50">
        <v>92431</v>
      </c>
      <c r="H1207" s="87"/>
      <c r="K1207" s="87"/>
      <c r="P1207" s="87"/>
    </row>
    <row r="1208" spans="1:16">
      <c r="A1208" s="231"/>
      <c r="B1208" s="135" t="s">
        <v>2128</v>
      </c>
      <c r="C1208" s="50">
        <v>97821</v>
      </c>
      <c r="H1208" s="87"/>
      <c r="K1208" s="87"/>
      <c r="P1208" s="87"/>
    </row>
    <row r="1209" spans="1:16">
      <c r="A1209" s="231"/>
      <c r="B1209" s="135" t="s">
        <v>1420</v>
      </c>
      <c r="C1209" s="50">
        <v>97823</v>
      </c>
      <c r="H1209" s="87"/>
      <c r="K1209" s="87"/>
      <c r="P1209" s="87"/>
    </row>
    <row r="1210" spans="1:16">
      <c r="A1210" s="231"/>
      <c r="B1210" s="135" t="s">
        <v>2129</v>
      </c>
      <c r="C1210" s="50">
        <v>93141</v>
      </c>
      <c r="H1210" s="87"/>
      <c r="K1210" s="87"/>
      <c r="P1210" s="87"/>
    </row>
    <row r="1211" spans="1:16">
      <c r="A1211" s="231"/>
      <c r="B1211" s="135" t="s">
        <v>2130</v>
      </c>
      <c r="C1211" s="50">
        <v>98081</v>
      </c>
      <c r="H1211" s="87"/>
      <c r="K1211" s="87"/>
      <c r="P1211" s="87"/>
    </row>
    <row r="1212" spans="1:16">
      <c r="A1212" s="231"/>
      <c r="B1212" s="135" t="s">
        <v>2131</v>
      </c>
      <c r="C1212" s="50">
        <v>92671</v>
      </c>
      <c r="H1212" s="87"/>
      <c r="K1212" s="87"/>
      <c r="P1212" s="87"/>
    </row>
    <row r="1213" spans="1:16">
      <c r="A1213" s="231"/>
      <c r="B1213" s="135" t="s">
        <v>2132</v>
      </c>
      <c r="C1213" s="50">
        <v>97421</v>
      </c>
      <c r="H1213" s="87"/>
      <c r="K1213" s="87"/>
      <c r="P1213" s="87"/>
    </row>
    <row r="1214" spans="1:16">
      <c r="A1214" s="231"/>
      <c r="B1214" s="135" t="s">
        <v>1379</v>
      </c>
      <c r="C1214" s="50">
        <v>97423</v>
      </c>
      <c r="H1214" s="87"/>
      <c r="K1214" s="87"/>
      <c r="P1214" s="87"/>
    </row>
    <row r="1215" spans="1:16">
      <c r="A1215" s="231"/>
      <c r="B1215" s="135" t="s">
        <v>1965</v>
      </c>
      <c r="C1215" s="50">
        <v>92611</v>
      </c>
      <c r="H1215" s="87"/>
      <c r="K1215" s="87"/>
      <c r="P1215" s="87"/>
    </row>
    <row r="1216" spans="1:16">
      <c r="A1216" s="231"/>
      <c r="B1216" s="135" t="s">
        <v>2761</v>
      </c>
      <c r="C1216" s="50">
        <v>92613</v>
      </c>
      <c r="H1216" s="87"/>
      <c r="K1216" s="87"/>
      <c r="P1216" s="87"/>
    </row>
    <row r="1217" spans="1:16">
      <c r="A1217" s="231"/>
      <c r="B1217" s="135" t="s">
        <v>2794</v>
      </c>
      <c r="C1217" s="50">
        <v>92614</v>
      </c>
      <c r="H1217" s="87"/>
      <c r="K1217" s="87"/>
      <c r="P1217" s="87"/>
    </row>
    <row r="1218" spans="1:16">
      <c r="A1218" s="231"/>
      <c r="B1218" s="135" t="s">
        <v>954</v>
      </c>
      <c r="C1218" s="50">
        <v>92502</v>
      </c>
      <c r="H1218" s="87"/>
      <c r="K1218" s="87"/>
      <c r="P1218" s="87"/>
    </row>
    <row r="1219" spans="1:16">
      <c r="A1219" s="231"/>
      <c r="B1219" s="135" t="s">
        <v>2502</v>
      </c>
      <c r="C1219" s="50">
        <v>94531</v>
      </c>
      <c r="H1219" s="87"/>
      <c r="K1219" s="87"/>
      <c r="P1219" s="87"/>
    </row>
    <row r="1220" spans="1:16">
      <c r="A1220" s="231"/>
      <c r="B1220" s="135" t="s">
        <v>2503</v>
      </c>
      <c r="C1220" s="50">
        <v>94541</v>
      </c>
      <c r="H1220" s="87"/>
      <c r="K1220" s="87"/>
      <c r="P1220" s="87"/>
    </row>
    <row r="1221" spans="1:16">
      <c r="A1221" s="231"/>
      <c r="B1221" s="135" t="s">
        <v>1158</v>
      </c>
      <c r="C1221" s="50">
        <v>94547</v>
      </c>
      <c r="H1221" s="87"/>
      <c r="K1221" s="87"/>
      <c r="P1221" s="87"/>
    </row>
    <row r="1222" spans="1:16">
      <c r="A1222" s="231"/>
      <c r="B1222" s="135" t="s">
        <v>1184</v>
      </c>
      <c r="C1222" s="50">
        <v>95005</v>
      </c>
      <c r="H1222" s="87"/>
      <c r="K1222" s="87"/>
      <c r="P1222" s="87"/>
    </row>
    <row r="1223" spans="1:16">
      <c r="A1223" s="231"/>
      <c r="B1223" s="135" t="s">
        <v>2504</v>
      </c>
      <c r="C1223" s="50">
        <v>98111</v>
      </c>
      <c r="H1223" s="87"/>
      <c r="K1223" s="87"/>
      <c r="P1223" s="87"/>
    </row>
    <row r="1224" spans="1:16">
      <c r="A1224" s="231"/>
      <c r="B1224" s="135" t="s">
        <v>1461</v>
      </c>
      <c r="C1224" s="50">
        <v>98107</v>
      </c>
      <c r="H1224" s="87"/>
      <c r="K1224" s="87"/>
      <c r="P1224" s="87"/>
    </row>
    <row r="1225" spans="1:16">
      <c r="A1225" s="231"/>
      <c r="B1225" s="135" t="s">
        <v>1464</v>
      </c>
      <c r="C1225" s="50">
        <v>98113</v>
      </c>
      <c r="H1225" s="87"/>
      <c r="K1225" s="87"/>
      <c r="P1225" s="87"/>
    </row>
    <row r="1226" spans="1:16">
      <c r="A1226" s="231"/>
      <c r="B1226" s="135" t="s">
        <v>1583</v>
      </c>
      <c r="C1226" s="231">
        <v>99602</v>
      </c>
      <c r="H1226" s="87"/>
      <c r="K1226" s="87"/>
      <c r="P1226" s="87"/>
    </row>
    <row r="1227" spans="1:16">
      <c r="A1227" s="231"/>
      <c r="B1227" s="135" t="s">
        <v>1040</v>
      </c>
      <c r="C1227" s="50">
        <v>93401</v>
      </c>
      <c r="H1227" s="87"/>
      <c r="K1227" s="87"/>
      <c r="P1227" s="87"/>
    </row>
    <row r="1228" spans="1:16">
      <c r="A1228" s="231"/>
      <c r="B1228" s="135" t="s">
        <v>3509</v>
      </c>
      <c r="C1228" s="50">
        <v>97491</v>
      </c>
      <c r="H1228" s="87"/>
      <c r="K1228" s="87"/>
      <c r="P1228" s="87"/>
    </row>
    <row r="1229" spans="1:16">
      <c r="A1229" s="231"/>
      <c r="B1229" s="135" t="s">
        <v>2505</v>
      </c>
      <c r="C1229" s="50">
        <v>95151</v>
      </c>
      <c r="H1229" s="87"/>
      <c r="K1229" s="87"/>
      <c r="P1229" s="87"/>
    </row>
    <row r="1230" spans="1:16">
      <c r="A1230" s="231"/>
      <c r="B1230" s="135" t="s">
        <v>1294</v>
      </c>
      <c r="C1230" s="50">
        <v>96381</v>
      </c>
      <c r="H1230" s="87"/>
      <c r="K1230" s="87"/>
      <c r="P1230" s="87"/>
    </row>
    <row r="1231" spans="1:16">
      <c r="A1231" s="231"/>
      <c r="B1231" s="135" t="s">
        <v>2506</v>
      </c>
      <c r="C1231" s="50">
        <v>95611</v>
      </c>
      <c r="H1231" s="87"/>
      <c r="K1231" s="87"/>
      <c r="P1231" s="87"/>
    </row>
    <row r="1232" spans="1:16">
      <c r="A1232" s="231"/>
      <c r="B1232" s="135" t="s">
        <v>1054</v>
      </c>
      <c r="C1232" s="50">
        <v>93501</v>
      </c>
      <c r="H1232" s="87"/>
      <c r="K1232" s="87"/>
      <c r="P1232" s="87"/>
    </row>
    <row r="1233" spans="1:16">
      <c r="A1233" s="231"/>
      <c r="B1233" s="135" t="s">
        <v>2507</v>
      </c>
      <c r="C1233" s="50">
        <v>93511</v>
      </c>
      <c r="H1233" s="87"/>
      <c r="K1233" s="87"/>
      <c r="P1233" s="87"/>
    </row>
    <row r="1234" spans="1:16">
      <c r="A1234" s="231"/>
      <c r="B1234" s="135" t="s">
        <v>1056</v>
      </c>
      <c r="C1234" s="50">
        <v>93517</v>
      </c>
      <c r="H1234" s="87"/>
      <c r="K1234" s="87"/>
      <c r="P1234" s="87"/>
    </row>
    <row r="1235" spans="1:16">
      <c r="A1235" s="231"/>
      <c r="B1235" s="135" t="s">
        <v>2508</v>
      </c>
      <c r="C1235" s="50">
        <v>99631</v>
      </c>
      <c r="H1235" s="87"/>
      <c r="K1235" s="87"/>
      <c r="P1235" s="87"/>
    </row>
    <row r="1236" spans="1:16">
      <c r="A1236" s="231"/>
      <c r="B1236" s="135" t="s">
        <v>2509</v>
      </c>
      <c r="C1236" s="50">
        <v>99261</v>
      </c>
      <c r="H1236" s="87"/>
      <c r="K1236" s="87"/>
      <c r="P1236" s="87"/>
    </row>
    <row r="1237" spans="1:16">
      <c r="A1237" s="231"/>
      <c r="B1237" s="135" t="s">
        <v>2510</v>
      </c>
      <c r="C1237" s="50">
        <v>98241</v>
      </c>
      <c r="H1237" s="87"/>
      <c r="K1237" s="87"/>
      <c r="P1237" s="87"/>
    </row>
    <row r="1238" spans="1:16">
      <c r="A1238" s="231"/>
      <c r="B1238" s="135" t="s">
        <v>2511</v>
      </c>
      <c r="C1238" s="50">
        <v>99251</v>
      </c>
      <c r="H1238" s="87"/>
      <c r="K1238" s="87"/>
      <c r="P1238" s="87"/>
    </row>
    <row r="1239" spans="1:16">
      <c r="A1239" s="231"/>
      <c r="B1239" s="135" t="s">
        <v>1558</v>
      </c>
      <c r="C1239" s="50">
        <v>99252</v>
      </c>
      <c r="H1239" s="87"/>
      <c r="K1239" s="87"/>
      <c r="P1239" s="87"/>
    </row>
    <row r="1240" spans="1:16">
      <c r="A1240" s="231"/>
      <c r="B1240" s="135" t="s">
        <v>2512</v>
      </c>
      <c r="C1240" s="50">
        <v>96631</v>
      </c>
      <c r="H1240" s="87"/>
      <c r="K1240" s="87"/>
      <c r="P1240" s="87"/>
    </row>
    <row r="1241" spans="1:16">
      <c r="A1241" s="231"/>
      <c r="B1241" s="135" t="s">
        <v>2513</v>
      </c>
      <c r="C1241" s="50">
        <v>96651</v>
      </c>
      <c r="H1241" s="87"/>
      <c r="K1241" s="87"/>
      <c r="P1241" s="87"/>
    </row>
    <row r="1242" spans="1:16">
      <c r="A1242" s="231"/>
      <c r="B1242" s="135" t="s">
        <v>1062</v>
      </c>
      <c r="C1242" s="50">
        <v>93601</v>
      </c>
      <c r="H1242" s="87"/>
      <c r="K1242" s="87"/>
      <c r="P1242" s="87"/>
    </row>
    <row r="1243" spans="1:16">
      <c r="A1243" s="231"/>
      <c r="B1243" s="135" t="s">
        <v>1068</v>
      </c>
      <c r="C1243" s="50">
        <v>93618</v>
      </c>
      <c r="H1243" s="87"/>
      <c r="K1243" s="87"/>
      <c r="P1243" s="87"/>
    </row>
    <row r="1244" spans="1:16">
      <c r="A1244" s="231"/>
      <c r="B1244" s="135" t="s">
        <v>1966</v>
      </c>
      <c r="C1244" s="50">
        <v>93611</v>
      </c>
      <c r="H1244" s="87"/>
      <c r="K1244" s="87"/>
      <c r="P1244" s="87"/>
    </row>
    <row r="1245" spans="1:16">
      <c r="A1245" s="231"/>
      <c r="B1245" s="135" t="s">
        <v>1067</v>
      </c>
      <c r="C1245" s="50">
        <v>93617</v>
      </c>
      <c r="H1245" s="87"/>
      <c r="K1245" s="87"/>
      <c r="P1245" s="87"/>
    </row>
    <row r="1246" spans="1:16">
      <c r="A1246" s="231"/>
      <c r="B1246" s="135" t="s">
        <v>1079</v>
      </c>
      <c r="C1246" s="50">
        <v>93701</v>
      </c>
      <c r="H1246" s="87"/>
      <c r="K1246" s="87"/>
      <c r="P1246" s="87"/>
    </row>
    <row r="1247" spans="1:16">
      <c r="A1247" s="231"/>
      <c r="B1247" s="135" t="s">
        <v>1080</v>
      </c>
      <c r="C1247" s="50">
        <v>93704</v>
      </c>
      <c r="H1247" s="87"/>
      <c r="K1247" s="87"/>
      <c r="P1247" s="87"/>
    </row>
    <row r="1248" spans="1:16">
      <c r="A1248" s="231"/>
      <c r="B1248" s="135" t="s">
        <v>2514</v>
      </c>
      <c r="C1248" s="50">
        <v>98331</v>
      </c>
      <c r="H1248" s="87"/>
      <c r="K1248" s="87"/>
      <c r="P1248" s="87"/>
    </row>
    <row r="1249" spans="1:16">
      <c r="A1249" s="231"/>
      <c r="B1249" s="135" t="s">
        <v>2515</v>
      </c>
      <c r="C1249" s="50">
        <v>94151</v>
      </c>
      <c r="H1249" s="87"/>
      <c r="K1249" s="87"/>
      <c r="P1249" s="87"/>
    </row>
    <row r="1250" spans="1:16">
      <c r="A1250" s="231"/>
      <c r="B1250" s="135" t="s">
        <v>1114</v>
      </c>
      <c r="C1250" s="50">
        <v>94157</v>
      </c>
      <c r="H1250" s="87"/>
      <c r="K1250" s="87"/>
      <c r="P1250" s="87"/>
    </row>
    <row r="1251" spans="1:16">
      <c r="A1251" s="231"/>
      <c r="B1251" s="135" t="s">
        <v>2516</v>
      </c>
      <c r="C1251" s="50">
        <v>91241</v>
      </c>
      <c r="H1251" s="87"/>
      <c r="K1251" s="87"/>
      <c r="P1251" s="87"/>
    </row>
    <row r="1252" spans="1:16">
      <c r="A1252" s="231"/>
      <c r="B1252" s="135" t="s">
        <v>1220</v>
      </c>
      <c r="C1252" s="50">
        <v>95412</v>
      </c>
      <c r="H1252" s="87"/>
      <c r="K1252" s="87"/>
      <c r="P1252" s="87"/>
    </row>
    <row r="1253" spans="1:16">
      <c r="A1253" s="231"/>
      <c r="B1253" s="135" t="s">
        <v>1967</v>
      </c>
      <c r="C1253" s="50">
        <v>99611</v>
      </c>
      <c r="H1253" s="87"/>
      <c r="K1253" s="87"/>
      <c r="P1253" s="87"/>
    </row>
    <row r="1254" spans="1:16">
      <c r="A1254" s="231"/>
      <c r="B1254" s="135" t="s">
        <v>2810</v>
      </c>
      <c r="C1254" s="50">
        <v>99613</v>
      </c>
      <c r="H1254" s="87"/>
      <c r="K1254" s="87"/>
      <c r="P1254" s="87"/>
    </row>
    <row r="1255" spans="1:16">
      <c r="A1255" s="231"/>
      <c r="B1255" s="135" t="s">
        <v>918</v>
      </c>
      <c r="C1255" s="50">
        <v>91908</v>
      </c>
      <c r="H1255" s="87"/>
      <c r="K1255" s="87"/>
      <c r="P1255" s="87"/>
    </row>
    <row r="1256" spans="1:16">
      <c r="A1256" s="231"/>
      <c r="B1256" s="135" t="s">
        <v>1969</v>
      </c>
      <c r="C1256" s="50">
        <v>90121</v>
      </c>
      <c r="H1256" s="87"/>
      <c r="K1256" s="87"/>
      <c r="P1256" s="87"/>
    </row>
    <row r="1257" spans="1:16">
      <c r="A1257" s="231"/>
      <c r="B1257" s="135" t="s">
        <v>1082</v>
      </c>
      <c r="C1257" s="50">
        <v>93803</v>
      </c>
      <c r="H1257" s="87"/>
      <c r="K1257" s="87"/>
      <c r="P1257" s="87"/>
    </row>
    <row r="1258" spans="1:16">
      <c r="A1258" s="231"/>
      <c r="B1258" s="135" t="s">
        <v>1081</v>
      </c>
      <c r="C1258" s="50">
        <v>93801</v>
      </c>
      <c r="H1258" s="87"/>
      <c r="K1258" s="87"/>
      <c r="P1258" s="87"/>
    </row>
    <row r="1259" spans="1:16">
      <c r="A1259" s="231"/>
      <c r="B1259" s="135" t="s">
        <v>1083</v>
      </c>
      <c r="C1259" s="50">
        <v>93806</v>
      </c>
      <c r="H1259" s="87"/>
      <c r="K1259" s="87"/>
      <c r="P1259" s="87"/>
    </row>
    <row r="1260" spans="1:16">
      <c r="A1260" s="231"/>
      <c r="B1260" s="135" t="s">
        <v>2517</v>
      </c>
      <c r="C1260" s="50">
        <v>91411</v>
      </c>
      <c r="H1260" s="87"/>
      <c r="K1260" s="87"/>
      <c r="P1260" s="87"/>
    </row>
    <row r="1261" spans="1:16">
      <c r="A1261" s="231"/>
      <c r="B1261" s="135" t="s">
        <v>874</v>
      </c>
      <c r="C1261" s="50">
        <v>91417</v>
      </c>
      <c r="H1261" s="87"/>
      <c r="K1261" s="87"/>
      <c r="P1261" s="87"/>
    </row>
    <row r="1262" spans="1:16">
      <c r="A1262" s="231"/>
      <c r="B1262" s="135" t="s">
        <v>2518</v>
      </c>
      <c r="C1262" s="50">
        <v>98061</v>
      </c>
      <c r="H1262" s="87"/>
      <c r="K1262" s="87"/>
      <c r="P1262" s="87"/>
    </row>
    <row r="1263" spans="1:16">
      <c r="A1263" s="231"/>
      <c r="B1263" s="135" t="s">
        <v>2815</v>
      </c>
      <c r="C1263" s="50">
        <v>93904</v>
      </c>
      <c r="H1263" s="87"/>
      <c r="K1263" s="87"/>
      <c r="P1263" s="87"/>
    </row>
    <row r="1264" spans="1:16">
      <c r="A1264" s="231"/>
      <c r="B1264" s="135" t="s">
        <v>1085</v>
      </c>
      <c r="C1264" s="50">
        <v>93901</v>
      </c>
      <c r="H1264" s="87"/>
      <c r="K1264" s="87"/>
      <c r="P1264" s="87"/>
    </row>
    <row r="1265" spans="1:16">
      <c r="A1265" s="231"/>
      <c r="B1265" s="135" t="s">
        <v>1087</v>
      </c>
      <c r="C1265" s="50">
        <v>93906</v>
      </c>
      <c r="H1265" s="87"/>
      <c r="K1265" s="87"/>
      <c r="P1265" s="87"/>
    </row>
    <row r="1266" spans="1:16">
      <c r="A1266" s="231"/>
      <c r="B1266" s="135" t="s">
        <v>1088</v>
      </c>
      <c r="C1266" s="231">
        <v>93908</v>
      </c>
      <c r="H1266" s="87"/>
      <c r="K1266" s="87"/>
      <c r="P1266" s="87"/>
    </row>
    <row r="1267" spans="1:16">
      <c r="A1267" s="231"/>
      <c r="B1267" s="135" t="s">
        <v>1174</v>
      </c>
      <c r="C1267" s="50">
        <v>94908</v>
      </c>
      <c r="H1267" s="87"/>
      <c r="K1267" s="87"/>
      <c r="P1267" s="87"/>
    </row>
    <row r="1268" spans="1:16">
      <c r="A1268" s="231"/>
      <c r="B1268" s="135" t="s">
        <v>2519</v>
      </c>
      <c r="C1268" s="50">
        <v>90161</v>
      </c>
      <c r="H1268" s="87"/>
      <c r="K1268" s="87"/>
      <c r="P1268" s="87"/>
    </row>
    <row r="1269" spans="1:16">
      <c r="A1269" s="231"/>
      <c r="B1269" s="135" t="s">
        <v>1095</v>
      </c>
      <c r="C1269" s="50">
        <v>94001</v>
      </c>
      <c r="H1269" s="87"/>
      <c r="K1269" s="87"/>
      <c r="P1269" s="87"/>
    </row>
    <row r="1270" spans="1:16">
      <c r="A1270" s="231"/>
      <c r="B1270" s="135" t="s">
        <v>1097</v>
      </c>
      <c r="C1270" s="50">
        <v>94004</v>
      </c>
      <c r="H1270" s="87"/>
      <c r="K1270" s="87"/>
      <c r="P1270" s="87"/>
    </row>
    <row r="1271" spans="1:16">
      <c r="A1271" s="231"/>
      <c r="B1271" s="135" t="s">
        <v>1968</v>
      </c>
      <c r="C1271" s="50">
        <v>94111</v>
      </c>
      <c r="H1271" s="87"/>
      <c r="K1271" s="87"/>
      <c r="P1271" s="87"/>
    </row>
    <row r="1272" spans="1:16">
      <c r="A1272" s="231"/>
      <c r="B1272" s="135" t="s">
        <v>2814</v>
      </c>
      <c r="C1272" s="50">
        <v>94117</v>
      </c>
      <c r="H1272" s="87"/>
      <c r="K1272" s="87"/>
      <c r="P1272" s="87"/>
    </row>
    <row r="1273" spans="1:16">
      <c r="A1273" s="231"/>
      <c r="B1273" s="135" t="s">
        <v>1970</v>
      </c>
      <c r="C1273" s="50">
        <v>97411</v>
      </c>
      <c r="H1273" s="87"/>
      <c r="K1273" s="87"/>
      <c r="P1273" s="87"/>
    </row>
    <row r="1274" spans="1:16">
      <c r="A1274" s="231"/>
      <c r="B1274" s="135" t="s">
        <v>1377</v>
      </c>
      <c r="C1274" s="50">
        <v>97413</v>
      </c>
      <c r="H1274" s="87"/>
      <c r="K1274" s="87"/>
      <c r="P1274" s="87"/>
    </row>
    <row r="1275" spans="1:16">
      <c r="A1275" s="231"/>
      <c r="B1275" s="135" t="s">
        <v>1376</v>
      </c>
      <c r="C1275" s="50">
        <v>97412</v>
      </c>
      <c r="H1275" s="87"/>
      <c r="K1275" s="87"/>
      <c r="P1275" s="87"/>
    </row>
    <row r="1276" spans="1:16">
      <c r="A1276" s="231"/>
      <c r="B1276" s="135" t="s">
        <v>2520</v>
      </c>
      <c r="C1276" s="50">
        <v>97431</v>
      </c>
      <c r="H1276" s="87"/>
      <c r="K1276" s="87"/>
      <c r="P1276" s="87"/>
    </row>
    <row r="1277" spans="1:16">
      <c r="A1277" s="231"/>
      <c r="B1277" s="135" t="s">
        <v>2521</v>
      </c>
      <c r="C1277" s="50">
        <v>97471</v>
      </c>
      <c r="H1277" s="87"/>
      <c r="K1277" s="87"/>
      <c r="P1277" s="87"/>
    </row>
    <row r="1278" spans="1:16">
      <c r="A1278" s="231"/>
      <c r="B1278" s="135" t="s">
        <v>2522</v>
      </c>
      <c r="C1278" s="50">
        <v>92351</v>
      </c>
      <c r="H1278" s="87"/>
      <c r="K1278" s="87"/>
      <c r="P1278" s="87"/>
    </row>
    <row r="1279" spans="1:16">
      <c r="A1279" s="231"/>
      <c r="B1279" s="135" t="s">
        <v>1102</v>
      </c>
      <c r="C1279" s="231">
        <v>94101</v>
      </c>
      <c r="H1279" s="87"/>
      <c r="K1279" s="87"/>
      <c r="P1279" s="87"/>
    </row>
    <row r="1280" spans="1:16">
      <c r="A1280" s="231"/>
      <c r="B1280" s="135" t="s">
        <v>1109</v>
      </c>
      <c r="C1280" s="231">
        <v>94118</v>
      </c>
      <c r="H1280" s="87"/>
      <c r="K1280" s="87"/>
      <c r="P1280" s="87"/>
    </row>
    <row r="1281" spans="1:16">
      <c r="A1281" s="231"/>
      <c r="B1281" s="135" t="s">
        <v>1103</v>
      </c>
      <c r="C1281" s="50">
        <v>94102</v>
      </c>
      <c r="H1281" s="87"/>
      <c r="K1281" s="87"/>
      <c r="P1281" s="87"/>
    </row>
    <row r="1282" spans="1:16">
      <c r="A1282" s="231"/>
      <c r="B1282" s="135" t="s">
        <v>1119</v>
      </c>
      <c r="C1282" s="50">
        <v>94201</v>
      </c>
      <c r="H1282" s="87"/>
      <c r="K1282" s="87"/>
      <c r="P1282" s="87"/>
    </row>
    <row r="1283" spans="1:16">
      <c r="A1283" s="231"/>
      <c r="B1283" s="135" t="s">
        <v>1120</v>
      </c>
      <c r="C1283" s="50">
        <v>94204</v>
      </c>
      <c r="H1283" s="87"/>
      <c r="K1283" s="87"/>
      <c r="P1283" s="87"/>
    </row>
    <row r="1284" spans="1:16">
      <c r="A1284" s="231"/>
      <c r="B1284" s="135" t="s">
        <v>1121</v>
      </c>
      <c r="C1284" s="50">
        <v>94205</v>
      </c>
      <c r="H1284" s="87"/>
      <c r="K1284" s="87"/>
      <c r="P1284" s="87"/>
    </row>
    <row r="1285" spans="1:16">
      <c r="A1285" s="231"/>
      <c r="B1285" s="135" t="s">
        <v>2523</v>
      </c>
      <c r="C1285" s="50">
        <v>95831</v>
      </c>
      <c r="H1285" s="87"/>
      <c r="K1285" s="87"/>
      <c r="P1285" s="87"/>
    </row>
    <row r="1286" spans="1:16">
      <c r="A1286" s="231"/>
      <c r="B1286" s="135" t="s">
        <v>1971</v>
      </c>
      <c r="C1286" s="50">
        <v>97721</v>
      </c>
      <c r="H1286" s="87"/>
      <c r="K1286" s="87"/>
      <c r="P1286" s="87"/>
    </row>
    <row r="1287" spans="1:16">
      <c r="A1287" s="231"/>
      <c r="B1287" s="135" t="s">
        <v>1408</v>
      </c>
      <c r="C1287" s="50">
        <v>97717</v>
      </c>
      <c r="H1287" s="87"/>
      <c r="K1287" s="87"/>
      <c r="P1287" s="87"/>
    </row>
    <row r="1288" spans="1:16">
      <c r="A1288" s="231"/>
      <c r="B1288" s="135" t="s">
        <v>1129</v>
      </c>
      <c r="C1288" s="50">
        <v>94301</v>
      </c>
      <c r="H1288" s="87"/>
      <c r="K1288" s="87"/>
      <c r="P1288" s="87"/>
    </row>
    <row r="1289" spans="1:16">
      <c r="A1289" s="231"/>
      <c r="B1289" s="135" t="s">
        <v>2524</v>
      </c>
      <c r="C1289" s="50">
        <v>91441</v>
      </c>
      <c r="H1289" s="87"/>
      <c r="K1289" s="87"/>
      <c r="P1289" s="87"/>
    </row>
    <row r="1290" spans="1:16">
      <c r="A1290" s="231"/>
      <c r="B1290" s="135" t="s">
        <v>1972</v>
      </c>
      <c r="C1290" s="50">
        <v>92531</v>
      </c>
      <c r="H1290" s="87"/>
      <c r="K1290" s="87"/>
      <c r="P1290" s="87"/>
    </row>
    <row r="1291" spans="1:16">
      <c r="A1291" s="231"/>
      <c r="B1291" s="135" t="s">
        <v>2525</v>
      </c>
      <c r="C1291" s="50">
        <v>90141</v>
      </c>
      <c r="H1291" s="87"/>
      <c r="K1291" s="87"/>
      <c r="P1291" s="87"/>
    </row>
    <row r="1292" spans="1:16">
      <c r="A1292" s="231"/>
      <c r="B1292" s="135" t="s">
        <v>1138</v>
      </c>
      <c r="C1292" s="50">
        <v>94401</v>
      </c>
      <c r="H1292" s="87"/>
      <c r="K1292" s="87"/>
      <c r="P1292" s="87"/>
    </row>
    <row r="1293" spans="1:16">
      <c r="A1293" s="231"/>
      <c r="B1293" s="135" t="s">
        <v>1140</v>
      </c>
      <c r="C1293" s="50">
        <v>94403</v>
      </c>
      <c r="H1293" s="87"/>
      <c r="K1293" s="87"/>
      <c r="P1293" s="87"/>
    </row>
    <row r="1294" spans="1:16">
      <c r="A1294" s="231"/>
      <c r="B1294" s="135" t="s">
        <v>1139</v>
      </c>
      <c r="C1294" s="50">
        <v>94402</v>
      </c>
      <c r="H1294" s="87"/>
      <c r="K1294" s="87"/>
      <c r="P1294" s="87"/>
    </row>
    <row r="1295" spans="1:16">
      <c r="A1295" s="231"/>
      <c r="B1295" s="135" t="s">
        <v>1973</v>
      </c>
      <c r="C1295" s="50">
        <v>99111</v>
      </c>
      <c r="H1295" s="87"/>
      <c r="K1295" s="87"/>
      <c r="P1295" s="87"/>
    </row>
    <row r="1296" spans="1:16">
      <c r="A1296" s="231"/>
      <c r="B1296" s="135" t="s">
        <v>2025</v>
      </c>
      <c r="C1296" s="50">
        <v>94501</v>
      </c>
      <c r="H1296" s="87"/>
      <c r="K1296" s="87"/>
      <c r="P1296" s="87"/>
    </row>
    <row r="1297" spans="1:16">
      <c r="A1297" s="231"/>
      <c r="B1297" s="135" t="s">
        <v>1974</v>
      </c>
      <c r="C1297" s="50">
        <v>94511</v>
      </c>
      <c r="H1297" s="87"/>
      <c r="K1297" s="87"/>
      <c r="P1297" s="87"/>
    </row>
    <row r="1298" spans="1:16">
      <c r="A1298" s="231"/>
      <c r="B1298" s="135" t="s">
        <v>2813</v>
      </c>
      <c r="C1298" s="50">
        <v>94517</v>
      </c>
      <c r="H1298" s="87"/>
      <c r="K1298" s="87"/>
      <c r="P1298" s="87"/>
    </row>
    <row r="1299" spans="1:16">
      <c r="A1299" s="231"/>
      <c r="B1299" s="135" t="s">
        <v>1151</v>
      </c>
      <c r="C1299" s="50">
        <v>94512</v>
      </c>
      <c r="H1299" s="87"/>
      <c r="K1299" s="87"/>
      <c r="P1299" s="87"/>
    </row>
    <row r="1300" spans="1:16">
      <c r="A1300" s="231"/>
      <c r="B1300" s="135" t="s">
        <v>2526</v>
      </c>
      <c r="C1300" s="50">
        <v>97211</v>
      </c>
      <c r="H1300" s="87"/>
      <c r="K1300" s="87"/>
      <c r="P1300" s="87"/>
    </row>
    <row r="1301" spans="1:16">
      <c r="A1301" s="231"/>
      <c r="B1301" s="135" t="s">
        <v>2527</v>
      </c>
      <c r="C1301" s="50">
        <v>97217</v>
      </c>
      <c r="H1301" s="87"/>
      <c r="K1301" s="87"/>
      <c r="P1301" s="87"/>
    </row>
    <row r="1302" spans="1:16">
      <c r="A1302" s="231"/>
      <c r="B1302" s="135" t="s">
        <v>1160</v>
      </c>
      <c r="C1302" s="50">
        <v>94601</v>
      </c>
      <c r="H1302" s="87"/>
      <c r="K1302" s="87"/>
      <c r="P1302" s="87"/>
    </row>
    <row r="1303" spans="1:16">
      <c r="A1303" s="231"/>
      <c r="B1303" s="135" t="s">
        <v>1161</v>
      </c>
      <c r="C1303" s="50">
        <v>94604</v>
      </c>
      <c r="H1303" s="87"/>
      <c r="K1303" s="87"/>
      <c r="P1303" s="87"/>
    </row>
    <row r="1304" spans="1:16">
      <c r="A1304" s="231"/>
      <c r="B1304" s="135" t="s">
        <v>1162</v>
      </c>
      <c r="C1304" s="50">
        <v>94606</v>
      </c>
      <c r="H1304" s="87"/>
      <c r="K1304" s="87"/>
      <c r="P1304" s="87"/>
    </row>
    <row r="1305" spans="1:16">
      <c r="A1305" s="231"/>
      <c r="B1305" s="135" t="s">
        <v>2769</v>
      </c>
      <c r="C1305" s="50">
        <v>97213</v>
      </c>
      <c r="H1305" s="87"/>
      <c r="K1305" s="87"/>
      <c r="P1305" s="87"/>
    </row>
    <row r="1306" spans="1:16">
      <c r="A1306" s="231"/>
      <c r="B1306" s="135" t="s">
        <v>1975</v>
      </c>
      <c r="C1306" s="50">
        <v>91811</v>
      </c>
      <c r="H1306" s="87"/>
      <c r="K1306" s="87"/>
      <c r="P1306" s="87"/>
    </row>
    <row r="1307" spans="1:16">
      <c r="A1307" s="231"/>
      <c r="B1307" s="135" t="s">
        <v>2757</v>
      </c>
      <c r="C1307" s="50">
        <v>91812</v>
      </c>
      <c r="H1307" s="87"/>
      <c r="K1307" s="87"/>
      <c r="P1307" s="87"/>
    </row>
    <row r="1308" spans="1:16">
      <c r="A1308" s="231"/>
      <c r="B1308" s="135" t="s">
        <v>905</v>
      </c>
      <c r="C1308" s="50">
        <v>91813</v>
      </c>
      <c r="H1308" s="87"/>
      <c r="K1308" s="87"/>
      <c r="P1308" s="87"/>
    </row>
    <row r="1309" spans="1:16">
      <c r="A1309" s="231"/>
      <c r="B1309" s="135" t="s">
        <v>770</v>
      </c>
      <c r="C1309" s="231">
        <v>90617</v>
      </c>
      <c r="H1309" s="87"/>
      <c r="K1309" s="87"/>
      <c r="P1309" s="87"/>
    </row>
    <row r="1310" spans="1:16">
      <c r="A1310" s="231"/>
      <c r="B1310" s="135" t="s">
        <v>1976</v>
      </c>
      <c r="C1310" s="231">
        <v>94121</v>
      </c>
      <c r="H1310" s="87"/>
      <c r="K1310" s="87"/>
      <c r="P1310" s="87"/>
    </row>
    <row r="1311" spans="1:16">
      <c r="A1311" s="231"/>
      <c r="B1311" s="135" t="s">
        <v>2812</v>
      </c>
      <c r="C1311" s="50">
        <v>94127</v>
      </c>
      <c r="H1311" s="87"/>
      <c r="K1311" s="87"/>
      <c r="P1311" s="87"/>
    </row>
    <row r="1312" spans="1:16">
      <c r="A1312" s="231"/>
      <c r="B1312" s="135" t="s">
        <v>2528</v>
      </c>
      <c r="C1312" s="50">
        <v>95621</v>
      </c>
      <c r="H1312" s="87"/>
      <c r="K1312" s="87"/>
      <c r="P1312" s="87"/>
    </row>
    <row r="1313" spans="1:16">
      <c r="A1313" s="231"/>
      <c r="B1313" s="135" t="s">
        <v>1232</v>
      </c>
      <c r="C1313" s="50">
        <v>95617</v>
      </c>
      <c r="H1313" s="87"/>
      <c r="K1313" s="87"/>
      <c r="P1313" s="87"/>
    </row>
    <row r="1314" spans="1:16">
      <c r="A1314" s="231"/>
      <c r="B1314" s="135" t="s">
        <v>2529</v>
      </c>
      <c r="C1314" s="50">
        <v>91251</v>
      </c>
      <c r="H1314" s="87"/>
      <c r="K1314" s="87"/>
      <c r="P1314" s="87"/>
    </row>
    <row r="1315" spans="1:16">
      <c r="A1315" s="231"/>
      <c r="B1315" s="135" t="s">
        <v>2530</v>
      </c>
      <c r="C1315" s="50">
        <v>96831</v>
      </c>
      <c r="H1315" s="87"/>
      <c r="K1315" s="87"/>
      <c r="P1315" s="87"/>
    </row>
    <row r="1316" spans="1:16">
      <c r="A1316" s="231"/>
      <c r="B1316" s="135" t="s">
        <v>2531</v>
      </c>
      <c r="C1316" s="50">
        <v>94251</v>
      </c>
      <c r="H1316" s="87"/>
      <c r="K1316" s="87"/>
      <c r="P1316" s="87"/>
    </row>
    <row r="1317" spans="1:16">
      <c r="A1317" s="231"/>
      <c r="B1317" s="135" t="s">
        <v>1167</v>
      </c>
      <c r="C1317" s="50">
        <v>94701</v>
      </c>
      <c r="H1317" s="87"/>
      <c r="K1317" s="87"/>
      <c r="P1317" s="87"/>
    </row>
    <row r="1318" spans="1:16">
      <c r="A1318" s="231"/>
      <c r="B1318" s="135" t="s">
        <v>1168</v>
      </c>
      <c r="C1318" s="50">
        <v>94704</v>
      </c>
      <c r="H1318" s="87"/>
      <c r="K1318" s="87"/>
      <c r="P1318" s="87"/>
    </row>
    <row r="1319" spans="1:16">
      <c r="A1319" s="231"/>
      <c r="B1319" s="135" t="s">
        <v>2532</v>
      </c>
      <c r="C1319" s="50">
        <v>91014</v>
      </c>
      <c r="H1319" s="87"/>
      <c r="K1319" s="87"/>
      <c r="P1319" s="87"/>
    </row>
    <row r="1320" spans="1:16">
      <c r="A1320" s="231"/>
      <c r="B1320" s="135" t="s">
        <v>2533</v>
      </c>
      <c r="C1320" s="50">
        <v>96731</v>
      </c>
      <c r="H1320" s="87"/>
      <c r="K1320" s="87"/>
      <c r="P1320" s="87"/>
    </row>
    <row r="1321" spans="1:16">
      <c r="A1321" s="231"/>
      <c r="B1321" s="135" t="s">
        <v>1333</v>
      </c>
      <c r="C1321" s="50">
        <v>96733</v>
      </c>
      <c r="H1321" s="87"/>
      <c r="K1321" s="87"/>
      <c r="P1321" s="87"/>
    </row>
    <row r="1322" spans="1:16">
      <c r="A1322" s="231"/>
      <c r="B1322" s="135" t="s">
        <v>2534</v>
      </c>
      <c r="C1322" s="50">
        <v>99202</v>
      </c>
      <c r="H1322" s="87"/>
      <c r="K1322" s="87"/>
      <c r="P1322" s="87"/>
    </row>
    <row r="1323" spans="1:16">
      <c r="A1323" s="231"/>
      <c r="B1323" s="135" t="s">
        <v>2535</v>
      </c>
      <c r="C1323" s="231">
        <v>94011</v>
      </c>
      <c r="H1323" s="87"/>
      <c r="K1323" s="87"/>
      <c r="P1323" s="87"/>
    </row>
    <row r="1324" spans="1:16">
      <c r="A1324" s="231"/>
      <c r="B1324" s="135" t="s">
        <v>2536</v>
      </c>
      <c r="C1324" s="50">
        <v>92631</v>
      </c>
      <c r="H1324" s="87"/>
      <c r="K1324" s="87"/>
      <c r="P1324" s="87"/>
    </row>
    <row r="1325" spans="1:16">
      <c r="A1325" s="231"/>
      <c r="B1325" s="135" t="s">
        <v>1237</v>
      </c>
      <c r="C1325" s="50">
        <v>95733</v>
      </c>
      <c r="H1325" s="87"/>
      <c r="K1325" s="87"/>
      <c r="P1325" s="87"/>
    </row>
    <row r="1326" spans="1:16">
      <c r="A1326" s="231"/>
      <c r="B1326" s="135" t="s">
        <v>2537</v>
      </c>
      <c r="C1326" s="50">
        <v>91431</v>
      </c>
      <c r="H1326" s="87"/>
      <c r="K1326" s="87"/>
      <c r="P1326" s="87"/>
    </row>
    <row r="1327" spans="1:16">
      <c r="A1327" s="231"/>
      <c r="B1327" s="135" t="s">
        <v>2538</v>
      </c>
      <c r="C1327" s="50">
        <v>96041</v>
      </c>
      <c r="H1327" s="87"/>
      <c r="K1327" s="87"/>
      <c r="P1327" s="87"/>
    </row>
    <row r="1328" spans="1:16">
      <c r="A1328" s="231"/>
      <c r="B1328" s="135" t="s">
        <v>1170</v>
      </c>
      <c r="C1328" s="50">
        <v>94801</v>
      </c>
      <c r="H1328" s="87"/>
      <c r="K1328" s="87"/>
      <c r="P1328" s="87"/>
    </row>
    <row r="1329" spans="1:16">
      <c r="A1329" s="231"/>
      <c r="B1329" s="135" t="s">
        <v>1171</v>
      </c>
      <c r="C1329" s="50">
        <v>94804</v>
      </c>
      <c r="H1329" s="87"/>
      <c r="K1329" s="87"/>
      <c r="P1329" s="87"/>
    </row>
    <row r="1330" spans="1:16">
      <c r="A1330" s="231"/>
      <c r="B1330" s="135" t="s">
        <v>2539</v>
      </c>
      <c r="C1330" s="50">
        <v>91661</v>
      </c>
      <c r="H1330" s="87"/>
      <c r="K1330" s="87"/>
      <c r="P1330" s="87"/>
    </row>
    <row r="1331" spans="1:16">
      <c r="A1331" s="231"/>
      <c r="B1331" s="135" t="s">
        <v>2540</v>
      </c>
      <c r="C1331" s="50">
        <v>99051</v>
      </c>
      <c r="H1331" s="87"/>
      <c r="K1331" s="87"/>
      <c r="P1331" s="87"/>
    </row>
    <row r="1332" spans="1:16">
      <c r="A1332" s="231"/>
      <c r="B1332" s="135" t="s">
        <v>1525</v>
      </c>
      <c r="C1332" s="50">
        <v>99014</v>
      </c>
      <c r="H1332" s="87"/>
      <c r="K1332" s="87"/>
      <c r="P1332" s="87"/>
    </row>
    <row r="1333" spans="1:16">
      <c r="A1333" s="231"/>
      <c r="B1333" s="135" t="s">
        <v>1173</v>
      </c>
      <c r="C1333" s="50">
        <v>94901</v>
      </c>
      <c r="H1333" s="87"/>
      <c r="K1333" s="87"/>
      <c r="P1333" s="87"/>
    </row>
    <row r="1334" spans="1:16">
      <c r="A1334" s="231"/>
      <c r="B1334" s="135" t="s">
        <v>1462</v>
      </c>
      <c r="C1334" s="50">
        <v>98109</v>
      </c>
      <c r="H1334" s="87"/>
      <c r="K1334" s="87"/>
      <c r="P1334" s="87"/>
    </row>
    <row r="1335" spans="1:16">
      <c r="A1335" s="231"/>
      <c r="B1335" s="135" t="s">
        <v>2808</v>
      </c>
      <c r="C1335" s="50">
        <v>98205</v>
      </c>
      <c r="H1335" s="87"/>
      <c r="K1335" s="87"/>
      <c r="P1335" s="87"/>
    </row>
    <row r="1336" spans="1:16">
      <c r="A1336" s="231"/>
      <c r="B1336" s="135" t="s">
        <v>2541</v>
      </c>
      <c r="C1336" s="50">
        <v>96661</v>
      </c>
      <c r="H1336" s="87"/>
      <c r="K1336" s="87"/>
      <c r="P1336" s="87"/>
    </row>
    <row r="1337" spans="1:16">
      <c r="A1337" s="231"/>
      <c r="B1337" s="135" t="s">
        <v>1182</v>
      </c>
      <c r="C1337" s="50">
        <v>95001</v>
      </c>
      <c r="H1337" s="87"/>
      <c r="K1337" s="87"/>
      <c r="P1337" s="87"/>
    </row>
    <row r="1338" spans="1:16">
      <c r="A1338" s="231"/>
      <c r="B1338" s="135" t="s">
        <v>1188</v>
      </c>
      <c r="C1338" s="50">
        <v>95017</v>
      </c>
      <c r="H1338" s="87"/>
      <c r="K1338" s="87"/>
      <c r="P1338" s="87"/>
    </row>
    <row r="1339" spans="1:16">
      <c r="A1339" s="231"/>
      <c r="B1339" s="135" t="s">
        <v>1977</v>
      </c>
      <c r="C1339" s="50">
        <v>96711</v>
      </c>
      <c r="H1339" s="87"/>
      <c r="K1339" s="87"/>
      <c r="P1339" s="87"/>
    </row>
    <row r="1340" spans="1:16">
      <c r="A1340" s="231"/>
      <c r="B1340" s="135" t="s">
        <v>2542</v>
      </c>
      <c r="C1340" s="50">
        <v>94131</v>
      </c>
      <c r="H1340" s="87"/>
      <c r="K1340" s="87"/>
      <c r="P1340" s="87"/>
    </row>
    <row r="1341" spans="1:16">
      <c r="A1341" s="231"/>
      <c r="B1341" s="135" t="s">
        <v>2543</v>
      </c>
      <c r="C1341" s="50">
        <v>95841</v>
      </c>
      <c r="H1341" s="87"/>
      <c r="K1341" s="87"/>
      <c r="P1341" s="87"/>
    </row>
    <row r="1342" spans="1:16">
      <c r="A1342" s="231"/>
      <c r="B1342" s="135" t="s">
        <v>2544</v>
      </c>
      <c r="C1342" s="50">
        <v>90511</v>
      </c>
      <c r="H1342" s="87"/>
      <c r="K1342" s="87"/>
      <c r="P1342" s="87"/>
    </row>
    <row r="1343" spans="1:16">
      <c r="A1343" s="231"/>
      <c r="B1343" s="135" t="s">
        <v>1189</v>
      </c>
      <c r="C1343" s="50">
        <v>95101</v>
      </c>
      <c r="H1343" s="87"/>
      <c r="K1343" s="87"/>
      <c r="P1343" s="87"/>
    </row>
    <row r="1344" spans="1:16">
      <c r="A1344" s="231"/>
      <c r="B1344" s="135" t="s">
        <v>1191</v>
      </c>
      <c r="C1344" s="50">
        <v>95104</v>
      </c>
      <c r="H1344" s="87"/>
      <c r="K1344" s="87"/>
      <c r="P1344" s="87"/>
    </row>
    <row r="1345" spans="1:16">
      <c r="A1345" s="231"/>
      <c r="B1345" s="135" t="s">
        <v>1194</v>
      </c>
      <c r="C1345" s="50">
        <v>95110</v>
      </c>
      <c r="H1345" s="87"/>
      <c r="K1345" s="87"/>
      <c r="P1345" s="87"/>
    </row>
    <row r="1346" spans="1:16">
      <c r="A1346" s="231"/>
      <c r="B1346" s="135" t="s">
        <v>1207</v>
      </c>
      <c r="C1346" s="50">
        <v>95201</v>
      </c>
      <c r="H1346" s="87"/>
      <c r="K1346" s="87"/>
      <c r="P1346" s="87"/>
    </row>
    <row r="1347" spans="1:16">
      <c r="A1347" s="231"/>
      <c r="B1347" s="135" t="s">
        <v>1208</v>
      </c>
      <c r="C1347" s="50">
        <v>95204</v>
      </c>
      <c r="H1347" s="87"/>
      <c r="K1347" s="87"/>
      <c r="P1347" s="87"/>
    </row>
    <row r="1348" spans="1:16">
      <c r="A1348" s="231"/>
      <c r="B1348" s="135" t="s">
        <v>2545</v>
      </c>
      <c r="C1348" s="53">
        <v>99921</v>
      </c>
      <c r="H1348" s="87"/>
      <c r="K1348" s="87"/>
      <c r="P1348" s="87"/>
    </row>
    <row r="1349" spans="1:16">
      <c r="A1349" s="231"/>
      <c r="B1349" s="135" t="s">
        <v>1141</v>
      </c>
      <c r="C1349" s="231">
        <v>94408</v>
      </c>
      <c r="H1349" s="87"/>
      <c r="K1349" s="87"/>
      <c r="P1349" s="87"/>
    </row>
    <row r="1350" spans="1:16">
      <c r="A1350" s="231"/>
      <c r="B1350" s="135" t="s">
        <v>1978</v>
      </c>
      <c r="C1350" s="231">
        <v>91331</v>
      </c>
      <c r="H1350" s="87"/>
      <c r="K1350" s="87"/>
      <c r="P1350" s="87"/>
    </row>
    <row r="1351" spans="1:16">
      <c r="A1351" s="231"/>
      <c r="B1351" s="135" t="s">
        <v>2546</v>
      </c>
      <c r="C1351" s="50">
        <v>93121</v>
      </c>
      <c r="H1351" s="87"/>
      <c r="K1351" s="87"/>
      <c r="P1351" s="87"/>
    </row>
    <row r="1352" spans="1:16">
      <c r="A1352" s="231"/>
      <c r="B1352" s="135" t="s">
        <v>1011</v>
      </c>
      <c r="C1352" s="50">
        <v>93127</v>
      </c>
      <c r="H1352" s="87"/>
      <c r="K1352" s="87"/>
      <c r="P1352" s="87"/>
    </row>
    <row r="1353" spans="1:16">
      <c r="A1353" s="231"/>
      <c r="B1353" s="135" t="s">
        <v>2547</v>
      </c>
      <c r="C1353" s="50">
        <v>95171</v>
      </c>
      <c r="H1353" s="87"/>
      <c r="K1353" s="87"/>
      <c r="P1353" s="87"/>
    </row>
    <row r="1354" spans="1:16">
      <c r="A1354" s="231"/>
      <c r="B1354" s="135" t="s">
        <v>2548</v>
      </c>
      <c r="C1354" s="50">
        <v>93421</v>
      </c>
      <c r="H1354" s="87"/>
      <c r="K1354" s="87"/>
      <c r="P1354" s="87"/>
    </row>
    <row r="1355" spans="1:16">
      <c r="A1355" s="231"/>
      <c r="B1355" s="135" t="s">
        <v>1539</v>
      </c>
      <c r="C1355" s="50">
        <v>99110</v>
      </c>
      <c r="H1355" s="87"/>
      <c r="K1355" s="87"/>
      <c r="P1355" s="87"/>
    </row>
    <row r="1356" spans="1:16">
      <c r="A1356" s="231"/>
      <c r="B1356" s="135" t="s">
        <v>2807</v>
      </c>
      <c r="C1356" s="50">
        <v>99109</v>
      </c>
      <c r="H1356" s="87"/>
      <c r="K1356" s="87"/>
      <c r="P1356" s="87"/>
    </row>
    <row r="1357" spans="1:16">
      <c r="A1357" s="231"/>
      <c r="B1357" s="135" t="s">
        <v>2549</v>
      </c>
      <c r="C1357" s="50">
        <v>92821</v>
      </c>
      <c r="H1357" s="87"/>
      <c r="K1357" s="87"/>
      <c r="P1357" s="87"/>
    </row>
    <row r="1358" spans="1:16">
      <c r="A1358" s="231"/>
      <c r="B1358" s="135" t="s">
        <v>2550</v>
      </c>
      <c r="C1358" s="50">
        <v>98521</v>
      </c>
      <c r="H1358" s="87"/>
      <c r="K1358" s="87"/>
      <c r="P1358" s="87"/>
    </row>
    <row r="1359" spans="1:16">
      <c r="A1359" s="231"/>
      <c r="B1359" s="135" t="s">
        <v>1979</v>
      </c>
      <c r="C1359" s="50">
        <v>92321</v>
      </c>
      <c r="H1359" s="87"/>
      <c r="K1359" s="87"/>
      <c r="P1359" s="87"/>
    </row>
    <row r="1360" spans="1:16">
      <c r="A1360" s="231"/>
      <c r="B1360" s="135" t="s">
        <v>938</v>
      </c>
      <c r="C1360" s="50">
        <v>92327</v>
      </c>
      <c r="H1360" s="87"/>
      <c r="K1360" s="87"/>
      <c r="P1360" s="87"/>
    </row>
    <row r="1361" spans="1:16">
      <c r="A1361" s="231"/>
      <c r="B1361" s="135" t="s">
        <v>1980</v>
      </c>
      <c r="C1361" s="50">
        <v>95411</v>
      </c>
      <c r="H1361" s="87"/>
      <c r="K1361" s="87"/>
      <c r="P1361" s="87"/>
    </row>
    <row r="1362" spans="1:16">
      <c r="A1362" s="231"/>
      <c r="B1362" s="135" t="s">
        <v>2811</v>
      </c>
      <c r="C1362" s="50">
        <v>95413</v>
      </c>
      <c r="H1362" s="87"/>
      <c r="K1362" s="87"/>
      <c r="P1362" s="87"/>
    </row>
    <row r="1363" spans="1:16">
      <c r="A1363" s="231"/>
      <c r="B1363" s="135" t="s">
        <v>2806</v>
      </c>
      <c r="C1363" s="50">
        <v>95415</v>
      </c>
      <c r="H1363" s="87"/>
      <c r="K1363" s="87"/>
      <c r="P1363" s="87"/>
    </row>
    <row r="1364" spans="1:16">
      <c r="A1364" s="231"/>
      <c r="B1364" s="135" t="s">
        <v>2551</v>
      </c>
      <c r="C1364" s="50">
        <v>92851</v>
      </c>
      <c r="H1364" s="87"/>
      <c r="K1364" s="87"/>
      <c r="P1364" s="87"/>
    </row>
    <row r="1365" spans="1:16">
      <c r="A1365" s="231"/>
      <c r="B1365" s="135" t="s">
        <v>2552</v>
      </c>
      <c r="C1365" s="50">
        <v>99291</v>
      </c>
      <c r="H1365" s="87"/>
      <c r="K1365" s="87"/>
      <c r="P1365" s="87"/>
    </row>
    <row r="1366" spans="1:16">
      <c r="A1366" s="231"/>
      <c r="B1366" s="135" t="s">
        <v>2553</v>
      </c>
      <c r="C1366" s="50">
        <v>96541</v>
      </c>
      <c r="H1366" s="87"/>
      <c r="K1366" s="87"/>
      <c r="P1366" s="87"/>
    </row>
    <row r="1367" spans="1:16">
      <c r="A1367" s="231"/>
      <c r="B1367" s="135" t="s">
        <v>2554</v>
      </c>
      <c r="C1367" s="50">
        <v>95431</v>
      </c>
      <c r="H1367" s="87"/>
      <c r="K1367" s="87"/>
      <c r="P1367" s="87"/>
    </row>
    <row r="1368" spans="1:16">
      <c r="A1368" s="231"/>
      <c r="B1368" s="135" t="s">
        <v>2555</v>
      </c>
      <c r="C1368" s="50">
        <v>98131</v>
      </c>
      <c r="H1368" s="87"/>
      <c r="K1368" s="87"/>
      <c r="P1368" s="87"/>
    </row>
    <row r="1369" spans="1:16">
      <c r="A1369" s="231"/>
      <c r="B1369" s="135" t="s">
        <v>2556</v>
      </c>
      <c r="C1369" s="50">
        <v>92461</v>
      </c>
      <c r="H1369" s="87"/>
      <c r="K1369" s="87"/>
      <c r="P1369" s="87"/>
    </row>
    <row r="1370" spans="1:16">
      <c r="A1370" s="231"/>
      <c r="B1370" s="135" t="s">
        <v>947</v>
      </c>
      <c r="C1370" s="50">
        <v>92427</v>
      </c>
      <c r="H1370" s="87"/>
      <c r="K1370" s="87"/>
      <c r="P1370" s="87"/>
    </row>
    <row r="1371" spans="1:16">
      <c r="A1371" s="231"/>
      <c r="B1371" s="135" t="s">
        <v>2557</v>
      </c>
      <c r="C1371" s="50">
        <v>98051</v>
      </c>
      <c r="H1371" s="87"/>
      <c r="K1371" s="87"/>
      <c r="P1371" s="87"/>
    </row>
    <row r="1372" spans="1:16">
      <c r="A1372" s="231"/>
      <c r="B1372" s="135" t="s">
        <v>830</v>
      </c>
      <c r="C1372" s="50">
        <v>91102</v>
      </c>
      <c r="H1372" s="87"/>
      <c r="K1372" s="87"/>
      <c r="P1372" s="87"/>
    </row>
    <row r="1373" spans="1:16">
      <c r="A1373" s="231"/>
      <c r="B1373" s="135" t="s">
        <v>2558</v>
      </c>
      <c r="C1373" s="50">
        <v>94521</v>
      </c>
      <c r="H1373" s="87"/>
      <c r="K1373" s="87"/>
      <c r="P1373" s="87"/>
    </row>
    <row r="1374" spans="1:16">
      <c r="A1374" s="231"/>
      <c r="B1374" s="135" t="s">
        <v>1154</v>
      </c>
      <c r="C1374" s="50">
        <v>94527</v>
      </c>
      <c r="H1374" s="87"/>
      <c r="K1374" s="87"/>
      <c r="P1374" s="87"/>
    </row>
    <row r="1375" spans="1:16">
      <c r="A1375" s="231"/>
      <c r="B1375" s="135" t="s">
        <v>1981</v>
      </c>
      <c r="C1375" s="50">
        <v>98311</v>
      </c>
      <c r="H1375" s="87"/>
      <c r="K1375" s="87"/>
      <c r="P1375" s="87"/>
    </row>
    <row r="1376" spans="1:16">
      <c r="A1376" s="231"/>
      <c r="B1376" s="135" t="s">
        <v>1485</v>
      </c>
      <c r="C1376" s="50">
        <v>98313</v>
      </c>
      <c r="H1376" s="87"/>
      <c r="K1376" s="87"/>
      <c r="P1376" s="87"/>
    </row>
    <row r="1377" spans="1:16">
      <c r="A1377" s="231"/>
      <c r="B1377" s="135" t="s">
        <v>1483</v>
      </c>
      <c r="C1377" s="50">
        <v>98308</v>
      </c>
      <c r="H1377" s="87"/>
      <c r="K1377" s="87"/>
      <c r="P1377" s="87"/>
    </row>
    <row r="1378" spans="1:16">
      <c r="A1378" s="231"/>
      <c r="B1378" s="135" t="s">
        <v>2559</v>
      </c>
      <c r="C1378" s="50">
        <v>92341</v>
      </c>
      <c r="H1378" s="87"/>
      <c r="K1378" s="87"/>
      <c r="P1378" s="87"/>
    </row>
    <row r="1379" spans="1:16">
      <c r="A1379" s="231"/>
      <c r="B1379" s="135" t="s">
        <v>1212</v>
      </c>
      <c r="C1379" s="50">
        <v>95301</v>
      </c>
      <c r="H1379" s="87"/>
      <c r="K1379" s="87"/>
      <c r="P1379" s="87"/>
    </row>
    <row r="1380" spans="1:16">
      <c r="A1380" s="231"/>
      <c r="B1380" s="135" t="s">
        <v>2560</v>
      </c>
      <c r="C1380" s="50">
        <v>91002</v>
      </c>
      <c r="H1380" s="87"/>
      <c r="K1380" s="87"/>
      <c r="P1380" s="87"/>
    </row>
    <row r="1381" spans="1:16">
      <c r="A1381" s="231"/>
      <c r="B1381" s="135" t="s">
        <v>1982</v>
      </c>
      <c r="C1381" s="50">
        <v>91451</v>
      </c>
      <c r="H1381" s="87"/>
      <c r="K1381" s="87"/>
      <c r="P1381" s="87"/>
    </row>
    <row r="1382" spans="1:16">
      <c r="A1382" s="231"/>
      <c r="B1382" s="135" t="s">
        <v>2805</v>
      </c>
      <c r="C1382" s="50">
        <v>91457</v>
      </c>
      <c r="H1382" s="87"/>
      <c r="K1382" s="87"/>
      <c r="P1382" s="87"/>
    </row>
    <row r="1383" spans="1:16">
      <c r="A1383" s="231"/>
      <c r="B1383" s="135" t="s">
        <v>1216</v>
      </c>
      <c r="C1383" s="50">
        <v>95401</v>
      </c>
      <c r="H1383" s="87"/>
      <c r="K1383" s="87"/>
      <c r="P1383" s="87"/>
    </row>
    <row r="1384" spans="1:16">
      <c r="A1384" s="231"/>
      <c r="B1384" s="135" t="s">
        <v>1217</v>
      </c>
      <c r="C1384" s="50">
        <v>95404</v>
      </c>
      <c r="H1384" s="87"/>
      <c r="K1384" s="87"/>
      <c r="P1384" s="87"/>
    </row>
    <row r="1385" spans="1:16">
      <c r="A1385" s="231"/>
      <c r="B1385" s="135" t="s">
        <v>876</v>
      </c>
      <c r="C1385" s="231">
        <v>91423</v>
      </c>
      <c r="H1385" s="87"/>
      <c r="K1385" s="87"/>
      <c r="P1385" s="87"/>
    </row>
    <row r="1386" spans="1:16">
      <c r="A1386" s="231"/>
      <c r="B1386" s="135" t="s">
        <v>2561</v>
      </c>
      <c r="C1386" s="50">
        <v>90861</v>
      </c>
      <c r="H1386" s="87"/>
      <c r="K1386" s="87"/>
      <c r="P1386" s="87"/>
    </row>
    <row r="1387" spans="1:16">
      <c r="A1387" s="231"/>
      <c r="B1387" s="135" t="s">
        <v>2562</v>
      </c>
      <c r="C1387" s="50">
        <v>93451</v>
      </c>
      <c r="H1387" s="87"/>
      <c r="K1387" s="87"/>
      <c r="P1387" s="87"/>
    </row>
    <row r="1388" spans="1:16">
      <c r="A1388" s="231"/>
      <c r="B1388" s="135" t="s">
        <v>1983</v>
      </c>
      <c r="C1388" s="50">
        <v>92931</v>
      </c>
      <c r="H1388" s="87"/>
      <c r="K1388" s="87"/>
      <c r="P1388" s="87"/>
    </row>
    <row r="1389" spans="1:16">
      <c r="A1389" s="231"/>
      <c r="B1389" s="135" t="s">
        <v>998</v>
      </c>
      <c r="C1389" s="50">
        <v>92917</v>
      </c>
      <c r="H1389" s="87"/>
      <c r="K1389" s="87"/>
      <c r="P1389" s="87"/>
    </row>
    <row r="1390" spans="1:16">
      <c r="A1390" s="231"/>
      <c r="B1390" s="135" t="s">
        <v>2563</v>
      </c>
      <c r="C1390" s="50">
        <v>97631</v>
      </c>
      <c r="H1390" s="87"/>
      <c r="K1390" s="87"/>
      <c r="P1390" s="87"/>
    </row>
    <row r="1391" spans="1:16">
      <c r="A1391" s="231"/>
      <c r="B1391" s="135" t="s">
        <v>1400</v>
      </c>
      <c r="C1391" s="50">
        <v>97637</v>
      </c>
      <c r="H1391" s="87"/>
      <c r="K1391" s="87"/>
      <c r="P1391" s="87"/>
    </row>
    <row r="1392" spans="1:16">
      <c r="A1392" s="231"/>
      <c r="B1392" s="135" t="s">
        <v>2564</v>
      </c>
      <c r="C1392" s="50">
        <v>90421</v>
      </c>
      <c r="H1392" s="87"/>
      <c r="K1392" s="87"/>
      <c r="P1392" s="87"/>
    </row>
    <row r="1393" spans="1:16">
      <c r="A1393" s="231"/>
      <c r="B1393" s="135" t="s">
        <v>2565</v>
      </c>
      <c r="C1393" s="50">
        <v>94321</v>
      </c>
      <c r="H1393" s="87"/>
      <c r="K1393" s="87"/>
      <c r="P1393" s="87"/>
    </row>
    <row r="1394" spans="1:16">
      <c r="A1394" s="231"/>
      <c r="B1394" s="135" t="s">
        <v>1225</v>
      </c>
      <c r="C1394" s="50">
        <v>95501</v>
      </c>
      <c r="H1394" s="87"/>
      <c r="K1394" s="87"/>
      <c r="P1394" s="87"/>
    </row>
    <row r="1395" spans="1:16">
      <c r="A1395" s="231"/>
      <c r="B1395" s="135" t="s">
        <v>1226</v>
      </c>
      <c r="C1395" s="50">
        <v>95504</v>
      </c>
      <c r="H1395" s="87"/>
      <c r="K1395" s="87"/>
      <c r="P1395" s="87"/>
    </row>
    <row r="1396" spans="1:16">
      <c r="A1396" s="231"/>
      <c r="B1396" s="135" t="s">
        <v>1984</v>
      </c>
      <c r="C1396" s="231">
        <v>95511</v>
      </c>
      <c r="H1396" s="87"/>
      <c r="K1396" s="87"/>
      <c r="P1396" s="87"/>
    </row>
    <row r="1397" spans="1:16">
      <c r="A1397" s="231"/>
      <c r="B1397" s="135" t="s">
        <v>2566</v>
      </c>
      <c r="C1397" s="50">
        <v>95517</v>
      </c>
      <c r="H1397" s="87"/>
      <c r="K1397" s="87"/>
      <c r="P1397" s="87"/>
    </row>
    <row r="1398" spans="1:16">
      <c r="A1398" s="231"/>
      <c r="B1398" s="135" t="s">
        <v>1228</v>
      </c>
      <c r="C1398" s="50">
        <v>95513</v>
      </c>
      <c r="H1398" s="87"/>
      <c r="K1398" s="87"/>
      <c r="P1398" s="87"/>
    </row>
    <row r="1399" spans="1:16">
      <c r="A1399" s="231"/>
      <c r="B1399" s="135" t="s">
        <v>2567</v>
      </c>
      <c r="C1399" s="50">
        <v>92651</v>
      </c>
      <c r="H1399" s="87"/>
      <c r="K1399" s="87"/>
      <c r="P1399" s="87"/>
    </row>
    <row r="1400" spans="1:16">
      <c r="A1400" s="231"/>
      <c r="B1400" s="135" t="s">
        <v>2568</v>
      </c>
      <c r="C1400" s="50">
        <v>94261</v>
      </c>
      <c r="H1400" s="87"/>
      <c r="K1400" s="87"/>
      <c r="P1400" s="87"/>
    </row>
    <row r="1401" spans="1:16">
      <c r="A1401" s="231"/>
      <c r="B1401" s="135" t="s">
        <v>1985</v>
      </c>
      <c r="C1401" s="50">
        <v>98431</v>
      </c>
      <c r="H1401" s="87"/>
      <c r="K1401" s="87"/>
      <c r="P1401" s="87"/>
    </row>
    <row r="1402" spans="1:16">
      <c r="A1402" s="231"/>
      <c r="B1402" s="135" t="s">
        <v>1489</v>
      </c>
      <c r="C1402" s="50">
        <v>98404</v>
      </c>
      <c r="H1402" s="87"/>
      <c r="K1402" s="87"/>
      <c r="P1402" s="87"/>
    </row>
    <row r="1403" spans="1:16">
      <c r="A1403" s="231"/>
      <c r="B1403" s="135" t="s">
        <v>2569</v>
      </c>
      <c r="C1403" s="231">
        <v>91841</v>
      </c>
      <c r="H1403" s="87"/>
      <c r="K1403" s="87"/>
      <c r="P1403" s="87"/>
    </row>
    <row r="1404" spans="1:16">
      <c r="A1404" s="231"/>
      <c r="B1404" s="135" t="s">
        <v>2570</v>
      </c>
      <c r="C1404" s="50">
        <v>93521</v>
      </c>
      <c r="H1404" s="87"/>
      <c r="K1404" s="87"/>
      <c r="P1404" s="87"/>
    </row>
    <row r="1405" spans="1:16">
      <c r="A1405" s="231"/>
      <c r="B1405" s="135" t="s">
        <v>1058</v>
      </c>
      <c r="C1405" s="50">
        <v>93527</v>
      </c>
      <c r="H1405" s="87"/>
      <c r="K1405" s="87"/>
      <c r="P1405" s="87"/>
    </row>
    <row r="1406" spans="1:16">
      <c r="A1406" s="231"/>
      <c r="B1406" s="135" t="s">
        <v>1986</v>
      </c>
      <c r="C1406" s="50">
        <v>93661</v>
      </c>
      <c r="H1406" s="87"/>
      <c r="K1406" s="87"/>
      <c r="P1406" s="87"/>
    </row>
    <row r="1407" spans="1:16">
      <c r="A1407" s="231"/>
      <c r="B1407" s="135" t="s">
        <v>2766</v>
      </c>
      <c r="C1407" s="50">
        <v>96508</v>
      </c>
      <c r="H1407" s="87"/>
      <c r="K1407" s="87"/>
      <c r="P1407" s="87"/>
    </row>
    <row r="1408" spans="1:16">
      <c r="A1408" s="231"/>
      <c r="B1408" s="135" t="s">
        <v>2571</v>
      </c>
      <c r="C1408" s="53">
        <v>99841</v>
      </c>
      <c r="H1408" s="87"/>
      <c r="K1408" s="87"/>
      <c r="P1408" s="87"/>
    </row>
    <row r="1409" spans="1:16">
      <c r="A1409" s="231"/>
      <c r="B1409" s="135" t="s">
        <v>1413</v>
      </c>
      <c r="C1409" s="231">
        <v>97802</v>
      </c>
      <c r="H1409" s="87"/>
      <c r="K1409" s="87"/>
      <c r="P1409" s="87"/>
    </row>
    <row r="1410" spans="1:16">
      <c r="A1410" s="231"/>
      <c r="B1410" s="135" t="s">
        <v>1987</v>
      </c>
      <c r="C1410" s="50">
        <v>97811</v>
      </c>
      <c r="H1410" s="87"/>
      <c r="K1410" s="87"/>
      <c r="P1410" s="87"/>
    </row>
    <row r="1411" spans="1:16">
      <c r="A1411" s="231"/>
      <c r="B1411" s="135" t="s">
        <v>1417</v>
      </c>
      <c r="C1411" s="231">
        <v>97817</v>
      </c>
      <c r="H1411" s="87"/>
      <c r="K1411" s="87"/>
      <c r="P1411" s="87"/>
    </row>
    <row r="1412" spans="1:16">
      <c r="A1412" s="231"/>
      <c r="B1412" s="135" t="s">
        <v>2804</v>
      </c>
      <c r="C1412" s="50">
        <v>97818</v>
      </c>
      <c r="H1412" s="87"/>
      <c r="K1412" s="87"/>
      <c r="P1412" s="87"/>
    </row>
    <row r="1413" spans="1:16">
      <c r="A1413" s="231"/>
      <c r="B1413" s="135" t="s">
        <v>2572</v>
      </c>
      <c r="C1413" s="50">
        <v>93341</v>
      </c>
      <c r="H1413" s="87"/>
      <c r="K1413" s="87"/>
      <c r="P1413" s="87"/>
    </row>
    <row r="1414" spans="1:16">
      <c r="A1414" s="231"/>
      <c r="B1414" s="135" t="s">
        <v>1230</v>
      </c>
      <c r="C1414" s="50">
        <v>95601</v>
      </c>
      <c r="H1414" s="87"/>
      <c r="K1414" s="87"/>
      <c r="P1414" s="87"/>
    </row>
    <row r="1415" spans="1:16">
      <c r="A1415" s="231"/>
      <c r="B1415" s="135" t="s">
        <v>2573</v>
      </c>
      <c r="C1415" s="50">
        <v>97941</v>
      </c>
      <c r="H1415" s="87"/>
      <c r="K1415" s="87"/>
      <c r="P1415" s="87"/>
    </row>
    <row r="1416" spans="1:16">
      <c r="A1416" s="231"/>
      <c r="B1416" s="135" t="s">
        <v>1438</v>
      </c>
      <c r="C1416" s="50">
        <v>97947</v>
      </c>
      <c r="H1416" s="87"/>
      <c r="K1416" s="87"/>
      <c r="P1416" s="87"/>
    </row>
    <row r="1417" spans="1:16">
      <c r="A1417" s="231"/>
      <c r="B1417" s="135" t="s">
        <v>1234</v>
      </c>
      <c r="C1417" s="50">
        <v>95701</v>
      </c>
      <c r="H1417" s="87"/>
      <c r="K1417" s="87"/>
      <c r="P1417" s="87"/>
    </row>
    <row r="1418" spans="1:16">
      <c r="A1418" s="231"/>
      <c r="B1418" s="135" t="s">
        <v>1439</v>
      </c>
      <c r="C1418" s="50">
        <v>97948</v>
      </c>
      <c r="H1418" s="87"/>
      <c r="K1418" s="87"/>
      <c r="P1418" s="87"/>
    </row>
    <row r="1419" spans="1:16">
      <c r="A1419" s="231"/>
      <c r="B1419" s="135" t="s">
        <v>2574</v>
      </c>
      <c r="C1419" s="50">
        <v>94421</v>
      </c>
      <c r="H1419" s="87"/>
      <c r="K1419" s="87"/>
      <c r="P1419" s="87"/>
    </row>
    <row r="1420" spans="1:16">
      <c r="A1420" s="231"/>
      <c r="B1420" s="135" t="s">
        <v>1145</v>
      </c>
      <c r="C1420" s="50">
        <v>94427</v>
      </c>
      <c r="H1420" s="87"/>
      <c r="K1420" s="87"/>
      <c r="P1420" s="87"/>
    </row>
    <row r="1421" spans="1:16">
      <c r="A1421" s="231"/>
      <c r="B1421" s="135" t="s">
        <v>2803</v>
      </c>
      <c r="C1421" s="50">
        <v>94428</v>
      </c>
      <c r="H1421" s="87"/>
      <c r="K1421" s="87"/>
      <c r="P1421" s="87"/>
    </row>
    <row r="1422" spans="1:16">
      <c r="A1422" s="231"/>
      <c r="B1422" s="135" t="s">
        <v>2575</v>
      </c>
      <c r="C1422" s="50">
        <v>93191</v>
      </c>
      <c r="H1422" s="87"/>
      <c r="K1422" s="87"/>
      <c r="P1422" s="87"/>
    </row>
    <row r="1423" spans="1:16">
      <c r="A1423" s="231"/>
      <c r="B1423" s="135" t="s">
        <v>2576</v>
      </c>
      <c r="C1423" s="50">
        <v>91831</v>
      </c>
      <c r="H1423" s="87"/>
      <c r="K1423" s="87"/>
      <c r="P1423" s="87"/>
    </row>
    <row r="1424" spans="1:16">
      <c r="A1424" s="231"/>
      <c r="B1424" s="135" t="s">
        <v>2577</v>
      </c>
      <c r="C1424" s="50">
        <v>92831</v>
      </c>
      <c r="H1424" s="87"/>
      <c r="K1424" s="87"/>
      <c r="P1424" s="87"/>
    </row>
    <row r="1425" spans="1:16">
      <c r="A1425" s="231"/>
      <c r="B1425" s="135" t="s">
        <v>2578</v>
      </c>
      <c r="C1425" s="50">
        <v>95911</v>
      </c>
      <c r="H1425" s="87"/>
      <c r="K1425" s="87"/>
      <c r="P1425" s="87"/>
    </row>
    <row r="1426" spans="1:16">
      <c r="A1426" s="231"/>
      <c r="B1426" s="135" t="s">
        <v>1251</v>
      </c>
      <c r="C1426" s="50">
        <v>95917</v>
      </c>
      <c r="H1426" s="87"/>
      <c r="K1426" s="87"/>
      <c r="P1426" s="87"/>
    </row>
    <row r="1427" spans="1:16">
      <c r="A1427" s="231"/>
      <c r="B1427" s="135" t="s">
        <v>2579</v>
      </c>
      <c r="C1427" s="50">
        <v>95711</v>
      </c>
      <c r="H1427" s="87"/>
      <c r="K1427" s="87"/>
      <c r="P1427" s="87"/>
    </row>
    <row r="1428" spans="1:16">
      <c r="A1428" s="231"/>
      <c r="B1428" s="135" t="s">
        <v>2580</v>
      </c>
      <c r="C1428" s="50">
        <v>95721</v>
      </c>
      <c r="H1428" s="87"/>
      <c r="K1428" s="87"/>
      <c r="P1428" s="87"/>
    </row>
    <row r="1429" spans="1:16">
      <c r="A1429" s="231"/>
      <c r="B1429" s="135" t="s">
        <v>2581</v>
      </c>
      <c r="C1429" s="50">
        <v>99021</v>
      </c>
      <c r="H1429" s="87"/>
      <c r="K1429" s="87"/>
      <c r="P1429" s="87"/>
    </row>
    <row r="1430" spans="1:16">
      <c r="A1430" s="231"/>
      <c r="B1430" s="135" t="s">
        <v>2764</v>
      </c>
      <c r="C1430" s="50">
        <v>95802</v>
      </c>
      <c r="H1430" s="87"/>
      <c r="K1430" s="87"/>
      <c r="P1430" s="87"/>
    </row>
    <row r="1431" spans="1:16">
      <c r="A1431" s="231"/>
      <c r="B1431" s="135" t="s">
        <v>1238</v>
      </c>
      <c r="C1431" s="231">
        <v>95801</v>
      </c>
      <c r="H1431" s="87"/>
      <c r="K1431" s="87"/>
      <c r="P1431" s="87"/>
    </row>
    <row r="1432" spans="1:16">
      <c r="A1432" s="231"/>
      <c r="B1432" s="135" t="s">
        <v>1240</v>
      </c>
      <c r="C1432" s="50">
        <v>95804</v>
      </c>
      <c r="H1432" s="87"/>
      <c r="K1432" s="87"/>
      <c r="P1432" s="87"/>
    </row>
    <row r="1433" spans="1:16">
      <c r="A1433" s="231"/>
      <c r="B1433" s="135" t="s">
        <v>2802</v>
      </c>
      <c r="C1433" s="50">
        <v>90092</v>
      </c>
      <c r="H1433" s="87"/>
      <c r="K1433" s="87"/>
      <c r="P1433" s="87"/>
    </row>
    <row r="1434" spans="1:16">
      <c r="A1434" s="231"/>
      <c r="B1434" s="135" t="s">
        <v>2582</v>
      </c>
      <c r="C1434" s="50">
        <v>99081</v>
      </c>
      <c r="H1434" s="87"/>
      <c r="K1434" s="87"/>
      <c r="P1434" s="87"/>
    </row>
    <row r="1435" spans="1:16">
      <c r="A1435" s="231"/>
      <c r="B1435" s="135" t="s">
        <v>2583</v>
      </c>
      <c r="C1435" s="231">
        <v>96071</v>
      </c>
      <c r="H1435" s="87"/>
      <c r="K1435" s="87"/>
      <c r="P1435" s="87"/>
    </row>
    <row r="1436" spans="1:16">
      <c r="A1436" s="231"/>
      <c r="B1436" s="135" t="s">
        <v>1096</v>
      </c>
      <c r="C1436" s="50">
        <v>94002</v>
      </c>
      <c r="H1436" s="87"/>
      <c r="K1436" s="87"/>
      <c r="P1436" s="87"/>
    </row>
    <row r="1437" spans="1:16">
      <c r="A1437" s="231"/>
      <c r="B1437" s="135" t="s">
        <v>2584</v>
      </c>
      <c r="C1437" s="50">
        <v>97840</v>
      </c>
      <c r="H1437" s="87"/>
      <c r="K1437" s="87"/>
      <c r="P1437" s="87"/>
    </row>
    <row r="1438" spans="1:16">
      <c r="A1438" s="231"/>
      <c r="B1438" s="135" t="s">
        <v>1425</v>
      </c>
      <c r="C1438" s="50">
        <v>97847</v>
      </c>
      <c r="H1438" s="87"/>
      <c r="K1438" s="87"/>
      <c r="P1438" s="87"/>
    </row>
    <row r="1439" spans="1:16">
      <c r="A1439" s="231"/>
      <c r="B1439" s="135" t="s">
        <v>2585</v>
      </c>
      <c r="C1439" s="50">
        <v>97921</v>
      </c>
      <c r="H1439" s="87"/>
      <c r="K1439" s="87"/>
      <c r="P1439" s="87"/>
    </row>
    <row r="1440" spans="1:16">
      <c r="A1440" s="231"/>
      <c r="B1440" s="135" t="s">
        <v>2586</v>
      </c>
      <c r="C1440" s="231">
        <v>95221</v>
      </c>
      <c r="H1440" s="87"/>
      <c r="K1440" s="87"/>
      <c r="P1440" s="87"/>
    </row>
    <row r="1441" spans="1:16">
      <c r="A1441" s="231"/>
      <c r="B1441" s="135" t="s">
        <v>2587</v>
      </c>
      <c r="C1441" s="50">
        <v>93610</v>
      </c>
      <c r="H1441" s="87"/>
      <c r="K1441" s="87"/>
      <c r="P1441" s="87"/>
    </row>
    <row r="1442" spans="1:16">
      <c r="A1442" s="231"/>
      <c r="B1442" s="135" t="s">
        <v>1248</v>
      </c>
      <c r="C1442" s="50">
        <v>95901</v>
      </c>
      <c r="H1442" s="87"/>
      <c r="K1442" s="87"/>
      <c r="P1442" s="87"/>
    </row>
    <row r="1443" spans="1:16">
      <c r="A1443" s="231"/>
      <c r="B1443" s="135" t="s">
        <v>1988</v>
      </c>
      <c r="C1443" s="50">
        <v>90114</v>
      </c>
      <c r="H1443" s="87"/>
      <c r="K1443" s="87"/>
      <c r="P1443" s="87"/>
    </row>
    <row r="1444" spans="1:16">
      <c r="A1444" s="231"/>
      <c r="B1444" s="135" t="s">
        <v>1253</v>
      </c>
      <c r="C1444" s="50">
        <v>96001</v>
      </c>
      <c r="H1444" s="87"/>
      <c r="K1444" s="87"/>
      <c r="P1444" s="87"/>
    </row>
    <row r="1445" spans="1:16">
      <c r="A1445" s="231"/>
      <c r="B1445" s="135" t="s">
        <v>1255</v>
      </c>
      <c r="C1445" s="50">
        <v>96004</v>
      </c>
      <c r="H1445" s="87"/>
      <c r="K1445" s="87"/>
      <c r="P1445" s="87"/>
    </row>
    <row r="1446" spans="1:16">
      <c r="A1446" s="231"/>
      <c r="B1446" s="135" t="s">
        <v>2801</v>
      </c>
      <c r="C1446" s="50">
        <v>96008</v>
      </c>
      <c r="H1446" s="87"/>
      <c r="K1446" s="87"/>
      <c r="P1446" s="87"/>
    </row>
    <row r="1447" spans="1:16">
      <c r="A1447" s="231"/>
      <c r="B1447" s="135" t="s">
        <v>833</v>
      </c>
      <c r="C1447" s="231">
        <v>91108</v>
      </c>
      <c r="H1447" s="87"/>
      <c r="K1447" s="87"/>
      <c r="P1447" s="87"/>
    </row>
    <row r="1448" spans="1:16">
      <c r="A1448" s="231"/>
      <c r="B1448" s="135" t="s">
        <v>1181</v>
      </c>
      <c r="C1448" s="50">
        <v>94941</v>
      </c>
      <c r="H1448" s="87"/>
      <c r="K1448" s="87"/>
      <c r="P1448" s="87"/>
    </row>
    <row r="1449" spans="1:16">
      <c r="A1449" s="231"/>
      <c r="B1449" s="135" t="s">
        <v>2588</v>
      </c>
      <c r="C1449" s="50">
        <v>95122</v>
      </c>
      <c r="H1449" s="87"/>
      <c r="K1449" s="87"/>
      <c r="P1449" s="87"/>
    </row>
    <row r="1450" spans="1:16">
      <c r="A1450" s="231"/>
      <c r="B1450" s="135" t="s">
        <v>971</v>
      </c>
      <c r="C1450" s="50">
        <v>92607</v>
      </c>
      <c r="H1450" s="87"/>
      <c r="K1450" s="87"/>
      <c r="P1450" s="87"/>
    </row>
    <row r="1451" spans="1:16">
      <c r="A1451" s="231"/>
      <c r="B1451" s="135" t="s">
        <v>2589</v>
      </c>
      <c r="C1451" s="50">
        <v>96431</v>
      </c>
      <c r="H1451" s="87"/>
      <c r="K1451" s="87"/>
      <c r="P1451" s="87"/>
    </row>
    <row r="1452" spans="1:16">
      <c r="A1452" s="231"/>
      <c r="B1452" s="135" t="s">
        <v>778</v>
      </c>
      <c r="C1452" s="50">
        <v>90709</v>
      </c>
      <c r="H1452" s="87"/>
      <c r="K1452" s="87"/>
      <c r="P1452" s="87"/>
    </row>
    <row r="1453" spans="1:16">
      <c r="A1453" s="231"/>
      <c r="B1453" s="135" t="s">
        <v>2590</v>
      </c>
      <c r="C1453" s="50">
        <v>91341</v>
      </c>
      <c r="H1453" s="87"/>
      <c r="K1453" s="87"/>
      <c r="P1453" s="87"/>
    </row>
    <row r="1454" spans="1:16">
      <c r="A1454" s="231"/>
      <c r="B1454" s="135" t="s">
        <v>2591</v>
      </c>
      <c r="C1454" s="231">
        <v>92941</v>
      </c>
      <c r="H1454" s="87"/>
      <c r="K1454" s="87"/>
      <c r="P1454" s="87"/>
    </row>
    <row r="1455" spans="1:16">
      <c r="A1455" s="231"/>
      <c r="B1455" s="135" t="s">
        <v>2592</v>
      </c>
      <c r="C1455" s="50">
        <v>94551</v>
      </c>
      <c r="H1455" s="87"/>
      <c r="K1455" s="87"/>
      <c r="P1455" s="87"/>
    </row>
    <row r="1456" spans="1:16">
      <c r="A1456" s="231"/>
      <c r="B1456" s="135" t="s">
        <v>2593</v>
      </c>
      <c r="C1456" s="50">
        <v>99022</v>
      </c>
      <c r="H1456" s="87"/>
      <c r="K1456" s="87"/>
      <c r="P1456" s="87"/>
    </row>
    <row r="1457" spans="1:16">
      <c r="A1457" s="231"/>
      <c r="B1457" s="135" t="s">
        <v>2594</v>
      </c>
      <c r="C1457" s="50">
        <v>96031</v>
      </c>
      <c r="H1457" s="87"/>
      <c r="K1457" s="87"/>
      <c r="P1457" s="87"/>
    </row>
    <row r="1458" spans="1:16">
      <c r="A1458" s="231"/>
      <c r="B1458" s="135" t="s">
        <v>2595</v>
      </c>
      <c r="C1458" s="231">
        <v>98414</v>
      </c>
      <c r="H1458" s="87"/>
      <c r="K1458" s="87"/>
      <c r="P1458" s="87"/>
    </row>
    <row r="1459" spans="1:16">
      <c r="A1459" s="231"/>
      <c r="B1459" s="135" t="s">
        <v>1269</v>
      </c>
      <c r="C1459" s="50">
        <v>96101</v>
      </c>
      <c r="H1459" s="87"/>
      <c r="K1459" s="87"/>
      <c r="P1459" s="87"/>
    </row>
    <row r="1460" spans="1:16">
      <c r="A1460" s="231"/>
      <c r="B1460" s="135" t="s">
        <v>2800</v>
      </c>
      <c r="C1460" s="50">
        <v>96102</v>
      </c>
      <c r="H1460" s="87"/>
      <c r="K1460" s="87"/>
      <c r="P1460" s="87"/>
    </row>
    <row r="1461" spans="1:16">
      <c r="A1461" s="231"/>
      <c r="B1461" s="135" t="s">
        <v>2596</v>
      </c>
      <c r="C1461" s="50">
        <v>93011</v>
      </c>
      <c r="H1461" s="87"/>
      <c r="K1461" s="87"/>
      <c r="P1461" s="87"/>
    </row>
    <row r="1462" spans="1:16">
      <c r="A1462" s="231"/>
      <c r="B1462" s="135" t="s">
        <v>1989</v>
      </c>
      <c r="C1462" s="50">
        <v>99011</v>
      </c>
      <c r="H1462" s="87"/>
      <c r="K1462" s="87"/>
      <c r="P1462" s="87"/>
    </row>
    <row r="1463" spans="1:16">
      <c r="A1463" s="231"/>
      <c r="B1463" s="135" t="s">
        <v>1526</v>
      </c>
      <c r="C1463" s="50">
        <v>99017</v>
      </c>
      <c r="H1463" s="87"/>
      <c r="K1463" s="87"/>
      <c r="P1463" s="87"/>
    </row>
    <row r="1464" spans="1:16">
      <c r="A1464" s="231"/>
      <c r="B1464" s="135" t="s">
        <v>1990</v>
      </c>
      <c r="C1464" s="50">
        <v>99013</v>
      </c>
      <c r="H1464" s="87"/>
      <c r="K1464" s="87"/>
      <c r="P1464" s="87"/>
    </row>
    <row r="1465" spans="1:16">
      <c r="A1465" s="231"/>
      <c r="B1465" s="135" t="s">
        <v>1273</v>
      </c>
      <c r="C1465" s="50">
        <v>96201</v>
      </c>
      <c r="H1465" s="87"/>
      <c r="K1465" s="87"/>
      <c r="P1465" s="87"/>
    </row>
    <row r="1466" spans="1:16">
      <c r="A1466" s="231"/>
      <c r="B1466" s="135" t="s">
        <v>1274</v>
      </c>
      <c r="C1466" s="50">
        <v>96204</v>
      </c>
      <c r="H1466" s="87"/>
      <c r="K1466" s="87"/>
      <c r="P1466" s="87"/>
    </row>
    <row r="1467" spans="1:16">
      <c r="A1467" s="231"/>
      <c r="B1467" s="135" t="s">
        <v>2597</v>
      </c>
      <c r="C1467" s="50">
        <v>91161</v>
      </c>
      <c r="H1467" s="87"/>
      <c r="K1467" s="87"/>
      <c r="P1467" s="87"/>
    </row>
    <row r="1468" spans="1:16">
      <c r="A1468" s="231"/>
      <c r="B1468" s="135" t="s">
        <v>1280</v>
      </c>
      <c r="C1468" s="50">
        <v>96301</v>
      </c>
      <c r="H1468" s="87"/>
      <c r="K1468" s="87"/>
      <c r="P1468" s="87"/>
    </row>
    <row r="1469" spans="1:16">
      <c r="A1469" s="231"/>
      <c r="B1469" s="135" t="s">
        <v>1282</v>
      </c>
      <c r="C1469" s="50">
        <v>96304</v>
      </c>
      <c r="H1469" s="87"/>
      <c r="K1469" s="87"/>
      <c r="P1469" s="87"/>
    </row>
    <row r="1470" spans="1:16">
      <c r="A1470" s="231"/>
      <c r="B1470" s="135" t="s">
        <v>1284</v>
      </c>
      <c r="C1470" s="50">
        <v>96310</v>
      </c>
      <c r="H1470" s="87"/>
      <c r="K1470" s="87"/>
      <c r="P1470" s="87"/>
    </row>
    <row r="1471" spans="1:16">
      <c r="A1471" s="231"/>
      <c r="B1471" s="135" t="s">
        <v>1283</v>
      </c>
      <c r="C1471" s="50">
        <v>96305</v>
      </c>
      <c r="H1471" s="87"/>
      <c r="K1471" s="87"/>
      <c r="P1471" s="87"/>
    </row>
    <row r="1472" spans="1:16">
      <c r="A1472" s="231"/>
      <c r="B1472" s="135" t="s">
        <v>1991</v>
      </c>
      <c r="C1472" s="50">
        <v>94921</v>
      </c>
      <c r="H1472" s="87"/>
      <c r="K1472" s="87"/>
      <c r="P1472" s="87"/>
    </row>
    <row r="1473" spans="1:16">
      <c r="A1473" s="231"/>
      <c r="B1473" s="135" t="s">
        <v>1179</v>
      </c>
      <c r="C1473" s="50">
        <v>94927</v>
      </c>
      <c r="H1473" s="87"/>
      <c r="K1473" s="87"/>
      <c r="P1473" s="87"/>
    </row>
    <row r="1474" spans="1:16">
      <c r="A1474" s="231"/>
      <c r="B1474" s="135" t="s">
        <v>1178</v>
      </c>
      <c r="C1474" s="50">
        <v>94923</v>
      </c>
      <c r="H1474" s="87"/>
      <c r="K1474" s="87"/>
      <c r="P1474" s="87"/>
    </row>
    <row r="1475" spans="1:16">
      <c r="A1475" s="231"/>
      <c r="B1475" s="135" t="s">
        <v>2598</v>
      </c>
      <c r="C1475" s="50">
        <v>91611</v>
      </c>
      <c r="H1475" s="87"/>
      <c r="K1475" s="87"/>
      <c r="P1475" s="87"/>
    </row>
    <row r="1476" spans="1:16">
      <c r="A1476" s="231"/>
      <c r="B1476" s="135" t="s">
        <v>1992</v>
      </c>
      <c r="C1476" s="50">
        <v>91231</v>
      </c>
      <c r="H1476" s="87"/>
      <c r="K1476" s="87"/>
      <c r="P1476" s="87"/>
    </row>
    <row r="1477" spans="1:16">
      <c r="A1477" s="231"/>
      <c r="B1477" s="135" t="s">
        <v>855</v>
      </c>
      <c r="C1477" s="50">
        <v>91217</v>
      </c>
      <c r="H1477" s="87"/>
      <c r="K1477" s="87"/>
      <c r="P1477" s="87"/>
    </row>
    <row r="1478" spans="1:16">
      <c r="A1478" s="231"/>
      <c r="B1478" s="135" t="s">
        <v>858</v>
      </c>
      <c r="C1478" s="50">
        <v>91233</v>
      </c>
      <c r="H1478" s="87"/>
      <c r="K1478" s="87"/>
      <c r="P1478" s="87"/>
    </row>
    <row r="1479" spans="1:16">
      <c r="A1479" s="231"/>
      <c r="B1479" s="135" t="s">
        <v>2599</v>
      </c>
      <c r="C1479" s="50">
        <v>99206</v>
      </c>
      <c r="H1479" s="87"/>
      <c r="K1479" s="87"/>
      <c r="P1479" s="87"/>
    </row>
    <row r="1480" spans="1:16">
      <c r="A1480" s="231"/>
      <c r="B1480" s="135" t="s">
        <v>2600</v>
      </c>
      <c r="C1480" s="50">
        <v>90461</v>
      </c>
      <c r="H1480" s="87"/>
      <c r="K1480" s="87"/>
      <c r="P1480" s="87"/>
    </row>
    <row r="1481" spans="1:16">
      <c r="A1481" s="231"/>
      <c r="B1481" s="135" t="s">
        <v>1993</v>
      </c>
      <c r="C1481" s="50">
        <v>98631</v>
      </c>
      <c r="H1481" s="87"/>
      <c r="K1481" s="87"/>
      <c r="P1481" s="87"/>
    </row>
    <row r="1482" spans="1:16">
      <c r="A1482" s="231"/>
      <c r="B1482" s="135" t="s">
        <v>1511</v>
      </c>
      <c r="C1482" s="50">
        <v>98637</v>
      </c>
      <c r="H1482" s="87"/>
      <c r="K1482" s="87"/>
      <c r="P1482" s="87"/>
    </row>
    <row r="1483" spans="1:16">
      <c r="A1483" s="231"/>
      <c r="B1483" s="135" t="s">
        <v>2601</v>
      </c>
      <c r="C1483" s="50">
        <v>96251</v>
      </c>
      <c r="H1483" s="87"/>
      <c r="K1483" s="87"/>
      <c r="P1483" s="87"/>
    </row>
    <row r="1484" spans="1:16">
      <c r="A1484" s="231"/>
      <c r="B1484" s="135" t="s">
        <v>1994</v>
      </c>
      <c r="C1484" s="50">
        <v>93691</v>
      </c>
      <c r="H1484" s="87"/>
      <c r="K1484" s="87"/>
      <c r="P1484" s="87"/>
    </row>
    <row r="1485" spans="1:16">
      <c r="A1485" s="231"/>
      <c r="B1485" s="135" t="s">
        <v>2602</v>
      </c>
      <c r="C1485" s="50">
        <v>99621</v>
      </c>
      <c r="H1485" s="87"/>
      <c r="K1485" s="87"/>
      <c r="P1485" s="87"/>
    </row>
    <row r="1486" spans="1:16">
      <c r="A1486" s="231"/>
      <c r="B1486" s="135" t="s">
        <v>3507</v>
      </c>
      <c r="C1486" s="50">
        <v>99623</v>
      </c>
      <c r="H1486" s="87"/>
      <c r="K1486" s="87"/>
      <c r="P1486" s="87"/>
    </row>
    <row r="1487" spans="1:16">
      <c r="A1487" s="231"/>
      <c r="B1487" s="135" t="s">
        <v>2603</v>
      </c>
      <c r="C1487" s="50">
        <v>91321</v>
      </c>
      <c r="H1487" s="87"/>
      <c r="K1487" s="87"/>
      <c r="P1487" s="87"/>
    </row>
    <row r="1488" spans="1:16">
      <c r="A1488" s="231"/>
      <c r="B1488" s="135" t="s">
        <v>3508</v>
      </c>
      <c r="C1488" s="50">
        <v>91327</v>
      </c>
      <c r="H1488" s="87"/>
      <c r="K1488" s="87"/>
      <c r="P1488" s="87"/>
    </row>
    <row r="1489" spans="1:16">
      <c r="A1489" s="231"/>
      <c r="B1489" s="135" t="s">
        <v>2604</v>
      </c>
      <c r="C1489" s="50">
        <v>94621</v>
      </c>
      <c r="H1489" s="87"/>
      <c r="K1489" s="87"/>
      <c r="P1489" s="87"/>
    </row>
    <row r="1490" spans="1:16">
      <c r="A1490" s="231"/>
      <c r="B1490" s="135" t="s">
        <v>2605</v>
      </c>
      <c r="C1490" s="50">
        <v>92011</v>
      </c>
      <c r="H1490" s="87"/>
      <c r="K1490" s="87"/>
      <c r="P1490" s="87"/>
    </row>
    <row r="1491" spans="1:16">
      <c r="A1491" s="231"/>
      <c r="B1491" s="135" t="s">
        <v>925</v>
      </c>
      <c r="C1491" s="50">
        <v>92017</v>
      </c>
      <c r="H1491" s="87"/>
      <c r="K1491" s="87"/>
      <c r="P1491" s="87"/>
    </row>
    <row r="1492" spans="1:16">
      <c r="A1492" s="231"/>
      <c r="B1492" s="135" t="s">
        <v>1616</v>
      </c>
      <c r="C1492" s="53">
        <v>99991</v>
      </c>
      <c r="H1492" s="87"/>
      <c r="K1492" s="87"/>
      <c r="P1492" s="87"/>
    </row>
    <row r="1493" spans="1:16">
      <c r="A1493" s="231"/>
      <c r="B1493" s="135" t="s">
        <v>1617</v>
      </c>
      <c r="C1493" s="53">
        <v>99999</v>
      </c>
      <c r="H1493" s="87"/>
      <c r="K1493" s="87"/>
      <c r="P1493" s="87"/>
    </row>
    <row r="1494" spans="1:16">
      <c r="A1494" s="231"/>
      <c r="B1494" s="135" t="s">
        <v>2609</v>
      </c>
      <c r="C1494" s="231">
        <v>92811</v>
      </c>
      <c r="H1494" s="87"/>
      <c r="K1494" s="87"/>
      <c r="P1494" s="87"/>
    </row>
    <row r="1495" spans="1:16">
      <c r="A1495" s="231"/>
      <c r="B1495" s="135" t="s">
        <v>923</v>
      </c>
      <c r="C1495" s="50">
        <v>92005</v>
      </c>
      <c r="H1495" s="87"/>
      <c r="K1495" s="87"/>
      <c r="P1495" s="87"/>
    </row>
    <row r="1496" spans="1:16">
      <c r="A1496" s="231"/>
      <c r="B1496" s="135" t="s">
        <v>1296</v>
      </c>
      <c r="C1496" s="50">
        <v>96401</v>
      </c>
      <c r="H1496" s="87"/>
      <c r="K1496" s="87"/>
      <c r="P1496" s="87"/>
    </row>
    <row r="1497" spans="1:16">
      <c r="A1497" s="231"/>
      <c r="B1497" s="135" t="s">
        <v>1297</v>
      </c>
      <c r="C1497" s="50">
        <v>96404</v>
      </c>
      <c r="H1497" s="87"/>
      <c r="K1497" s="87"/>
      <c r="P1497" s="87"/>
    </row>
    <row r="1498" spans="1:16">
      <c r="A1498" s="231"/>
      <c r="B1498" s="135" t="s">
        <v>2610</v>
      </c>
      <c r="C1498" s="231">
        <v>96421</v>
      </c>
      <c r="H1498" s="87"/>
      <c r="K1498" s="87"/>
      <c r="P1498" s="87"/>
    </row>
    <row r="1499" spans="1:16">
      <c r="A1499" s="231"/>
      <c r="B1499" s="135" t="s">
        <v>2611</v>
      </c>
      <c r="C1499" s="50">
        <v>91026</v>
      </c>
      <c r="H1499" s="87"/>
      <c r="K1499" s="87"/>
      <c r="P1499" s="87"/>
    </row>
    <row r="1500" spans="1:16">
      <c r="A1500" s="231"/>
      <c r="B1500" s="135" t="s">
        <v>1218</v>
      </c>
      <c r="C1500" s="50">
        <v>95405</v>
      </c>
      <c r="H1500" s="87"/>
      <c r="K1500" s="87"/>
      <c r="P1500" s="87"/>
    </row>
    <row r="1501" spans="1:16">
      <c r="A1501" s="231"/>
      <c r="B1501" s="135" t="s">
        <v>1098</v>
      </c>
      <c r="C1501" s="50">
        <v>94005</v>
      </c>
      <c r="H1501" s="87"/>
      <c r="K1501" s="87"/>
      <c r="P1501" s="87"/>
    </row>
    <row r="1502" spans="1:16">
      <c r="A1502" s="231"/>
      <c r="B1502" s="135" t="s">
        <v>1209</v>
      </c>
      <c r="C1502" s="50">
        <v>95205</v>
      </c>
      <c r="H1502" s="87"/>
      <c r="K1502" s="87"/>
      <c r="P1502" s="87"/>
    </row>
    <row r="1503" spans="1:16">
      <c r="A1503" s="231"/>
      <c r="B1503" s="135" t="s">
        <v>958</v>
      </c>
      <c r="C1503" s="50">
        <v>92507</v>
      </c>
      <c r="H1503" s="87"/>
      <c r="K1503" s="87"/>
      <c r="P1503" s="87"/>
    </row>
    <row r="1504" spans="1:16">
      <c r="A1504" s="231"/>
      <c r="B1504" s="135" t="s">
        <v>1995</v>
      </c>
      <c r="C1504" s="50">
        <v>92511</v>
      </c>
      <c r="H1504" s="87"/>
      <c r="K1504" s="87"/>
      <c r="P1504" s="87"/>
    </row>
    <row r="1505" spans="1:16">
      <c r="A1505" s="231"/>
      <c r="B1505" s="135" t="s">
        <v>2774</v>
      </c>
      <c r="C1505" s="231">
        <v>92113</v>
      </c>
      <c r="H1505" s="87"/>
      <c r="K1505" s="87"/>
      <c r="P1505" s="87"/>
    </row>
    <row r="1506" spans="1:16">
      <c r="A1506" s="231"/>
      <c r="B1506" s="135" t="s">
        <v>2765</v>
      </c>
      <c r="C1506" s="50">
        <v>96502</v>
      </c>
      <c r="H1506" s="87"/>
      <c r="K1506" s="87"/>
      <c r="P1506" s="87"/>
    </row>
    <row r="1507" spans="1:16">
      <c r="A1507" s="231"/>
      <c r="B1507" s="135" t="s">
        <v>1305</v>
      </c>
      <c r="C1507" s="231">
        <v>96501</v>
      </c>
      <c r="H1507" s="87"/>
      <c r="K1507" s="87"/>
      <c r="P1507" s="87"/>
    </row>
    <row r="1508" spans="1:16">
      <c r="A1508" s="231"/>
      <c r="B1508" s="135" t="s">
        <v>1308</v>
      </c>
      <c r="C1508" s="50">
        <v>96504</v>
      </c>
      <c r="H1508" s="87"/>
      <c r="K1508" s="87"/>
      <c r="P1508" s="87"/>
    </row>
    <row r="1509" spans="1:16">
      <c r="A1509" s="231"/>
      <c r="B1509" s="257" t="s">
        <v>2612</v>
      </c>
      <c r="C1509" s="50">
        <v>98471</v>
      </c>
      <c r="H1509" s="87"/>
      <c r="K1509" s="87"/>
      <c r="P1509" s="87"/>
    </row>
    <row r="1510" spans="1:16">
      <c r="A1510" s="231"/>
      <c r="B1510" s="135" t="s">
        <v>2775</v>
      </c>
      <c r="C1510" s="50">
        <v>97913</v>
      </c>
      <c r="H1510" s="87"/>
      <c r="K1510" s="87"/>
      <c r="P1510" s="87"/>
    </row>
    <row r="1511" spans="1:16">
      <c r="A1511" s="231"/>
      <c r="B1511" s="135" t="s">
        <v>2613</v>
      </c>
      <c r="C1511" s="50">
        <v>90621</v>
      </c>
      <c r="H1511" s="87"/>
      <c r="K1511" s="87"/>
      <c r="P1511" s="87"/>
    </row>
    <row r="1512" spans="1:16">
      <c r="A1512" s="231"/>
      <c r="B1512" s="135" t="s">
        <v>2614</v>
      </c>
      <c r="C1512" s="50">
        <v>91621</v>
      </c>
      <c r="H1512" s="87"/>
      <c r="K1512" s="87"/>
      <c r="P1512" s="87"/>
    </row>
    <row r="1513" spans="1:16">
      <c r="A1513" s="231"/>
      <c r="B1513" s="135" t="s">
        <v>1996</v>
      </c>
      <c r="C1513" s="50">
        <v>91871</v>
      </c>
      <c r="H1513" s="87"/>
      <c r="K1513" s="87"/>
      <c r="P1513" s="87"/>
    </row>
    <row r="1514" spans="1:16">
      <c r="A1514" s="231"/>
      <c r="B1514" s="135" t="s">
        <v>2615</v>
      </c>
      <c r="C1514" s="231">
        <v>98231</v>
      </c>
      <c r="H1514" s="87"/>
      <c r="K1514" s="87"/>
      <c r="P1514" s="87"/>
    </row>
    <row r="1515" spans="1:16">
      <c r="A1515" s="231"/>
      <c r="B1515" s="135" t="s">
        <v>2616</v>
      </c>
      <c r="C1515" s="50">
        <v>99311</v>
      </c>
      <c r="H1515" s="87"/>
      <c r="K1515" s="87"/>
      <c r="P1515" s="87"/>
    </row>
    <row r="1516" spans="1:16">
      <c r="A1516" s="231"/>
      <c r="B1516" s="135" t="s">
        <v>2606</v>
      </c>
      <c r="C1516" s="50">
        <v>96751</v>
      </c>
      <c r="H1516" s="87"/>
      <c r="K1516" s="87"/>
      <c r="P1516" s="87"/>
    </row>
    <row r="1517" spans="1:16">
      <c r="A1517" s="231"/>
      <c r="B1517" s="135" t="s">
        <v>2607</v>
      </c>
      <c r="C1517" s="50">
        <v>99711</v>
      </c>
      <c r="H1517" s="87"/>
      <c r="K1517" s="87"/>
      <c r="P1517" s="87"/>
    </row>
    <row r="1518" spans="1:16">
      <c r="A1518" s="231"/>
      <c r="B1518" s="135" t="s">
        <v>2608</v>
      </c>
      <c r="C1518" s="50">
        <v>99717</v>
      </c>
      <c r="H1518" s="87"/>
      <c r="K1518" s="87"/>
      <c r="P1518" s="87"/>
    </row>
    <row r="1519" spans="1:16">
      <c r="A1519" s="231"/>
      <c r="B1519" s="135" t="s">
        <v>1316</v>
      </c>
      <c r="C1519" s="50">
        <v>96601</v>
      </c>
      <c r="H1519" s="87"/>
      <c r="K1519" s="87"/>
      <c r="P1519" s="87"/>
    </row>
    <row r="1520" spans="1:16">
      <c r="A1520" s="231"/>
      <c r="B1520" s="135" t="s">
        <v>1317</v>
      </c>
      <c r="C1520" s="50">
        <v>96604</v>
      </c>
      <c r="H1520" s="87"/>
      <c r="K1520" s="87"/>
      <c r="P1520" s="87"/>
    </row>
    <row r="1521" spans="1:16">
      <c r="A1521" s="231"/>
      <c r="B1521" s="135" t="s">
        <v>1997</v>
      </c>
      <c r="C1521" s="50">
        <v>91012</v>
      </c>
      <c r="H1521" s="87"/>
      <c r="K1521" s="87"/>
      <c r="P1521" s="87"/>
    </row>
    <row r="1522" spans="1:16">
      <c r="A1522" s="231"/>
      <c r="B1522" s="135" t="s">
        <v>753</v>
      </c>
      <c r="C1522" s="50">
        <v>90305</v>
      </c>
      <c r="H1522" s="87"/>
      <c r="K1522" s="87"/>
      <c r="P1522" s="87"/>
    </row>
    <row r="1523" spans="1:16">
      <c r="A1523" s="231"/>
      <c r="B1523" s="135" t="s">
        <v>2617</v>
      </c>
      <c r="C1523" s="50">
        <v>98421</v>
      </c>
      <c r="H1523" s="87"/>
      <c r="K1523" s="87"/>
      <c r="P1523" s="87"/>
    </row>
    <row r="1524" spans="1:16">
      <c r="A1524" s="231"/>
      <c r="B1524" s="135" t="s">
        <v>2799</v>
      </c>
      <c r="C1524" s="50">
        <v>98427</v>
      </c>
      <c r="H1524" s="87"/>
      <c r="K1524" s="87"/>
      <c r="P1524" s="87"/>
    </row>
    <row r="1525" spans="1:16">
      <c r="A1525" s="231"/>
      <c r="B1525" s="135" t="s">
        <v>2618</v>
      </c>
      <c r="C1525" s="50">
        <v>95821</v>
      </c>
      <c r="H1525" s="87"/>
      <c r="K1525" s="87"/>
      <c r="P1525" s="87"/>
    </row>
    <row r="1526" spans="1:16">
      <c r="A1526" s="231"/>
      <c r="B1526" s="135" t="s">
        <v>2619</v>
      </c>
      <c r="C1526" s="50">
        <v>91021</v>
      </c>
      <c r="H1526" s="87"/>
      <c r="K1526" s="87"/>
      <c r="P1526" s="87"/>
    </row>
    <row r="1527" spans="1:16">
      <c r="A1527" s="231"/>
      <c r="B1527" s="135" t="s">
        <v>2798</v>
      </c>
      <c r="C1527" s="50">
        <v>91027</v>
      </c>
      <c r="H1527" s="87"/>
      <c r="K1527" s="87"/>
      <c r="P1527" s="87"/>
    </row>
    <row r="1528" spans="1:16">
      <c r="A1528" s="231"/>
      <c r="B1528" s="135" t="s">
        <v>2620</v>
      </c>
      <c r="C1528" s="50">
        <v>94161</v>
      </c>
      <c r="H1528" s="87"/>
      <c r="K1528" s="87"/>
      <c r="P1528" s="87"/>
    </row>
    <row r="1529" spans="1:16">
      <c r="A1529" s="231"/>
      <c r="B1529" s="135" t="s">
        <v>2621</v>
      </c>
      <c r="C1529" s="50">
        <v>98441</v>
      </c>
      <c r="H1529" s="87"/>
      <c r="K1529" s="87"/>
      <c r="P1529" s="87"/>
    </row>
    <row r="1530" spans="1:16">
      <c r="A1530" s="231"/>
      <c r="B1530" s="135" t="s">
        <v>2622</v>
      </c>
      <c r="C1530" s="50">
        <v>91061</v>
      </c>
      <c r="H1530" s="87"/>
      <c r="K1530" s="87"/>
      <c r="P1530" s="87"/>
    </row>
    <row r="1531" spans="1:16">
      <c r="A1531" s="231"/>
      <c r="B1531" s="135" t="s">
        <v>824</v>
      </c>
      <c r="C1531" s="50">
        <v>91067</v>
      </c>
      <c r="H1531" s="87"/>
      <c r="K1531" s="87"/>
      <c r="P1531" s="87"/>
    </row>
    <row r="1532" spans="1:16">
      <c r="A1532" s="231"/>
      <c r="B1532" s="135" t="s">
        <v>2797</v>
      </c>
      <c r="C1532" s="50">
        <v>94812</v>
      </c>
      <c r="H1532" s="87"/>
      <c r="K1532" s="87"/>
      <c r="P1532" s="87"/>
    </row>
    <row r="1533" spans="1:16">
      <c r="A1533" s="231"/>
      <c r="B1533" s="135" t="s">
        <v>2623</v>
      </c>
      <c r="C1533" s="50">
        <v>95921</v>
      </c>
      <c r="H1533" s="87"/>
      <c r="K1533" s="87"/>
      <c r="P1533" s="87"/>
    </row>
    <row r="1534" spans="1:16">
      <c r="A1534" s="231"/>
      <c r="B1534" s="135" t="s">
        <v>1327</v>
      </c>
      <c r="C1534" s="50">
        <v>96701</v>
      </c>
      <c r="H1534" s="87"/>
      <c r="K1534" s="87"/>
      <c r="P1534" s="87"/>
    </row>
    <row r="1535" spans="1:16">
      <c r="A1535" s="231"/>
      <c r="B1535" s="135" t="s">
        <v>1328</v>
      </c>
      <c r="C1535" s="50">
        <v>96704</v>
      </c>
      <c r="H1535" s="87"/>
      <c r="K1535" s="87"/>
      <c r="P1535" s="87"/>
    </row>
    <row r="1536" spans="1:16">
      <c r="A1536" s="231"/>
      <c r="B1536" s="135" t="s">
        <v>1329</v>
      </c>
      <c r="C1536" s="50">
        <v>96708</v>
      </c>
      <c r="H1536" s="87"/>
      <c r="K1536" s="87"/>
      <c r="P1536" s="87"/>
    </row>
    <row r="1537" spans="1:16">
      <c r="A1537" s="231"/>
      <c r="B1537" s="135" t="s">
        <v>1336</v>
      </c>
      <c r="C1537" s="50">
        <v>96801</v>
      </c>
      <c r="H1537" s="87"/>
      <c r="K1537" s="87"/>
      <c r="P1537" s="87"/>
    </row>
    <row r="1538" spans="1:16">
      <c r="A1538" s="231"/>
      <c r="B1538" s="135" t="s">
        <v>1337</v>
      </c>
      <c r="C1538" s="50">
        <v>96804</v>
      </c>
      <c r="H1538" s="87"/>
      <c r="K1538" s="87"/>
      <c r="P1538" s="87"/>
    </row>
    <row r="1539" spans="1:16">
      <c r="A1539" s="231"/>
      <c r="B1539" s="135" t="s">
        <v>1338</v>
      </c>
      <c r="C1539" s="50">
        <v>96808</v>
      </c>
      <c r="H1539" s="87"/>
      <c r="K1539" s="87"/>
      <c r="P1539" s="87"/>
    </row>
    <row r="1540" spans="1:16">
      <c r="A1540" s="231"/>
      <c r="B1540" s="135" t="s">
        <v>2624</v>
      </c>
      <c r="C1540" s="50">
        <v>96912</v>
      </c>
      <c r="H1540" s="87"/>
      <c r="K1540" s="87"/>
      <c r="P1540" s="87"/>
    </row>
    <row r="1541" spans="1:16">
      <c r="A1541" s="231"/>
      <c r="B1541" s="135" t="s">
        <v>1998</v>
      </c>
      <c r="C1541" s="50">
        <v>93911</v>
      </c>
      <c r="H1541" s="87"/>
      <c r="K1541" s="87"/>
      <c r="P1541" s="87"/>
    </row>
    <row r="1542" spans="1:16">
      <c r="A1542" s="231"/>
      <c r="B1542" s="135" t="s">
        <v>1091</v>
      </c>
      <c r="C1542" s="50">
        <v>93913</v>
      </c>
      <c r="H1542" s="87"/>
      <c r="K1542" s="87"/>
      <c r="P1542" s="87"/>
    </row>
    <row r="1543" spans="1:16">
      <c r="A1543" s="231"/>
      <c r="B1543" s="135" t="s">
        <v>1342</v>
      </c>
      <c r="C1543" s="50">
        <v>96901</v>
      </c>
      <c r="H1543" s="87"/>
      <c r="K1543" s="87"/>
      <c r="P1543" s="87"/>
    </row>
    <row r="1544" spans="1:16">
      <c r="A1544" s="231"/>
      <c r="B1544" s="135" t="s">
        <v>2625</v>
      </c>
      <c r="C1544" s="50">
        <v>97841</v>
      </c>
      <c r="H1544" s="87"/>
      <c r="K1544" s="87"/>
      <c r="P1544" s="87"/>
    </row>
    <row r="1545" spans="1:16">
      <c r="A1545" s="231"/>
      <c r="B1545" s="135" t="s">
        <v>1022</v>
      </c>
      <c r="C1545" s="50">
        <v>93202</v>
      </c>
      <c r="H1545" s="87"/>
      <c r="K1545" s="87"/>
      <c r="P1545" s="87"/>
    </row>
    <row r="1546" spans="1:16">
      <c r="A1546" s="231"/>
      <c r="B1546" s="135" t="s">
        <v>1064</v>
      </c>
      <c r="C1546" s="50">
        <v>93609</v>
      </c>
      <c r="H1546" s="87"/>
      <c r="K1546" s="87"/>
      <c r="P1546" s="87"/>
    </row>
    <row r="1547" spans="1:16">
      <c r="A1547" s="231"/>
      <c r="B1547" s="135" t="s">
        <v>1348</v>
      </c>
      <c r="C1547" s="50">
        <v>97004</v>
      </c>
      <c r="H1547" s="87"/>
      <c r="K1547" s="87"/>
      <c r="P1547" s="87"/>
    </row>
    <row r="1548" spans="1:16">
      <c r="A1548" s="231"/>
      <c r="B1548" s="135" t="s">
        <v>1346</v>
      </c>
      <c r="C1548" s="50">
        <v>97001</v>
      </c>
      <c r="H1548" s="87"/>
      <c r="K1548" s="87"/>
      <c r="P1548" s="87"/>
    </row>
    <row r="1549" spans="1:16">
      <c r="A1549" s="231"/>
      <c r="B1549" s="135" t="s">
        <v>1347</v>
      </c>
      <c r="C1549" s="50">
        <v>97002</v>
      </c>
      <c r="H1549" s="87"/>
      <c r="K1549" s="87"/>
      <c r="P1549" s="87"/>
    </row>
    <row r="1550" spans="1:16">
      <c r="A1550" s="231"/>
      <c r="B1550" s="135" t="s">
        <v>1355</v>
      </c>
      <c r="C1550" s="50">
        <v>97015</v>
      </c>
      <c r="H1550" s="87"/>
      <c r="K1550" s="87"/>
      <c r="P1550" s="87"/>
    </row>
    <row r="1551" spans="1:16">
      <c r="A1551" s="231"/>
      <c r="B1551" s="135" t="s">
        <v>2626</v>
      </c>
      <c r="C1551" s="50">
        <v>90441</v>
      </c>
      <c r="H1551" s="87"/>
      <c r="K1551" s="87"/>
      <c r="P1551" s="87"/>
    </row>
    <row r="1552" spans="1:16">
      <c r="A1552" s="231"/>
      <c r="B1552" s="135" t="s">
        <v>2627</v>
      </c>
      <c r="C1552" s="50">
        <v>97851</v>
      </c>
      <c r="H1552" s="87"/>
      <c r="K1552" s="87"/>
      <c r="P1552" s="87"/>
    </row>
    <row r="1553" spans="1:16">
      <c r="A1553" s="231"/>
      <c r="B1553" s="135" t="s">
        <v>1427</v>
      </c>
      <c r="C1553" s="50">
        <v>97853</v>
      </c>
      <c r="H1553" s="87"/>
      <c r="K1553" s="87"/>
      <c r="P1553" s="87"/>
    </row>
    <row r="1554" spans="1:16">
      <c r="A1554" s="231"/>
      <c r="B1554" s="135" t="s">
        <v>1357</v>
      </c>
      <c r="C1554" s="50">
        <v>97101</v>
      </c>
      <c r="H1554" s="87"/>
      <c r="K1554" s="87"/>
      <c r="P1554" s="87"/>
    </row>
    <row r="1555" spans="1:16">
      <c r="A1555" s="231"/>
      <c r="B1555" s="135" t="s">
        <v>1358</v>
      </c>
      <c r="C1555" s="50">
        <v>97104</v>
      </c>
      <c r="H1555" s="87"/>
      <c r="K1555" s="87"/>
      <c r="P1555" s="87"/>
    </row>
    <row r="1556" spans="1:16">
      <c r="A1556" s="231"/>
      <c r="B1556" s="135" t="s">
        <v>1362</v>
      </c>
      <c r="C1556" s="50">
        <v>97201</v>
      </c>
      <c r="H1556" s="87"/>
      <c r="K1556" s="87"/>
      <c r="P1556" s="87"/>
    </row>
    <row r="1557" spans="1:16">
      <c r="A1557" s="231"/>
      <c r="B1557" s="135" t="s">
        <v>2796</v>
      </c>
      <c r="C1557" s="50">
        <v>97304</v>
      </c>
      <c r="H1557" s="87"/>
      <c r="K1557" s="87"/>
      <c r="P1557" s="87"/>
    </row>
    <row r="1558" spans="1:16">
      <c r="A1558" s="231"/>
      <c r="B1558" s="135" t="s">
        <v>1367</v>
      </c>
      <c r="C1558" s="50">
        <v>97301</v>
      </c>
      <c r="H1558" s="87"/>
      <c r="K1558" s="87"/>
      <c r="P1558" s="87"/>
    </row>
    <row r="1559" spans="1:16">
      <c r="A1559" s="231"/>
      <c r="B1559" s="135" t="s">
        <v>1569</v>
      </c>
      <c r="C1559" s="50">
        <v>99405</v>
      </c>
      <c r="H1559" s="87"/>
      <c r="K1559" s="87"/>
      <c r="P1559" s="87"/>
    </row>
    <row r="1560" spans="1:16">
      <c r="A1560" s="231"/>
      <c r="B1560" s="135" t="s">
        <v>728</v>
      </c>
      <c r="C1560" s="224">
        <v>72265</v>
      </c>
      <c r="H1560" s="87"/>
      <c r="K1560" s="87"/>
      <c r="P1560" s="87"/>
    </row>
    <row r="1561" spans="1:16">
      <c r="A1561" s="231"/>
      <c r="B1561" s="135" t="s">
        <v>2762</v>
      </c>
      <c r="C1561" s="231">
        <v>94112</v>
      </c>
      <c r="H1561" s="87"/>
      <c r="K1561" s="87"/>
      <c r="P1561" s="87"/>
    </row>
    <row r="1562" spans="1:16">
      <c r="A1562" s="231"/>
      <c r="B1562" s="135" t="s">
        <v>1042</v>
      </c>
      <c r="C1562" s="50">
        <v>93406</v>
      </c>
      <c r="H1562" s="87"/>
      <c r="K1562" s="87"/>
      <c r="P1562" s="87"/>
    </row>
    <row r="1563" spans="1:16">
      <c r="A1563" s="231"/>
      <c r="B1563" s="135" t="s">
        <v>2628</v>
      </c>
      <c r="C1563" s="50">
        <v>99651</v>
      </c>
      <c r="H1563" s="87"/>
      <c r="K1563" s="87"/>
      <c r="P1563" s="87"/>
    </row>
    <row r="1564" spans="1:16">
      <c r="A1564" s="231"/>
      <c r="B1564" s="135" t="s">
        <v>2629</v>
      </c>
      <c r="C1564" s="50">
        <v>98611</v>
      </c>
      <c r="H1564" s="87"/>
      <c r="K1564" s="87"/>
      <c r="P1564" s="87"/>
    </row>
    <row r="1565" spans="1:16">
      <c r="A1565" s="231"/>
      <c r="B1565" s="135" t="s">
        <v>1505</v>
      </c>
      <c r="C1565" s="50">
        <v>98607</v>
      </c>
      <c r="H1565" s="87"/>
      <c r="K1565" s="87"/>
      <c r="P1565" s="87"/>
    </row>
    <row r="1566" spans="1:16">
      <c r="A1566" s="231"/>
      <c r="B1566" s="135" t="s">
        <v>2630</v>
      </c>
      <c r="C1566" s="50">
        <v>91641</v>
      </c>
      <c r="H1566" s="87"/>
      <c r="K1566" s="87"/>
      <c r="P1566" s="87"/>
    </row>
    <row r="1567" spans="1:16">
      <c r="A1567" s="231"/>
      <c r="B1567" s="135" t="s">
        <v>2631</v>
      </c>
      <c r="C1567" s="231">
        <v>95161</v>
      </c>
      <c r="H1567" s="87"/>
      <c r="K1567" s="87"/>
      <c r="P1567" s="87"/>
    </row>
    <row r="1568" spans="1:16">
      <c r="A1568" s="231"/>
      <c r="B1568" s="135" t="s">
        <v>2632</v>
      </c>
      <c r="C1568" s="50">
        <v>96361</v>
      </c>
      <c r="H1568" s="87"/>
      <c r="K1568" s="87"/>
      <c r="P1568" s="87"/>
    </row>
    <row r="1569" spans="1:16">
      <c r="A1569" s="231"/>
      <c r="B1569" s="135" t="s">
        <v>1104</v>
      </c>
      <c r="C1569" s="50">
        <v>94108</v>
      </c>
      <c r="H1569" s="87"/>
      <c r="K1569" s="87"/>
      <c r="P1569" s="87"/>
    </row>
    <row r="1570" spans="1:16">
      <c r="A1570" s="231"/>
      <c r="B1570" s="135" t="s">
        <v>2633</v>
      </c>
      <c r="C1570" s="50">
        <v>96351</v>
      </c>
      <c r="H1570" s="87"/>
      <c r="K1570" s="87"/>
      <c r="P1570" s="87"/>
    </row>
    <row r="1571" spans="1:16">
      <c r="A1571" s="231"/>
      <c r="B1571" s="135" t="s">
        <v>2634</v>
      </c>
      <c r="C1571" s="50">
        <v>93331</v>
      </c>
      <c r="H1571" s="87"/>
      <c r="K1571" s="87"/>
      <c r="P1571" s="87"/>
    </row>
    <row r="1572" spans="1:16">
      <c r="A1572" s="231"/>
      <c r="B1572" s="135" t="s">
        <v>2635</v>
      </c>
      <c r="C1572" s="50">
        <v>96021</v>
      </c>
      <c r="H1572" s="87"/>
      <c r="K1572" s="87"/>
      <c r="P1572" s="87"/>
    </row>
    <row r="1573" spans="1:16">
      <c r="A1573" s="231"/>
      <c r="B1573" s="135" t="s">
        <v>2636</v>
      </c>
      <c r="C1573" s="50">
        <v>95421</v>
      </c>
      <c r="H1573" s="87"/>
      <c r="K1573" s="87"/>
      <c r="P1573" s="87"/>
    </row>
    <row r="1574" spans="1:16">
      <c r="A1574" s="231"/>
      <c r="B1574" s="135" t="s">
        <v>1370</v>
      </c>
      <c r="C1574" s="50">
        <v>97401</v>
      </c>
      <c r="H1574" s="87"/>
      <c r="K1574" s="87"/>
      <c r="P1574" s="87"/>
    </row>
    <row r="1575" spans="1:16">
      <c r="A1575" s="231"/>
      <c r="B1575" s="135" t="s">
        <v>1372</v>
      </c>
      <c r="C1575" s="50">
        <v>97404</v>
      </c>
      <c r="H1575" s="87"/>
      <c r="K1575" s="87"/>
      <c r="P1575" s="87"/>
    </row>
    <row r="1576" spans="1:16">
      <c r="A1576" s="231"/>
      <c r="B1576" s="135" t="s">
        <v>2795</v>
      </c>
      <c r="C1576" s="50">
        <v>97402</v>
      </c>
      <c r="H1576" s="87"/>
      <c r="K1576" s="87"/>
      <c r="P1576" s="87"/>
    </row>
    <row r="1577" spans="1:16">
      <c r="A1577" s="231"/>
      <c r="B1577" s="135" t="s">
        <v>2637</v>
      </c>
      <c r="C1577" s="50">
        <v>91921</v>
      </c>
      <c r="H1577" s="87"/>
      <c r="K1577" s="87"/>
      <c r="P1577" s="87"/>
    </row>
    <row r="1578" spans="1:16">
      <c r="A1578" s="231"/>
      <c r="B1578" s="135" t="s">
        <v>1249</v>
      </c>
      <c r="C1578" s="50">
        <v>95908</v>
      </c>
      <c r="H1578" s="87"/>
      <c r="K1578" s="87"/>
      <c r="P1578" s="87"/>
    </row>
    <row r="1579" spans="1:16">
      <c r="A1579" s="231"/>
      <c r="B1579" s="135" t="s">
        <v>2638</v>
      </c>
      <c r="C1579" s="50">
        <v>99411</v>
      </c>
      <c r="H1579" s="87"/>
      <c r="K1579" s="87"/>
      <c r="P1579" s="87"/>
    </row>
    <row r="1580" spans="1:16">
      <c r="A1580" s="231"/>
      <c r="B1580" s="135" t="s">
        <v>1571</v>
      </c>
      <c r="C1580" s="50">
        <v>99413</v>
      </c>
      <c r="H1580" s="87"/>
      <c r="K1580" s="87"/>
      <c r="P1580" s="87"/>
    </row>
    <row r="1581" spans="1:16">
      <c r="A1581" s="231"/>
      <c r="B1581" s="135" t="s">
        <v>1388</v>
      </c>
      <c r="C1581" s="50">
        <v>97501</v>
      </c>
      <c r="H1581" s="87"/>
      <c r="K1581" s="87"/>
      <c r="P1581" s="87"/>
    </row>
    <row r="1582" spans="1:16">
      <c r="A1582" s="231"/>
      <c r="B1582" s="135" t="s">
        <v>2639</v>
      </c>
      <c r="C1582" s="50">
        <v>90431</v>
      </c>
      <c r="H1582" s="87"/>
      <c r="K1582" s="87"/>
      <c r="P1582" s="87"/>
    </row>
    <row r="1583" spans="1:16">
      <c r="A1583" s="231"/>
      <c r="B1583" s="135" t="s">
        <v>2640</v>
      </c>
      <c r="C1583" s="50">
        <v>95211</v>
      </c>
      <c r="H1583" s="87"/>
      <c r="K1583" s="87"/>
      <c r="P1583" s="87"/>
    </row>
    <row r="1584" spans="1:16">
      <c r="A1584" s="231"/>
      <c r="B1584" s="135" t="s">
        <v>2641</v>
      </c>
      <c r="C1584" s="231">
        <v>95181</v>
      </c>
      <c r="H1584" s="87"/>
      <c r="K1584" s="87"/>
      <c r="P1584" s="87"/>
    </row>
    <row r="1585" spans="1:16">
      <c r="A1585" s="231"/>
      <c r="B1585" s="135" t="s">
        <v>2642</v>
      </c>
      <c r="C1585" s="50">
        <v>93351</v>
      </c>
      <c r="H1585" s="87"/>
      <c r="K1585" s="87"/>
      <c r="P1585" s="87"/>
    </row>
    <row r="1586" spans="1:16">
      <c r="A1586" s="231"/>
      <c r="B1586" s="135" t="s">
        <v>1192</v>
      </c>
      <c r="C1586" s="50">
        <v>95105</v>
      </c>
      <c r="H1586" s="87"/>
      <c r="K1586" s="87"/>
      <c r="P1586" s="87"/>
    </row>
    <row r="1587" spans="1:16">
      <c r="A1587" s="231"/>
      <c r="B1587" s="135" t="s">
        <v>2643</v>
      </c>
      <c r="C1587" s="50">
        <v>94711</v>
      </c>
      <c r="H1587" s="87"/>
      <c r="K1587" s="87"/>
      <c r="P1587" s="87"/>
    </row>
    <row r="1588" spans="1:16">
      <c r="A1588" s="231"/>
      <c r="B1588" s="135" t="s">
        <v>1999</v>
      </c>
      <c r="C1588" s="50">
        <v>99211</v>
      </c>
      <c r="H1588" s="87"/>
      <c r="K1588" s="87"/>
      <c r="P1588" s="87"/>
    </row>
    <row r="1589" spans="1:16">
      <c r="A1589" s="231"/>
      <c r="B1589" s="135" t="s">
        <v>2000</v>
      </c>
      <c r="C1589" s="50">
        <v>99213</v>
      </c>
      <c r="H1589" s="87"/>
      <c r="K1589" s="87"/>
      <c r="P1589" s="87"/>
    </row>
    <row r="1590" spans="1:16">
      <c r="A1590" s="231"/>
      <c r="B1590" s="135" t="s">
        <v>1552</v>
      </c>
      <c r="C1590" s="231">
        <v>99218</v>
      </c>
      <c r="H1590" s="87"/>
      <c r="K1590" s="87"/>
      <c r="P1590" s="87"/>
    </row>
    <row r="1591" spans="1:16">
      <c r="A1591" s="231"/>
      <c r="B1591" s="135" t="s">
        <v>2644</v>
      </c>
      <c r="C1591" s="231">
        <v>97641</v>
      </c>
      <c r="H1591" s="87"/>
      <c r="K1591" s="87"/>
      <c r="P1591" s="87"/>
    </row>
    <row r="1592" spans="1:16">
      <c r="A1592" s="231"/>
      <c r="B1592" s="135" t="s">
        <v>2001</v>
      </c>
      <c r="C1592" s="50">
        <v>97621</v>
      </c>
      <c r="H1592" s="87"/>
      <c r="K1592" s="87"/>
      <c r="P1592" s="87"/>
    </row>
    <row r="1593" spans="1:16">
      <c r="A1593" s="231"/>
      <c r="B1593" s="135" t="s">
        <v>2002</v>
      </c>
      <c r="C1593" s="50">
        <v>97627</v>
      </c>
      <c r="H1593" s="87"/>
      <c r="K1593" s="87"/>
      <c r="P1593" s="87"/>
    </row>
    <row r="1594" spans="1:16">
      <c r="A1594" s="231"/>
      <c r="B1594" s="135" t="s">
        <v>2003</v>
      </c>
      <c r="C1594" s="50">
        <v>97623</v>
      </c>
      <c r="H1594" s="87"/>
      <c r="K1594" s="87"/>
      <c r="P1594" s="87"/>
    </row>
    <row r="1595" spans="1:16">
      <c r="A1595" s="231"/>
      <c r="B1595" s="135" t="s">
        <v>1392</v>
      </c>
      <c r="C1595" s="50">
        <v>97601</v>
      </c>
      <c r="H1595" s="87"/>
      <c r="K1595" s="87"/>
      <c r="P1595" s="87"/>
    </row>
    <row r="1596" spans="1:16">
      <c r="A1596" s="231"/>
      <c r="B1596" s="135" t="s">
        <v>2645</v>
      </c>
      <c r="C1596" s="50">
        <v>93681</v>
      </c>
      <c r="H1596" s="87"/>
      <c r="K1596" s="87"/>
      <c r="P1596" s="87"/>
    </row>
    <row r="1597" spans="1:16">
      <c r="A1597" s="231"/>
      <c r="B1597" s="135" t="s">
        <v>2646</v>
      </c>
      <c r="C1597" s="50">
        <v>97871</v>
      </c>
      <c r="H1597" s="87"/>
      <c r="K1597" s="87"/>
      <c r="P1597" s="87"/>
    </row>
    <row r="1598" spans="1:16">
      <c r="A1598" s="231"/>
      <c r="B1598" s="135" t="s">
        <v>1430</v>
      </c>
      <c r="C1598" s="50">
        <v>97877</v>
      </c>
      <c r="H1598" s="87"/>
      <c r="K1598" s="87"/>
      <c r="P1598" s="87"/>
    </row>
    <row r="1599" spans="1:16">
      <c r="A1599" s="231"/>
      <c r="B1599" s="135" t="s">
        <v>1575</v>
      </c>
      <c r="C1599" s="50">
        <v>99502</v>
      </c>
      <c r="H1599" s="87"/>
      <c r="K1599" s="87"/>
      <c r="P1599" s="87"/>
    </row>
    <row r="1600" spans="1:16">
      <c r="A1600" s="231"/>
      <c r="B1600" s="135" t="s">
        <v>2004</v>
      </c>
      <c r="C1600" s="50">
        <v>97911</v>
      </c>
      <c r="H1600" s="87"/>
      <c r="K1600" s="87"/>
      <c r="P1600" s="87"/>
    </row>
    <row r="1601" spans="1:16">
      <c r="A1601" s="231"/>
      <c r="B1601" s="135" t="s">
        <v>1434</v>
      </c>
      <c r="C1601" s="50">
        <v>97917</v>
      </c>
      <c r="H1601" s="87"/>
      <c r="K1601" s="87"/>
      <c r="P1601" s="87"/>
    </row>
    <row r="1602" spans="1:16">
      <c r="A1602" s="231"/>
      <c r="B1602" s="135" t="s">
        <v>2647</v>
      </c>
      <c r="C1602" s="50">
        <v>96611</v>
      </c>
      <c r="H1602" s="87"/>
      <c r="K1602" s="87"/>
      <c r="P1602" s="87"/>
    </row>
    <row r="1603" spans="1:16">
      <c r="A1603" s="231"/>
      <c r="B1603" s="135" t="s">
        <v>2648</v>
      </c>
      <c r="C1603" s="50">
        <v>96741</v>
      </c>
      <c r="H1603" s="87"/>
      <c r="K1603" s="87"/>
      <c r="P1603" s="87"/>
    </row>
    <row r="1604" spans="1:16">
      <c r="A1604" s="231"/>
      <c r="B1604" s="135" t="s">
        <v>1404</v>
      </c>
      <c r="C1604" s="50">
        <v>97701</v>
      </c>
      <c r="H1604" s="87"/>
      <c r="K1604" s="87"/>
      <c r="P1604" s="87"/>
    </row>
    <row r="1605" spans="1:16">
      <c r="A1605" s="231"/>
      <c r="B1605" s="135" t="s">
        <v>2649</v>
      </c>
      <c r="C1605" s="50">
        <v>92541</v>
      </c>
      <c r="H1605" s="87"/>
      <c r="K1605" s="87"/>
      <c r="P1605" s="87"/>
    </row>
    <row r="1606" spans="1:16">
      <c r="A1606" s="231"/>
      <c r="B1606" s="135" t="s">
        <v>2005</v>
      </c>
      <c r="C1606" s="50">
        <v>94221</v>
      </c>
      <c r="H1606" s="87"/>
      <c r="K1606" s="87"/>
      <c r="P1606" s="87"/>
    </row>
    <row r="1607" spans="1:16">
      <c r="A1607" s="231"/>
      <c r="B1607" s="135" t="s">
        <v>1122</v>
      </c>
      <c r="C1607" s="50">
        <v>94209</v>
      </c>
      <c r="H1607" s="87"/>
      <c r="K1607" s="87"/>
      <c r="P1607" s="87"/>
    </row>
    <row r="1608" spans="1:16">
      <c r="A1608" s="231"/>
      <c r="B1608" s="135" t="s">
        <v>2650</v>
      </c>
      <c r="C1608" s="50">
        <v>96341</v>
      </c>
      <c r="H1608" s="87"/>
      <c r="K1608" s="87"/>
      <c r="P1608" s="87"/>
    </row>
    <row r="1609" spans="1:16">
      <c r="A1609" s="231"/>
      <c r="B1609" s="135" t="s">
        <v>2651</v>
      </c>
      <c r="C1609" s="50">
        <v>93821</v>
      </c>
      <c r="H1609" s="87"/>
      <c r="K1609" s="87"/>
      <c r="P1609" s="87"/>
    </row>
    <row r="1610" spans="1:16">
      <c r="A1610" s="231"/>
      <c r="B1610" s="135" t="s">
        <v>2652</v>
      </c>
      <c r="C1610" s="50">
        <v>95851</v>
      </c>
      <c r="H1610" s="87"/>
      <c r="K1610" s="87"/>
      <c r="P1610" s="87"/>
    </row>
    <row r="1611" spans="1:16">
      <c r="A1611" s="231"/>
      <c r="B1611" s="135" t="s">
        <v>1247</v>
      </c>
      <c r="C1611" s="50">
        <v>95853</v>
      </c>
      <c r="H1611" s="87"/>
      <c r="K1611" s="87"/>
      <c r="P1611" s="87"/>
    </row>
    <row r="1612" spans="1:16">
      <c r="A1612" s="231"/>
      <c r="B1612" s="135" t="s">
        <v>1412</v>
      </c>
      <c r="C1612" s="50">
        <v>97801</v>
      </c>
      <c r="H1612" s="87"/>
      <c r="K1612" s="87"/>
      <c r="P1612" s="87"/>
    </row>
    <row r="1613" spans="1:16">
      <c r="A1613" s="231"/>
      <c r="B1613" s="135" t="s">
        <v>1414</v>
      </c>
      <c r="C1613" s="50">
        <v>97803</v>
      </c>
      <c r="H1613" s="87"/>
      <c r="K1613" s="87"/>
      <c r="P1613" s="87"/>
    </row>
    <row r="1614" spans="1:16">
      <c r="A1614" s="231"/>
      <c r="B1614" s="135" t="s">
        <v>1415</v>
      </c>
      <c r="C1614" s="50">
        <v>97805</v>
      </c>
      <c r="H1614" s="87"/>
      <c r="K1614" s="87"/>
      <c r="P1614" s="87"/>
    </row>
    <row r="1615" spans="1:16">
      <c r="A1615" s="231"/>
      <c r="B1615" s="135" t="s">
        <v>2006</v>
      </c>
      <c r="C1615" s="50">
        <v>97711</v>
      </c>
      <c r="H1615" s="87"/>
      <c r="K1615" s="87"/>
      <c r="P1615" s="87"/>
    </row>
    <row r="1616" spans="1:16">
      <c r="A1616" s="231"/>
      <c r="B1616" s="135" t="s">
        <v>2007</v>
      </c>
      <c r="C1616" s="50">
        <v>97727</v>
      </c>
      <c r="H1616" s="87"/>
      <c r="K1616" s="87"/>
      <c r="P1616" s="87"/>
    </row>
    <row r="1617" spans="1:16">
      <c r="A1617" s="231"/>
      <c r="B1617" s="135" t="s">
        <v>1431</v>
      </c>
      <c r="C1617" s="50">
        <v>97901</v>
      </c>
      <c r="H1617" s="87"/>
      <c r="K1617" s="87"/>
      <c r="P1617" s="87"/>
    </row>
    <row r="1618" spans="1:16">
      <c r="A1618" s="231"/>
      <c r="B1618" s="135" t="s">
        <v>1407</v>
      </c>
      <c r="C1618" s="50">
        <v>97713</v>
      </c>
      <c r="H1618" s="87"/>
      <c r="K1618" s="87"/>
      <c r="P1618" s="87"/>
    </row>
    <row r="1619" spans="1:16">
      <c r="A1619" s="231"/>
      <c r="B1619" s="135" t="s">
        <v>2653</v>
      </c>
      <c r="C1619" s="50">
        <v>98071</v>
      </c>
      <c r="H1619" s="87"/>
      <c r="K1619" s="87"/>
      <c r="P1619" s="87"/>
    </row>
    <row r="1620" spans="1:16">
      <c r="A1620" s="231"/>
      <c r="B1620" s="135" t="s">
        <v>2008</v>
      </c>
      <c r="C1620" s="50">
        <v>93321</v>
      </c>
      <c r="H1620" s="87"/>
      <c r="K1620" s="87"/>
      <c r="P1620" s="87"/>
    </row>
    <row r="1621" spans="1:16">
      <c r="A1621" s="231"/>
      <c r="B1621" s="135" t="s">
        <v>1035</v>
      </c>
      <c r="C1621" s="50">
        <v>93323</v>
      </c>
      <c r="H1621" s="87"/>
      <c r="K1621" s="87"/>
      <c r="P1621" s="87"/>
    </row>
    <row r="1622" spans="1:16">
      <c r="A1622" s="231"/>
      <c r="B1622" s="135" t="s">
        <v>1037</v>
      </c>
      <c r="C1622" s="50">
        <v>93333</v>
      </c>
      <c r="H1622" s="87"/>
      <c r="K1622" s="87"/>
      <c r="P1622" s="87"/>
    </row>
    <row r="1623" spans="1:16">
      <c r="A1623" s="231"/>
      <c r="B1623" s="135" t="s">
        <v>2654</v>
      </c>
      <c r="C1623" s="50">
        <v>99203</v>
      </c>
      <c r="H1623" s="87"/>
      <c r="K1623" s="87"/>
      <c r="P1623" s="87"/>
    </row>
    <row r="1624" spans="1:16">
      <c r="A1624" s="231"/>
      <c r="B1624" s="135" t="s">
        <v>2655</v>
      </c>
      <c r="C1624" s="50">
        <v>99421</v>
      </c>
      <c r="H1624" s="87"/>
      <c r="K1624" s="87"/>
      <c r="P1624" s="87"/>
    </row>
    <row r="1625" spans="1:16">
      <c r="A1625" s="231"/>
      <c r="B1625" s="135" t="s">
        <v>2656</v>
      </c>
      <c r="C1625" s="50">
        <v>93161</v>
      </c>
      <c r="H1625" s="87"/>
      <c r="K1625" s="87"/>
      <c r="P1625" s="87"/>
    </row>
    <row r="1626" spans="1:16">
      <c r="A1626" s="231"/>
      <c r="B1626" s="135" t="s">
        <v>2657</v>
      </c>
      <c r="C1626" s="50">
        <v>98261</v>
      </c>
      <c r="H1626" s="87"/>
      <c r="K1626" s="87"/>
      <c r="P1626" s="87"/>
    </row>
    <row r="1627" spans="1:16">
      <c r="A1627" s="231"/>
      <c r="B1627" s="135" t="s">
        <v>1476</v>
      </c>
      <c r="C1627" s="50">
        <v>98237</v>
      </c>
      <c r="H1627" s="87"/>
      <c r="K1627" s="87"/>
      <c r="P1627" s="87"/>
    </row>
    <row r="1628" spans="1:16">
      <c r="A1628" s="231"/>
      <c r="B1628" s="135" t="s">
        <v>1444</v>
      </c>
      <c r="C1628" s="50">
        <v>98003</v>
      </c>
      <c r="H1628" s="87"/>
      <c r="K1628" s="87"/>
      <c r="P1628" s="87"/>
    </row>
    <row r="1629" spans="1:16">
      <c r="A1629" s="231"/>
      <c r="B1629" s="135" t="s">
        <v>2793</v>
      </c>
      <c r="C1629" s="50">
        <v>98008</v>
      </c>
      <c r="H1629" s="87"/>
      <c r="K1629" s="87"/>
      <c r="P1629" s="87"/>
    </row>
    <row r="1630" spans="1:16">
      <c r="A1630" s="231"/>
      <c r="B1630" s="135" t="s">
        <v>1443</v>
      </c>
      <c r="C1630" s="50">
        <v>98002</v>
      </c>
      <c r="H1630" s="87"/>
      <c r="K1630" s="87"/>
      <c r="P1630" s="87"/>
    </row>
    <row r="1631" spans="1:16">
      <c r="A1631" s="231"/>
      <c r="B1631" s="135" t="s">
        <v>1442</v>
      </c>
      <c r="C1631" s="50">
        <v>98001</v>
      </c>
      <c r="H1631" s="87"/>
      <c r="K1631" s="87"/>
      <c r="P1631" s="87"/>
    </row>
    <row r="1632" spans="1:16">
      <c r="A1632" s="231"/>
      <c r="B1632" s="135" t="s">
        <v>1445</v>
      </c>
      <c r="C1632" s="50">
        <v>98004</v>
      </c>
      <c r="H1632" s="87"/>
      <c r="K1632" s="87"/>
      <c r="P1632" s="87"/>
    </row>
    <row r="1633" spans="1:16">
      <c r="A1633" s="231"/>
      <c r="B1633" s="135" t="s">
        <v>2658</v>
      </c>
      <c r="C1633" s="50">
        <v>97861</v>
      </c>
      <c r="H1633" s="87"/>
      <c r="K1633" s="87"/>
      <c r="P1633" s="87"/>
    </row>
    <row r="1634" spans="1:16">
      <c r="A1634" s="231"/>
      <c r="B1634" s="135" t="s">
        <v>2009</v>
      </c>
      <c r="C1634" s="50">
        <v>97311</v>
      </c>
      <c r="H1634" s="87"/>
      <c r="K1634" s="87"/>
      <c r="P1634" s="87"/>
    </row>
    <row r="1635" spans="1:16">
      <c r="A1635" s="231"/>
      <c r="B1635" s="135" t="s">
        <v>2659</v>
      </c>
      <c r="C1635" s="50">
        <v>93431</v>
      </c>
      <c r="H1635" s="87"/>
      <c r="K1635" s="87"/>
      <c r="P1635" s="87"/>
    </row>
    <row r="1636" spans="1:16">
      <c r="A1636" s="231"/>
      <c r="B1636" s="135" t="s">
        <v>2660</v>
      </c>
      <c r="C1636" s="50">
        <v>91214</v>
      </c>
      <c r="H1636" s="87"/>
      <c r="K1636" s="87"/>
      <c r="P1636" s="87"/>
    </row>
    <row r="1637" spans="1:16">
      <c r="A1637" s="231"/>
      <c r="B1637" s="135" t="s">
        <v>1458</v>
      </c>
      <c r="C1637" s="50">
        <v>98101</v>
      </c>
      <c r="H1637" s="87"/>
      <c r="K1637" s="87"/>
      <c r="P1637" s="87"/>
    </row>
    <row r="1638" spans="1:16">
      <c r="A1638" s="231"/>
      <c r="B1638" s="135" t="s">
        <v>2792</v>
      </c>
      <c r="C1638" s="50">
        <v>98103</v>
      </c>
      <c r="H1638" s="87"/>
      <c r="K1638" s="87"/>
      <c r="P1638" s="87"/>
    </row>
    <row r="1639" spans="1:16">
      <c r="A1639" s="231"/>
      <c r="B1639" s="135" t="s">
        <v>2661</v>
      </c>
      <c r="C1639" s="50">
        <v>98141</v>
      </c>
      <c r="H1639" s="87"/>
      <c r="K1639" s="87"/>
      <c r="P1639" s="87"/>
    </row>
    <row r="1640" spans="1:16">
      <c r="A1640" s="231"/>
      <c r="B1640" s="135" t="s">
        <v>2791</v>
      </c>
      <c r="C1640" s="50">
        <v>98147</v>
      </c>
      <c r="H1640" s="87"/>
      <c r="K1640" s="87"/>
      <c r="P1640" s="87"/>
    </row>
    <row r="1641" spans="1:16">
      <c r="A1641" s="231"/>
      <c r="B1641" s="135" t="s">
        <v>2685</v>
      </c>
      <c r="C1641" s="50">
        <v>91032</v>
      </c>
      <c r="H1641" s="87"/>
      <c r="K1641" s="87"/>
      <c r="P1641" s="87"/>
    </row>
    <row r="1642" spans="1:16">
      <c r="A1642" s="231"/>
      <c r="B1642" s="135" t="s">
        <v>2686</v>
      </c>
      <c r="C1642" s="50">
        <v>97831</v>
      </c>
      <c r="H1642" s="87"/>
      <c r="K1642" s="87"/>
      <c r="P1642" s="87"/>
    </row>
    <row r="1643" spans="1:16">
      <c r="A1643" s="231"/>
      <c r="B1643" s="135" t="s">
        <v>2790</v>
      </c>
      <c r="C1643" s="50">
        <v>97837</v>
      </c>
      <c r="H1643" s="87"/>
      <c r="K1643" s="87"/>
      <c r="P1643" s="87"/>
    </row>
    <row r="1644" spans="1:16">
      <c r="A1644" s="231"/>
      <c r="B1644" s="135" t="s">
        <v>2662</v>
      </c>
      <c r="C1644" s="231">
        <v>98221</v>
      </c>
      <c r="H1644" s="87"/>
      <c r="K1644" s="87"/>
      <c r="P1644" s="87"/>
    </row>
    <row r="1645" spans="1:16">
      <c r="A1645" s="231"/>
      <c r="B1645" s="135" t="s">
        <v>2010</v>
      </c>
      <c r="C1645" s="231">
        <v>98011</v>
      </c>
      <c r="H1645" s="87"/>
      <c r="K1645" s="87"/>
      <c r="P1645" s="87"/>
    </row>
    <row r="1646" spans="1:16">
      <c r="A1646" s="231"/>
      <c r="B1646" s="135" t="s">
        <v>2809</v>
      </c>
      <c r="C1646" s="50">
        <v>98013</v>
      </c>
      <c r="H1646" s="87"/>
      <c r="K1646" s="87"/>
      <c r="P1646" s="87"/>
    </row>
    <row r="1647" spans="1:16">
      <c r="A1647" s="231"/>
      <c r="B1647" s="135" t="s">
        <v>2011</v>
      </c>
      <c r="C1647" s="50">
        <v>97531</v>
      </c>
      <c r="H1647" s="87"/>
      <c r="K1647" s="87"/>
      <c r="P1647" s="87"/>
    </row>
    <row r="1648" spans="1:16">
      <c r="A1648" s="231"/>
      <c r="B1648" s="135" t="s">
        <v>1470</v>
      </c>
      <c r="C1648" s="50">
        <v>98201</v>
      </c>
      <c r="H1648" s="87"/>
      <c r="K1648" s="87"/>
      <c r="P1648" s="87"/>
    </row>
    <row r="1649" spans="1:16">
      <c r="A1649" s="231"/>
      <c r="B1649" s="135" t="s">
        <v>1405</v>
      </c>
      <c r="C1649" s="50">
        <v>97705</v>
      </c>
      <c r="H1649" s="87"/>
      <c r="K1649" s="87"/>
      <c r="P1649" s="87"/>
    </row>
    <row r="1650" spans="1:16">
      <c r="A1650" s="231"/>
      <c r="B1650" s="135" t="s">
        <v>1287</v>
      </c>
      <c r="C1650" s="50">
        <v>96318</v>
      </c>
      <c r="H1650" s="87"/>
      <c r="K1650" s="87"/>
      <c r="P1650" s="87"/>
    </row>
    <row r="1651" spans="1:16">
      <c r="A1651" s="231"/>
      <c r="B1651" s="135" t="s">
        <v>2012</v>
      </c>
      <c r="C1651" s="50">
        <v>95311</v>
      </c>
      <c r="H1651" s="87"/>
      <c r="K1651" s="87"/>
      <c r="P1651" s="87"/>
    </row>
    <row r="1652" spans="1:16">
      <c r="A1652" s="231"/>
      <c r="B1652" s="135" t="s">
        <v>1214</v>
      </c>
      <c r="C1652" s="50">
        <v>95317</v>
      </c>
      <c r="H1652" s="87"/>
      <c r="K1652" s="87"/>
      <c r="P1652" s="87"/>
    </row>
    <row r="1653" spans="1:16">
      <c r="A1653" s="231"/>
      <c r="B1653" s="135" t="s">
        <v>2663</v>
      </c>
      <c r="C1653" s="50">
        <v>91421</v>
      </c>
      <c r="H1653" s="87"/>
      <c r="K1653" s="87"/>
      <c r="P1653" s="87"/>
    </row>
    <row r="1654" spans="1:16">
      <c r="A1654" s="231"/>
      <c r="B1654" s="135" t="s">
        <v>1481</v>
      </c>
      <c r="C1654" s="50">
        <v>98301</v>
      </c>
      <c r="H1654" s="87"/>
      <c r="K1654" s="87"/>
      <c r="P1654" s="87"/>
    </row>
    <row r="1655" spans="1:16">
      <c r="A1655" s="231"/>
      <c r="B1655" s="135" t="s">
        <v>1482</v>
      </c>
      <c r="C1655" s="50">
        <v>98304</v>
      </c>
      <c r="H1655" s="87"/>
      <c r="K1655" s="87"/>
      <c r="P1655" s="87"/>
    </row>
    <row r="1656" spans="1:16">
      <c r="A1656" s="231"/>
      <c r="B1656" s="135" t="s">
        <v>2664</v>
      </c>
      <c r="C1656" s="50">
        <v>94241</v>
      </c>
      <c r="H1656" s="87"/>
      <c r="K1656" s="87"/>
      <c r="P1656" s="87"/>
    </row>
    <row r="1657" spans="1:16">
      <c r="A1657" s="231"/>
      <c r="B1657" s="135" t="s">
        <v>2665</v>
      </c>
      <c r="C1657" s="231">
        <v>96681</v>
      </c>
      <c r="H1657" s="87"/>
      <c r="K1657" s="87"/>
      <c r="P1657" s="87"/>
    </row>
    <row r="1658" spans="1:16">
      <c r="A1658" s="231"/>
      <c r="B1658" s="135" t="s">
        <v>2666</v>
      </c>
      <c r="C1658" s="224">
        <v>72593</v>
      </c>
      <c r="H1658" s="87"/>
      <c r="K1658" s="87"/>
      <c r="P1658" s="87"/>
    </row>
    <row r="1659" spans="1:16">
      <c r="A1659" s="231"/>
      <c r="B1659" s="135" t="s">
        <v>2667</v>
      </c>
      <c r="C1659" s="50">
        <v>95121</v>
      </c>
      <c r="H1659" s="87"/>
      <c r="K1659" s="87"/>
      <c r="P1659" s="87"/>
    </row>
    <row r="1660" spans="1:16">
      <c r="A1660" s="231"/>
      <c r="B1660" s="135" t="s">
        <v>1199</v>
      </c>
      <c r="C1660" s="50">
        <v>95123</v>
      </c>
      <c r="H1660" s="87"/>
      <c r="K1660" s="87"/>
      <c r="P1660" s="87"/>
    </row>
    <row r="1661" spans="1:16">
      <c r="A1661" s="231"/>
      <c r="B1661" s="135" t="s">
        <v>2668</v>
      </c>
      <c r="C1661" s="50">
        <v>99531</v>
      </c>
      <c r="H1661" s="87"/>
      <c r="K1661" s="87"/>
      <c r="P1661" s="87"/>
    </row>
    <row r="1662" spans="1:16">
      <c r="A1662" s="231"/>
      <c r="B1662" s="135" t="s">
        <v>2669</v>
      </c>
      <c r="C1662" s="50">
        <v>96671</v>
      </c>
      <c r="H1662" s="87"/>
      <c r="K1662" s="87"/>
      <c r="P1662" s="87"/>
    </row>
    <row r="1663" spans="1:16">
      <c r="A1663" s="231"/>
      <c r="B1663" s="135" t="s">
        <v>2670</v>
      </c>
      <c r="C1663" s="50">
        <v>91081</v>
      </c>
      <c r="H1663" s="87"/>
      <c r="K1663" s="87"/>
      <c r="P1663" s="87"/>
    </row>
    <row r="1664" spans="1:16">
      <c r="A1664" s="231"/>
      <c r="B1664" s="135" t="s">
        <v>822</v>
      </c>
      <c r="C1664" s="50">
        <v>91057</v>
      </c>
      <c r="H1664" s="87"/>
      <c r="K1664" s="87"/>
      <c r="P1664" s="87"/>
    </row>
    <row r="1665" spans="1:16">
      <c r="A1665" s="231"/>
      <c r="B1665" s="135" t="s">
        <v>2671</v>
      </c>
      <c r="C1665" s="50">
        <v>96461</v>
      </c>
      <c r="H1665" s="87"/>
      <c r="K1665" s="87"/>
      <c r="P1665" s="87"/>
    </row>
    <row r="1666" spans="1:16">
      <c r="A1666" s="231"/>
      <c r="B1666" s="135" t="s">
        <v>2013</v>
      </c>
      <c r="C1666" s="50">
        <v>92311</v>
      </c>
      <c r="H1666" s="87"/>
      <c r="K1666" s="87"/>
      <c r="P1666" s="87"/>
    </row>
    <row r="1667" spans="1:16">
      <c r="A1667" s="231"/>
      <c r="B1667" s="135" t="s">
        <v>936</v>
      </c>
      <c r="C1667" s="50">
        <v>92317</v>
      </c>
      <c r="H1667" s="87"/>
      <c r="K1667" s="87"/>
      <c r="P1667" s="87"/>
    </row>
    <row r="1668" spans="1:16">
      <c r="A1668" s="231"/>
      <c r="B1668" s="135" t="s">
        <v>1373</v>
      </c>
      <c r="C1668" s="50">
        <v>97405</v>
      </c>
      <c r="H1668" s="87"/>
      <c r="K1668" s="87"/>
      <c r="P1668" s="87"/>
    </row>
    <row r="1669" spans="1:16">
      <c r="A1669" s="231"/>
      <c r="B1669" s="135" t="s">
        <v>2672</v>
      </c>
      <c r="C1669" s="50">
        <v>91911</v>
      </c>
      <c r="H1669" s="87"/>
      <c r="K1669" s="87"/>
      <c r="P1669" s="87"/>
    </row>
    <row r="1670" spans="1:16">
      <c r="A1670" s="231"/>
      <c r="B1670" s="135" t="s">
        <v>920</v>
      </c>
      <c r="C1670" s="50">
        <v>91917</v>
      </c>
      <c r="H1670" s="87"/>
      <c r="K1670" s="87"/>
      <c r="P1670" s="87"/>
    </row>
    <row r="1671" spans="1:16">
      <c r="A1671" s="231"/>
      <c r="B1671" s="135" t="s">
        <v>2673</v>
      </c>
      <c r="C1671" s="231">
        <v>97481</v>
      </c>
      <c r="H1671" s="87"/>
      <c r="K1671" s="87"/>
      <c r="P1671" s="87"/>
    </row>
    <row r="1672" spans="1:16">
      <c r="A1672" s="231"/>
      <c r="B1672" s="135" t="s">
        <v>840</v>
      </c>
      <c r="C1672" s="53">
        <v>91138</v>
      </c>
      <c r="H1672" s="87"/>
      <c r="K1672" s="87"/>
      <c r="P1672" s="87"/>
    </row>
    <row r="1673" spans="1:16">
      <c r="A1673" s="231"/>
      <c r="B1673" s="135" t="s">
        <v>2674</v>
      </c>
      <c r="C1673" s="50">
        <v>95111</v>
      </c>
      <c r="H1673" s="87"/>
      <c r="K1673" s="87"/>
      <c r="P1673" s="87"/>
    </row>
    <row r="1674" spans="1:16">
      <c r="A1674" s="231"/>
      <c r="B1674" s="135" t="s">
        <v>1196</v>
      </c>
      <c r="C1674" s="50">
        <v>95113</v>
      </c>
      <c r="H1674" s="87"/>
      <c r="K1674" s="87"/>
      <c r="P1674" s="87"/>
    </row>
    <row r="1675" spans="1:16">
      <c r="A1675" s="231"/>
      <c r="B1675" s="135" t="s">
        <v>2675</v>
      </c>
      <c r="C1675" s="50">
        <v>94021</v>
      </c>
      <c r="H1675" s="87"/>
      <c r="K1675" s="87"/>
      <c r="P1675" s="87"/>
    </row>
    <row r="1676" spans="1:16">
      <c r="A1676" s="231"/>
      <c r="B1676" s="135" t="s">
        <v>795</v>
      </c>
      <c r="C1676" s="50">
        <v>90918</v>
      </c>
      <c r="H1676" s="87"/>
      <c r="K1676" s="87"/>
      <c r="P1676" s="87"/>
    </row>
    <row r="1677" spans="1:16">
      <c r="A1677" s="231"/>
      <c r="B1677" s="135" t="s">
        <v>1089</v>
      </c>
      <c r="C1677" s="231">
        <v>93910</v>
      </c>
      <c r="H1677" s="87"/>
      <c r="K1677" s="87"/>
      <c r="P1677" s="87"/>
    </row>
    <row r="1678" spans="1:16">
      <c r="A1678" s="231"/>
      <c r="B1678" s="135" t="s">
        <v>810</v>
      </c>
      <c r="C1678" s="50">
        <v>91013</v>
      </c>
      <c r="H1678" s="87"/>
      <c r="K1678" s="87"/>
      <c r="P1678" s="87"/>
    </row>
    <row r="1679" spans="1:16">
      <c r="A1679" s="231"/>
      <c r="B1679" s="135" t="s">
        <v>2676</v>
      </c>
      <c r="C1679" s="50">
        <v>96311</v>
      </c>
      <c r="H1679" s="87"/>
      <c r="K1679" s="87"/>
      <c r="P1679" s="87"/>
    </row>
    <row r="1680" spans="1:16">
      <c r="A1680" s="231"/>
      <c r="B1680" s="135" t="s">
        <v>2677</v>
      </c>
      <c r="C1680" s="50">
        <v>92841</v>
      </c>
      <c r="H1680" s="87"/>
      <c r="K1680" s="87"/>
      <c r="P1680" s="87"/>
    </row>
    <row r="1681" spans="1:16">
      <c r="A1681" s="231"/>
      <c r="B1681" s="135" t="s">
        <v>1586</v>
      </c>
      <c r="C1681" s="50">
        <v>99609</v>
      </c>
      <c r="H1681" s="87"/>
      <c r="K1681" s="87"/>
      <c r="P1681" s="87"/>
    </row>
    <row r="1682" spans="1:16">
      <c r="A1682" s="231"/>
      <c r="B1682" s="135" t="s">
        <v>2014</v>
      </c>
      <c r="C1682" s="50">
        <v>91011</v>
      </c>
      <c r="H1682" s="87"/>
      <c r="K1682" s="87"/>
      <c r="P1682" s="87"/>
    </row>
    <row r="1683" spans="1:16">
      <c r="A1683" s="231"/>
      <c r="B1683" s="135" t="s">
        <v>2015</v>
      </c>
      <c r="C1683" s="50">
        <v>91017</v>
      </c>
      <c r="H1683" s="87"/>
      <c r="K1683" s="87"/>
      <c r="P1683" s="87"/>
    </row>
    <row r="1684" spans="1:16">
      <c r="A1684" s="231"/>
      <c r="B1684" s="135" t="s">
        <v>1185</v>
      </c>
      <c r="C1684" s="231">
        <v>95008</v>
      </c>
      <c r="H1684" s="87"/>
      <c r="K1684" s="87"/>
      <c r="P1684" s="87"/>
    </row>
    <row r="1685" spans="1:16">
      <c r="A1685" s="231"/>
      <c r="B1685" s="135" t="s">
        <v>2678</v>
      </c>
      <c r="C1685" s="50">
        <v>72657</v>
      </c>
      <c r="H1685" s="87"/>
      <c r="K1685" s="87"/>
      <c r="P1685" s="87"/>
    </row>
    <row r="1686" spans="1:16">
      <c r="A1686" s="231"/>
      <c r="B1686" s="135" t="s">
        <v>2679</v>
      </c>
      <c r="C1686" s="50">
        <v>90307</v>
      </c>
      <c r="H1686" s="87"/>
      <c r="K1686" s="87"/>
      <c r="P1686" s="87"/>
    </row>
    <row r="1687" spans="1:16">
      <c r="A1687" s="231"/>
      <c r="B1687" s="135" t="s">
        <v>2680</v>
      </c>
      <c r="C1687" s="50">
        <v>98031</v>
      </c>
      <c r="H1687" s="87"/>
      <c r="K1687" s="87"/>
      <c r="P1687" s="87"/>
    </row>
    <row r="1688" spans="1:16">
      <c r="A1688" s="231"/>
      <c r="B1688" s="135" t="s">
        <v>2681</v>
      </c>
      <c r="C1688" s="50">
        <v>98121</v>
      </c>
      <c r="H1688" s="87"/>
      <c r="K1688" s="87"/>
      <c r="P1688" s="87"/>
    </row>
    <row r="1689" spans="1:16">
      <c r="A1689" s="231"/>
      <c r="B1689" s="135" t="s">
        <v>2682</v>
      </c>
      <c r="C1689" s="50">
        <v>96411</v>
      </c>
      <c r="H1689" s="87"/>
      <c r="K1689" s="87"/>
      <c r="P1689" s="87"/>
    </row>
    <row r="1690" spans="1:16">
      <c r="A1690" s="231"/>
      <c r="B1690" s="135" t="s">
        <v>2683</v>
      </c>
      <c r="C1690" s="231">
        <v>92661</v>
      </c>
      <c r="H1690" s="87"/>
      <c r="K1690" s="87"/>
      <c r="P1690" s="87"/>
    </row>
    <row r="1691" spans="1:16">
      <c r="A1691" s="231"/>
      <c r="B1691" s="135" t="s">
        <v>2684</v>
      </c>
      <c r="C1691" s="50">
        <v>96111</v>
      </c>
      <c r="H1691" s="87"/>
      <c r="K1691" s="87"/>
      <c r="P1691" s="87"/>
    </row>
    <row r="1692" spans="1:16">
      <c r="A1692" s="231"/>
      <c r="B1692" s="135" t="s">
        <v>2687</v>
      </c>
      <c r="C1692" s="50">
        <v>96061</v>
      </c>
      <c r="H1692" s="87"/>
      <c r="K1692" s="87"/>
      <c r="P1692" s="87"/>
    </row>
    <row r="1693" spans="1:16">
      <c r="A1693" s="231"/>
      <c r="B1693" s="135" t="s">
        <v>2688</v>
      </c>
      <c r="C1693" s="50">
        <v>98481</v>
      </c>
      <c r="H1693" s="87"/>
      <c r="K1693" s="87"/>
      <c r="P1693" s="87"/>
    </row>
    <row r="1694" spans="1:16">
      <c r="A1694" s="231"/>
      <c r="B1694" s="135" t="s">
        <v>2689</v>
      </c>
      <c r="C1694" s="50">
        <v>93602</v>
      </c>
      <c r="H1694" s="87"/>
      <c r="K1694" s="87"/>
      <c r="P1694" s="87"/>
    </row>
    <row r="1695" spans="1:16">
      <c r="A1695" s="231"/>
      <c r="B1695" s="135" t="s">
        <v>1488</v>
      </c>
      <c r="C1695" s="50">
        <v>98401</v>
      </c>
      <c r="H1695" s="87"/>
      <c r="K1695" s="87"/>
      <c r="P1695" s="87"/>
    </row>
    <row r="1696" spans="1:16">
      <c r="A1696" s="231"/>
      <c r="B1696" s="135" t="s">
        <v>2690</v>
      </c>
      <c r="C1696" s="53">
        <v>99821</v>
      </c>
      <c r="H1696" s="87"/>
      <c r="K1696" s="87"/>
      <c r="P1696" s="87"/>
    </row>
    <row r="1697" spans="1:16">
      <c r="A1697" s="231"/>
      <c r="B1697" s="135" t="s">
        <v>2691</v>
      </c>
      <c r="C1697" s="231">
        <v>96211</v>
      </c>
      <c r="H1697" s="87"/>
      <c r="K1697" s="87"/>
      <c r="P1697" s="87"/>
    </row>
    <row r="1698" spans="1:16">
      <c r="A1698" s="231"/>
      <c r="B1698" s="135" t="s">
        <v>2016</v>
      </c>
      <c r="C1698" s="50">
        <v>94911</v>
      </c>
      <c r="H1698" s="87"/>
      <c r="K1698" s="87"/>
      <c r="P1698" s="87"/>
    </row>
    <row r="1699" spans="1:16">
      <c r="A1699" s="231"/>
      <c r="B1699" s="135" t="s">
        <v>1176</v>
      </c>
      <c r="C1699" s="50">
        <v>94917</v>
      </c>
      <c r="H1699" s="87"/>
      <c r="K1699" s="87"/>
      <c r="P1699" s="87"/>
    </row>
    <row r="1700" spans="1:16">
      <c r="A1700" s="231"/>
      <c r="B1700" s="135" t="s">
        <v>2692</v>
      </c>
      <c r="C1700" s="231">
        <v>92621</v>
      </c>
      <c r="H1700" s="87"/>
      <c r="K1700" s="87"/>
      <c r="P1700" s="87"/>
    </row>
    <row r="1701" spans="1:16">
      <c r="A1701" s="231"/>
      <c r="B1701" s="135" t="s">
        <v>1499</v>
      </c>
      <c r="C1701" s="50">
        <v>98501</v>
      </c>
      <c r="H1701" s="87"/>
      <c r="K1701" s="87"/>
      <c r="P1701" s="87"/>
    </row>
    <row r="1702" spans="1:16">
      <c r="A1702" s="231"/>
      <c r="B1702" s="135" t="s">
        <v>2693</v>
      </c>
      <c r="C1702" s="50">
        <v>97931</v>
      </c>
      <c r="H1702" s="87"/>
      <c r="K1702" s="87"/>
      <c r="P1702" s="87"/>
    </row>
    <row r="1703" spans="1:16">
      <c r="A1703" s="231"/>
      <c r="B1703" s="135" t="s">
        <v>2694</v>
      </c>
      <c r="C1703" s="50">
        <v>93914</v>
      </c>
      <c r="H1703" s="87"/>
      <c r="K1703" s="87"/>
      <c r="P1703" s="87"/>
    </row>
    <row r="1704" spans="1:16">
      <c r="A1704" s="231"/>
      <c r="B1704" s="135" t="s">
        <v>2695</v>
      </c>
      <c r="C1704" s="50">
        <v>90651</v>
      </c>
      <c r="H1704" s="87"/>
      <c r="K1704" s="87"/>
      <c r="P1704" s="87"/>
    </row>
    <row r="1705" spans="1:16">
      <c r="A1705" s="231"/>
      <c r="B1705" s="135" t="s">
        <v>2696</v>
      </c>
      <c r="C1705" s="50">
        <v>94171</v>
      </c>
      <c r="H1705" s="87"/>
      <c r="K1705" s="87"/>
      <c r="P1705" s="87"/>
    </row>
    <row r="1706" spans="1:16">
      <c r="A1706" s="231"/>
      <c r="B1706" s="135" t="s">
        <v>1118</v>
      </c>
      <c r="C1706" s="50">
        <v>94172</v>
      </c>
      <c r="H1706" s="87"/>
      <c r="K1706" s="87"/>
      <c r="P1706" s="87"/>
    </row>
    <row r="1707" spans="1:16">
      <c r="A1707" s="231"/>
      <c r="B1707" s="135" t="s">
        <v>2697</v>
      </c>
      <c r="C1707" s="231">
        <v>91041</v>
      </c>
      <c r="H1707" s="87"/>
      <c r="K1707" s="87"/>
      <c r="P1707" s="87"/>
    </row>
    <row r="1708" spans="1:16">
      <c r="A1708" s="231"/>
      <c r="B1708" s="135" t="s">
        <v>2698</v>
      </c>
      <c r="C1708" s="50">
        <v>91047</v>
      </c>
      <c r="H1708" s="87"/>
      <c r="K1708" s="87"/>
      <c r="P1708" s="87"/>
    </row>
    <row r="1709" spans="1:16">
      <c r="A1709" s="231"/>
      <c r="B1709" s="135" t="s">
        <v>2699</v>
      </c>
      <c r="C1709" s="50">
        <v>97131</v>
      </c>
      <c r="H1709" s="87"/>
      <c r="K1709" s="87"/>
      <c r="P1709" s="87"/>
    </row>
    <row r="1710" spans="1:16">
      <c r="A1710" s="231"/>
      <c r="B1710" s="135" t="s">
        <v>1503</v>
      </c>
      <c r="C1710" s="50">
        <v>98601</v>
      </c>
      <c r="H1710" s="87"/>
      <c r="K1710" s="87"/>
      <c r="P1710" s="87"/>
    </row>
    <row r="1711" spans="1:16">
      <c r="A1711" s="231"/>
      <c r="B1711" s="135" t="s">
        <v>1513</v>
      </c>
      <c r="C1711" s="50">
        <v>98701</v>
      </c>
      <c r="H1711" s="87"/>
      <c r="K1711" s="87"/>
      <c r="P1711" s="87"/>
    </row>
    <row r="1712" spans="1:16">
      <c r="A1712" s="231"/>
      <c r="B1712" s="135" t="s">
        <v>2700</v>
      </c>
      <c r="C1712" s="50">
        <v>96721</v>
      </c>
      <c r="H1712" s="87"/>
      <c r="K1712" s="87"/>
      <c r="P1712" s="87"/>
    </row>
    <row r="1713" spans="1:16">
      <c r="A1713" s="231"/>
      <c r="B1713" s="135" t="s">
        <v>2701</v>
      </c>
      <c r="C1713" s="50">
        <v>95011</v>
      </c>
      <c r="H1713" s="87"/>
      <c r="K1713" s="87"/>
      <c r="P1713" s="87"/>
    </row>
    <row r="1714" spans="1:16">
      <c r="A1714" s="231"/>
      <c r="B1714" s="135" t="s">
        <v>2702</v>
      </c>
      <c r="C1714" s="50">
        <v>92451</v>
      </c>
      <c r="H1714" s="87"/>
      <c r="K1714" s="87"/>
      <c r="P1714" s="87"/>
    </row>
    <row r="1715" spans="1:16">
      <c r="A1715" s="231"/>
      <c r="B1715" s="135" t="s">
        <v>2703</v>
      </c>
      <c r="C1715" s="50">
        <v>93311</v>
      </c>
      <c r="H1715" s="87"/>
      <c r="K1715" s="87"/>
      <c r="P1715" s="87"/>
    </row>
    <row r="1716" spans="1:16">
      <c r="A1716" s="231"/>
      <c r="B1716" s="135" t="s">
        <v>1033</v>
      </c>
      <c r="C1716" s="50">
        <v>93317</v>
      </c>
      <c r="H1716" s="87"/>
      <c r="K1716" s="87"/>
      <c r="P1716" s="87"/>
    </row>
    <row r="1717" spans="1:16">
      <c r="A1717" s="231"/>
      <c r="B1717" s="135" t="s">
        <v>2704</v>
      </c>
      <c r="C1717" s="50">
        <v>90211</v>
      </c>
      <c r="H1717" s="87"/>
      <c r="K1717" s="87"/>
      <c r="P1717" s="87"/>
    </row>
    <row r="1718" spans="1:16">
      <c r="A1718" s="231"/>
      <c r="B1718" s="135" t="s">
        <v>2705</v>
      </c>
      <c r="C1718" s="50">
        <v>96302</v>
      </c>
      <c r="H1718" s="87"/>
      <c r="K1718" s="87"/>
      <c r="P1718" s="87"/>
    </row>
    <row r="1719" spans="1:16">
      <c r="A1719" s="231"/>
      <c r="B1719" s="135" t="s">
        <v>2706</v>
      </c>
      <c r="C1719" s="50">
        <v>93181</v>
      </c>
      <c r="H1719" s="87"/>
      <c r="K1719" s="87"/>
      <c r="P1719" s="87"/>
    </row>
    <row r="1720" spans="1:16">
      <c r="A1720" s="231"/>
      <c r="B1720" s="135" t="s">
        <v>2017</v>
      </c>
      <c r="C1720" s="50">
        <v>92911</v>
      </c>
      <c r="H1720" s="87"/>
      <c r="K1720" s="87"/>
      <c r="P1720" s="87"/>
    </row>
    <row r="1721" spans="1:16">
      <c r="A1721" s="231"/>
      <c r="B1721" s="135" t="s">
        <v>997</v>
      </c>
      <c r="C1721" s="50">
        <v>92914</v>
      </c>
      <c r="H1721" s="87"/>
      <c r="K1721" s="87"/>
      <c r="P1721" s="87"/>
    </row>
    <row r="1722" spans="1:16">
      <c r="A1722" s="231"/>
      <c r="B1722" s="135" t="s">
        <v>996</v>
      </c>
      <c r="C1722" s="50">
        <v>92913</v>
      </c>
      <c r="H1722" s="87"/>
      <c r="K1722" s="87"/>
      <c r="P1722" s="87"/>
    </row>
    <row r="1723" spans="1:16">
      <c r="A1723" s="231"/>
      <c r="B1723" s="135" t="s">
        <v>2707</v>
      </c>
      <c r="C1723" s="50">
        <v>93471</v>
      </c>
      <c r="H1723" s="87"/>
      <c r="K1723" s="87"/>
      <c r="P1723" s="87"/>
    </row>
    <row r="1724" spans="1:16">
      <c r="A1724" s="231"/>
      <c r="B1724" s="135" t="s">
        <v>736</v>
      </c>
      <c r="C1724" s="50">
        <v>90098</v>
      </c>
      <c r="H1724" s="87"/>
      <c r="K1724" s="87"/>
      <c r="P1724" s="87"/>
    </row>
    <row r="1725" spans="1:16">
      <c r="A1725" s="231"/>
      <c r="B1725" s="135" t="s">
        <v>2708</v>
      </c>
      <c r="C1725" s="50">
        <v>97121</v>
      </c>
      <c r="H1725" s="87"/>
      <c r="K1725" s="87"/>
      <c r="P1725" s="87"/>
    </row>
    <row r="1726" spans="1:16">
      <c r="A1726" s="231"/>
      <c r="B1726" s="135" t="s">
        <v>1516</v>
      </c>
      <c r="C1726" s="50">
        <v>98801</v>
      </c>
      <c r="H1726" s="87"/>
      <c r="K1726" s="87"/>
      <c r="P1726" s="87"/>
    </row>
    <row r="1727" spans="1:16">
      <c r="A1727" s="231"/>
      <c r="B1727" s="135" t="s">
        <v>2709</v>
      </c>
      <c r="C1727" s="50">
        <v>92521</v>
      </c>
      <c r="H1727" s="87"/>
      <c r="K1727" s="87"/>
      <c r="P1727" s="87"/>
    </row>
    <row r="1728" spans="1:16">
      <c r="A1728" s="231"/>
      <c r="B1728" s="135" t="s">
        <v>1046</v>
      </c>
      <c r="C1728" s="50">
        <v>93417</v>
      </c>
      <c r="H1728" s="87"/>
      <c r="K1728" s="87"/>
      <c r="P1728" s="87"/>
    </row>
    <row r="1729" spans="1:16">
      <c r="A1729" s="231"/>
      <c r="B1729" s="135" t="s">
        <v>1027</v>
      </c>
      <c r="C1729" s="50">
        <v>93219</v>
      </c>
      <c r="H1729" s="87"/>
      <c r="K1729" s="87"/>
      <c r="P1729" s="87"/>
    </row>
    <row r="1730" spans="1:16">
      <c r="A1730" s="231"/>
      <c r="B1730" s="135" t="s">
        <v>961</v>
      </c>
      <c r="C1730" s="50">
        <v>92513</v>
      </c>
      <c r="H1730" s="87"/>
      <c r="K1730" s="87"/>
      <c r="P1730" s="87"/>
    </row>
    <row r="1731" spans="1:16">
      <c r="A1731" s="231"/>
      <c r="B1731" s="135" t="s">
        <v>2018</v>
      </c>
      <c r="C1731" s="50">
        <v>97661</v>
      </c>
      <c r="H1731" s="87"/>
      <c r="K1731" s="87"/>
      <c r="P1731" s="87"/>
    </row>
    <row r="1732" spans="1:16">
      <c r="A1732" s="231"/>
      <c r="B1732" s="135" t="s">
        <v>2710</v>
      </c>
      <c r="C1732" s="50">
        <v>94931</v>
      </c>
      <c r="H1732" s="87"/>
      <c r="K1732" s="87"/>
      <c r="P1732" s="87"/>
    </row>
    <row r="1733" spans="1:16">
      <c r="A1733" s="231"/>
      <c r="B1733" s="258" t="s">
        <v>2711</v>
      </c>
      <c r="C1733" s="50">
        <v>94937</v>
      </c>
      <c r="H1733" s="87"/>
      <c r="K1733" s="87"/>
      <c r="P1733" s="87"/>
    </row>
    <row r="1734" spans="1:16">
      <c r="A1734" s="231"/>
      <c r="B1734" s="135" t="s">
        <v>2712</v>
      </c>
      <c r="C1734" s="50">
        <v>96221</v>
      </c>
      <c r="H1734" s="87"/>
      <c r="K1734" s="87"/>
      <c r="P1734" s="87"/>
    </row>
    <row r="1735" spans="1:16">
      <c r="A1735" s="231"/>
      <c r="B1735" s="135" t="s">
        <v>2713</v>
      </c>
      <c r="C1735" s="50">
        <v>97511</v>
      </c>
      <c r="H1735" s="87"/>
      <c r="K1735" s="87"/>
      <c r="P1735" s="87"/>
    </row>
    <row r="1736" spans="1:16">
      <c r="A1736" s="231"/>
      <c r="B1736" s="135" t="s">
        <v>1183</v>
      </c>
      <c r="C1736" s="50">
        <v>95002</v>
      </c>
      <c r="H1736" s="87"/>
      <c r="K1736" s="87"/>
      <c r="P1736" s="87"/>
    </row>
    <row r="1737" spans="1:16">
      <c r="A1737" s="231"/>
      <c r="B1737" s="135" t="s">
        <v>2714</v>
      </c>
      <c r="C1737" s="50">
        <v>98251</v>
      </c>
      <c r="H1737" s="87"/>
      <c r="K1737" s="87"/>
      <c r="P1737" s="87"/>
    </row>
    <row r="1738" spans="1:16">
      <c r="A1738" s="231"/>
      <c r="B1738" s="135" t="s">
        <v>1519</v>
      </c>
      <c r="C1738" s="50">
        <v>98901</v>
      </c>
      <c r="H1738" s="87"/>
      <c r="K1738" s="87"/>
      <c r="P1738" s="87"/>
    </row>
    <row r="1739" spans="1:16">
      <c r="A1739" s="231"/>
      <c r="B1739" s="135" t="s">
        <v>2789</v>
      </c>
      <c r="C1739" s="50">
        <v>98904</v>
      </c>
      <c r="H1739" s="87"/>
      <c r="K1739" s="87"/>
      <c r="P1739" s="87"/>
    </row>
    <row r="1740" spans="1:16">
      <c r="A1740" s="231"/>
      <c r="B1740" s="135" t="s">
        <v>1522</v>
      </c>
      <c r="C1740" s="50">
        <v>99001</v>
      </c>
      <c r="H1740" s="87"/>
      <c r="K1740" s="87"/>
      <c r="P1740" s="87"/>
    </row>
    <row r="1741" spans="1:16">
      <c r="A1741" s="231"/>
      <c r="B1741" s="135" t="s">
        <v>2752</v>
      </c>
      <c r="C1741" s="50">
        <v>99061</v>
      </c>
      <c r="H1741" s="87"/>
      <c r="K1741" s="87"/>
      <c r="P1741" s="87"/>
    </row>
    <row r="1742" spans="1:16">
      <c r="A1742" s="231"/>
      <c r="B1742" s="135" t="s">
        <v>1031</v>
      </c>
      <c r="C1742" s="50">
        <v>93309</v>
      </c>
      <c r="H1742" s="87"/>
      <c r="K1742" s="87"/>
      <c r="P1742" s="87"/>
    </row>
    <row r="1743" spans="1:16">
      <c r="A1743" s="231"/>
      <c r="B1743" s="135" t="s">
        <v>2715</v>
      </c>
      <c r="C1743" s="50">
        <v>91211</v>
      </c>
      <c r="H1743" s="87"/>
      <c r="K1743" s="87"/>
      <c r="P1743" s="87"/>
    </row>
    <row r="1744" spans="1:16">
      <c r="A1744" s="231"/>
      <c r="B1744" s="254" t="s">
        <v>1934</v>
      </c>
      <c r="C1744" s="50">
        <v>94947</v>
      </c>
      <c r="H1744" s="87"/>
      <c r="K1744" s="87"/>
      <c r="P1744" s="87"/>
    </row>
    <row r="1745" spans="1:16">
      <c r="A1745" s="231"/>
      <c r="B1745" s="135" t="s">
        <v>853</v>
      </c>
      <c r="C1745" s="50">
        <v>91213</v>
      </c>
      <c r="H1745" s="87"/>
      <c r="K1745" s="87"/>
      <c r="P1745" s="87"/>
    </row>
    <row r="1746" spans="1:16">
      <c r="A1746" s="231"/>
      <c r="B1746" s="135" t="s">
        <v>1536</v>
      </c>
      <c r="C1746" s="50">
        <v>99101</v>
      </c>
      <c r="H1746" s="87"/>
      <c r="K1746" s="87"/>
      <c r="P1746" s="87"/>
    </row>
    <row r="1747" spans="1:16">
      <c r="A1747" s="231"/>
      <c r="B1747" s="135" t="s">
        <v>2788</v>
      </c>
      <c r="C1747" s="50">
        <v>99104</v>
      </c>
      <c r="H1747" s="87"/>
      <c r="K1747" s="87"/>
      <c r="P1747" s="87"/>
    </row>
    <row r="1748" spans="1:16">
      <c r="A1748" s="231"/>
      <c r="B1748" s="135" t="s">
        <v>2716</v>
      </c>
      <c r="C1748" s="50">
        <v>92551</v>
      </c>
      <c r="H1748" s="87"/>
      <c r="K1748" s="87"/>
      <c r="P1748" s="87"/>
    </row>
    <row r="1749" spans="1:16">
      <c r="A1749" s="231"/>
      <c r="B1749" s="135" t="s">
        <v>2717</v>
      </c>
      <c r="C1749" s="50">
        <v>96321</v>
      </c>
      <c r="H1749" s="87"/>
      <c r="K1749" s="87"/>
      <c r="P1749" s="87"/>
    </row>
    <row r="1750" spans="1:16">
      <c r="A1750" s="231"/>
      <c r="B1750" s="135" t="s">
        <v>1186</v>
      </c>
      <c r="C1750" s="50">
        <v>95009</v>
      </c>
      <c r="H1750" s="87"/>
      <c r="K1750" s="87"/>
      <c r="P1750" s="87"/>
    </row>
    <row r="1751" spans="1:16">
      <c r="A1751" s="231"/>
      <c r="B1751" s="135" t="s">
        <v>2718</v>
      </c>
      <c r="C1751" s="50">
        <v>92641</v>
      </c>
      <c r="H1751" s="87"/>
      <c r="K1751" s="87"/>
      <c r="P1751" s="87"/>
    </row>
    <row r="1752" spans="1:16">
      <c r="A1752" s="231"/>
      <c r="B1752" s="135" t="s">
        <v>2719</v>
      </c>
      <c r="C1752" s="231">
        <v>90411</v>
      </c>
      <c r="H1752" s="87"/>
      <c r="K1752" s="87"/>
      <c r="P1752" s="87"/>
    </row>
    <row r="1753" spans="1:16">
      <c r="A1753" s="231"/>
      <c r="B1753" s="135" t="s">
        <v>758</v>
      </c>
      <c r="C1753" s="50">
        <v>90417</v>
      </c>
      <c r="H1753" s="87"/>
      <c r="K1753" s="87"/>
      <c r="P1753" s="87"/>
    </row>
    <row r="1754" spans="1:16">
      <c r="A1754" s="231"/>
      <c r="B1754" s="135" t="s">
        <v>757</v>
      </c>
      <c r="C1754" s="50">
        <v>90413</v>
      </c>
      <c r="H1754" s="87"/>
      <c r="K1754" s="87"/>
      <c r="P1754" s="87"/>
    </row>
    <row r="1755" spans="1:16">
      <c r="A1755" s="231"/>
      <c r="B1755" s="135" t="s">
        <v>2720</v>
      </c>
      <c r="C1755" s="50">
        <v>98321</v>
      </c>
      <c r="H1755" s="87"/>
      <c r="K1755" s="87"/>
      <c r="P1755" s="87"/>
    </row>
    <row r="1756" spans="1:16">
      <c r="A1756" s="231"/>
      <c r="B1756" s="135" t="s">
        <v>1541</v>
      </c>
      <c r="C1756" s="53">
        <v>99201</v>
      </c>
      <c r="H1756" s="87"/>
      <c r="K1756" s="87"/>
      <c r="P1756" s="87"/>
    </row>
    <row r="1757" spans="1:16">
      <c r="A1757" s="231"/>
      <c r="B1757" s="135" t="s">
        <v>1544</v>
      </c>
      <c r="C1757" s="50">
        <v>99204</v>
      </c>
      <c r="H1757" s="87"/>
      <c r="K1757" s="87"/>
      <c r="P1757" s="87"/>
    </row>
    <row r="1758" spans="1:16">
      <c r="A1758" s="231"/>
      <c r="B1758" s="135" t="s">
        <v>1546</v>
      </c>
      <c r="C1758" s="50">
        <v>99207</v>
      </c>
      <c r="H1758" s="87"/>
      <c r="K1758" s="87"/>
      <c r="P1758" s="87"/>
    </row>
    <row r="1759" spans="1:16">
      <c r="A1759" s="231"/>
      <c r="B1759" s="135" t="s">
        <v>2721</v>
      </c>
      <c r="C1759" s="231">
        <v>99281</v>
      </c>
      <c r="H1759" s="87"/>
      <c r="K1759" s="87"/>
      <c r="P1759" s="87"/>
    </row>
    <row r="1760" spans="1:16">
      <c r="A1760" s="231"/>
      <c r="B1760" s="135" t="s">
        <v>2722</v>
      </c>
      <c r="C1760" s="50">
        <v>93461</v>
      </c>
      <c r="H1760" s="87"/>
      <c r="K1760" s="87"/>
      <c r="P1760" s="87"/>
    </row>
    <row r="1761" spans="1:16">
      <c r="A1761" s="231"/>
      <c r="B1761" s="135" t="s">
        <v>2723</v>
      </c>
      <c r="C1761" s="50">
        <v>93151</v>
      </c>
      <c r="H1761" s="87"/>
      <c r="K1761" s="87"/>
      <c r="P1761" s="87"/>
    </row>
    <row r="1762" spans="1:16">
      <c r="A1762" s="231"/>
      <c r="B1762" s="135" t="s">
        <v>1016</v>
      </c>
      <c r="C1762" s="50">
        <v>93157</v>
      </c>
      <c r="H1762" s="87"/>
      <c r="K1762" s="87"/>
      <c r="P1762" s="87"/>
    </row>
    <row r="1763" spans="1:16">
      <c r="A1763" s="231"/>
      <c r="B1763" s="135" t="s">
        <v>2724</v>
      </c>
      <c r="C1763" s="50">
        <v>98511</v>
      </c>
      <c r="H1763" s="87"/>
      <c r="K1763" s="87"/>
      <c r="P1763" s="87"/>
    </row>
    <row r="1764" spans="1:16">
      <c r="A1764" s="231"/>
      <c r="B1764" s="135" t="s">
        <v>1501</v>
      </c>
      <c r="C1764" s="50">
        <v>98517</v>
      </c>
      <c r="H1764" s="87"/>
      <c r="K1764" s="87"/>
      <c r="P1764" s="87"/>
    </row>
    <row r="1765" spans="1:16">
      <c r="A1765" s="231"/>
      <c r="B1765" s="135" t="s">
        <v>2725</v>
      </c>
      <c r="C1765" s="50">
        <v>99661</v>
      </c>
      <c r="H1765" s="87"/>
      <c r="K1765" s="87"/>
      <c r="P1765" s="87"/>
    </row>
    <row r="1766" spans="1:16">
      <c r="A1766" s="231"/>
      <c r="B1766" s="135" t="s">
        <v>2726</v>
      </c>
      <c r="C1766" s="231">
        <v>94031</v>
      </c>
      <c r="H1766" s="87"/>
      <c r="K1766" s="87"/>
      <c r="P1766" s="87"/>
    </row>
    <row r="1767" spans="1:16">
      <c r="A1767" s="231"/>
      <c r="B1767" s="135" t="s">
        <v>1563</v>
      </c>
      <c r="C1767" s="50">
        <v>99301</v>
      </c>
      <c r="H1767" s="87"/>
      <c r="K1767" s="87"/>
      <c r="P1767" s="87"/>
    </row>
    <row r="1768" spans="1:16">
      <c r="A1768" s="231"/>
      <c r="B1768" s="135" t="s">
        <v>1564</v>
      </c>
      <c r="C1768" s="50">
        <v>99304</v>
      </c>
      <c r="H1768" s="87"/>
      <c r="K1768" s="87"/>
      <c r="P1768" s="87"/>
    </row>
    <row r="1769" spans="1:16">
      <c r="A1769" s="231"/>
      <c r="B1769" s="135" t="s">
        <v>2727</v>
      </c>
      <c r="C1769" s="50">
        <v>99321</v>
      </c>
      <c r="H1769" s="87"/>
      <c r="K1769" s="87"/>
      <c r="P1769" s="87"/>
    </row>
    <row r="1770" spans="1:16">
      <c r="A1770" s="231"/>
      <c r="B1770" s="135" t="s">
        <v>2728</v>
      </c>
      <c r="C1770" s="50">
        <v>93131</v>
      </c>
      <c r="H1770" s="87"/>
      <c r="K1770" s="87"/>
      <c r="P1770" s="87"/>
    </row>
    <row r="1771" spans="1:16">
      <c r="A1771" s="231"/>
      <c r="B1771" s="135" t="s">
        <v>1013</v>
      </c>
      <c r="C1771" s="50">
        <v>93137</v>
      </c>
      <c r="H1771" s="87"/>
      <c r="K1771" s="87"/>
      <c r="P1771" s="87"/>
    </row>
    <row r="1772" spans="1:16">
      <c r="A1772" s="231"/>
      <c r="B1772" s="135" t="s">
        <v>2019</v>
      </c>
      <c r="C1772" s="50">
        <v>90711</v>
      </c>
      <c r="H1772" s="87"/>
      <c r="K1772" s="87"/>
      <c r="P1772" s="87"/>
    </row>
    <row r="1773" spans="1:16">
      <c r="A1773" s="231"/>
      <c r="B1773" s="135" t="s">
        <v>1567</v>
      </c>
      <c r="C1773" s="50">
        <v>99401</v>
      </c>
      <c r="H1773" s="87"/>
      <c r="K1773" s="87"/>
      <c r="P1773" s="87"/>
    </row>
    <row r="1774" spans="1:16">
      <c r="A1774" s="231"/>
      <c r="B1774" s="135" t="s">
        <v>1568</v>
      </c>
      <c r="C1774" s="50">
        <v>99404</v>
      </c>
      <c r="H1774" s="87"/>
      <c r="K1774" s="87"/>
      <c r="P1774" s="87"/>
    </row>
    <row r="1775" spans="1:16">
      <c r="A1775" s="231"/>
      <c r="B1775" s="135" t="s">
        <v>2729</v>
      </c>
      <c r="C1775" s="50">
        <v>90741</v>
      </c>
      <c r="H1775" s="87"/>
      <c r="K1775" s="87"/>
      <c r="P1775" s="87"/>
    </row>
    <row r="1776" spans="1:16">
      <c r="A1776" s="231"/>
      <c r="B1776" s="135" t="s">
        <v>1574</v>
      </c>
      <c r="C1776" s="50">
        <v>99501</v>
      </c>
      <c r="H1776" s="87"/>
      <c r="K1776" s="87"/>
      <c r="P1776" s="87"/>
    </row>
    <row r="1777" spans="1:16">
      <c r="A1777" s="231"/>
      <c r="B1777" s="135" t="s">
        <v>1577</v>
      </c>
      <c r="C1777" s="50">
        <v>99509</v>
      </c>
      <c r="H1777" s="87"/>
      <c r="K1777" s="87"/>
      <c r="P1777" s="87"/>
    </row>
    <row r="1778" spans="1:16">
      <c r="A1778" s="231"/>
      <c r="B1778" s="135" t="s">
        <v>2787</v>
      </c>
      <c r="C1778" s="50">
        <v>91302</v>
      </c>
      <c r="H1778" s="87"/>
      <c r="K1778" s="87"/>
      <c r="P1778" s="87"/>
    </row>
    <row r="1779" spans="1:16">
      <c r="A1779" s="231"/>
      <c r="B1779" s="135" t="s">
        <v>2730</v>
      </c>
      <c r="C1779" s="50">
        <v>99041</v>
      </c>
      <c r="H1779" s="87"/>
      <c r="K1779" s="87"/>
      <c r="P1779" s="87"/>
    </row>
    <row r="1780" spans="1:16">
      <c r="A1780" s="231"/>
      <c r="B1780" s="135" t="s">
        <v>1530</v>
      </c>
      <c r="C1780" s="50">
        <v>99047</v>
      </c>
      <c r="H1780" s="87"/>
      <c r="K1780" s="87"/>
      <c r="P1780" s="87"/>
    </row>
    <row r="1781" spans="1:16">
      <c r="A1781" s="231"/>
      <c r="B1781" s="135" t="s">
        <v>1582</v>
      </c>
      <c r="C1781" s="50">
        <v>99601</v>
      </c>
      <c r="H1781" s="87"/>
      <c r="K1781" s="87"/>
      <c r="P1781" s="87"/>
    </row>
    <row r="1782" spans="1:16">
      <c r="A1782" s="231"/>
      <c r="B1782" s="135" t="s">
        <v>1585</v>
      </c>
      <c r="C1782" s="50">
        <v>99604</v>
      </c>
      <c r="H1782" s="87"/>
      <c r="K1782" s="87"/>
      <c r="P1782" s="87"/>
    </row>
    <row r="1783" spans="1:16">
      <c r="A1783" s="231"/>
      <c r="B1783" s="135" t="s">
        <v>2731</v>
      </c>
      <c r="C1783" s="50">
        <v>94411</v>
      </c>
      <c r="H1783" s="87"/>
      <c r="K1783" s="87"/>
      <c r="P1783" s="87"/>
    </row>
    <row r="1784" spans="1:16">
      <c r="A1784" s="231"/>
      <c r="B1784" s="135" t="s">
        <v>1143</v>
      </c>
      <c r="C1784" s="50">
        <v>94412</v>
      </c>
      <c r="H1784" s="87"/>
      <c r="K1784" s="87"/>
      <c r="P1784" s="87"/>
    </row>
    <row r="1785" spans="1:16">
      <c r="A1785" s="231"/>
      <c r="B1785" s="135" t="s">
        <v>2732</v>
      </c>
      <c r="C1785" s="50">
        <v>91141</v>
      </c>
      <c r="H1785" s="87"/>
      <c r="K1785" s="87"/>
      <c r="P1785" s="87"/>
    </row>
    <row r="1786" spans="1:16">
      <c r="A1786" s="231"/>
      <c r="B1786" s="135" t="s">
        <v>842</v>
      </c>
      <c r="C1786" s="50">
        <v>91147</v>
      </c>
      <c r="H1786" s="87"/>
      <c r="K1786" s="87"/>
      <c r="P1786" s="87"/>
    </row>
    <row r="1787" spans="1:16">
      <c r="A1787" s="231"/>
      <c r="B1787" s="135" t="s">
        <v>2733</v>
      </c>
      <c r="C1787" s="50">
        <v>99071</v>
      </c>
      <c r="H1787" s="87"/>
      <c r="K1787" s="87"/>
      <c r="P1787" s="87"/>
    </row>
    <row r="1788" spans="1:16">
      <c r="A1788" s="231"/>
      <c r="B1788" s="135" t="s">
        <v>2734</v>
      </c>
      <c r="C1788" s="50">
        <v>94231</v>
      </c>
      <c r="H1788" s="87"/>
      <c r="K1788" s="87"/>
      <c r="P1788" s="87"/>
    </row>
    <row r="1789" spans="1:16">
      <c r="A1789" s="231"/>
      <c r="B1789" s="135" t="s">
        <v>2735</v>
      </c>
      <c r="C1789" s="50">
        <v>99231</v>
      </c>
      <c r="H1789" s="87"/>
      <c r="K1789" s="87"/>
      <c r="P1789" s="87"/>
    </row>
    <row r="1790" spans="1:16">
      <c r="A1790" s="231"/>
      <c r="B1790" s="135" t="s">
        <v>2736</v>
      </c>
      <c r="C1790" s="50">
        <v>99091</v>
      </c>
      <c r="H1790" s="87"/>
      <c r="K1790" s="87"/>
      <c r="P1790" s="87"/>
    </row>
    <row r="1791" spans="1:16">
      <c r="A1791" s="231"/>
      <c r="B1791" s="135" t="s">
        <v>836</v>
      </c>
      <c r="C1791" s="231">
        <v>91120</v>
      </c>
      <c r="H1791" s="87"/>
      <c r="K1791" s="87"/>
      <c r="P1791" s="87"/>
    </row>
    <row r="1792" spans="1:16">
      <c r="A1792" s="231"/>
      <c r="B1792" s="135" t="s">
        <v>950</v>
      </c>
      <c r="C1792" s="50">
        <v>92444</v>
      </c>
      <c r="H1792" s="87"/>
      <c r="K1792" s="87"/>
      <c r="P1792" s="87"/>
    </row>
    <row r="1793" spans="1:16">
      <c r="A1793" s="231"/>
      <c r="B1793" s="135" t="s">
        <v>2737</v>
      </c>
      <c r="C1793" s="50">
        <v>90521</v>
      </c>
      <c r="H1793" s="87"/>
      <c r="K1793" s="87"/>
      <c r="P1793" s="87"/>
    </row>
    <row r="1794" spans="1:16">
      <c r="A1794" s="231"/>
      <c r="B1794" s="135" t="s">
        <v>34</v>
      </c>
      <c r="C1794" s="50">
        <v>90507</v>
      </c>
      <c r="H1794" s="87"/>
      <c r="K1794" s="87"/>
      <c r="P1794" s="87"/>
    </row>
    <row r="1795" spans="1:16">
      <c r="A1795" s="231"/>
      <c r="B1795" s="135" t="s">
        <v>969</v>
      </c>
      <c r="C1795" s="50">
        <v>92602</v>
      </c>
      <c r="H1795" s="87"/>
      <c r="K1795" s="87"/>
      <c r="P1795" s="87"/>
    </row>
    <row r="1796" spans="1:16">
      <c r="A1796" s="231"/>
      <c r="B1796" s="135" t="s">
        <v>886</v>
      </c>
      <c r="C1796" s="50">
        <v>91608</v>
      </c>
      <c r="H1796" s="87"/>
      <c r="K1796" s="87"/>
      <c r="P1796" s="87"/>
    </row>
    <row r="1797" spans="1:16">
      <c r="A1797" s="231"/>
      <c r="B1797" s="135" t="s">
        <v>48</v>
      </c>
      <c r="C1797" s="231">
        <v>91119</v>
      </c>
      <c r="H1797" s="87"/>
      <c r="K1797" s="87"/>
      <c r="P1797" s="87"/>
    </row>
    <row r="1798" spans="1:16">
      <c r="A1798" s="231"/>
      <c r="B1798" s="135" t="s">
        <v>832</v>
      </c>
      <c r="C1798" s="50">
        <v>91107</v>
      </c>
      <c r="H1798" s="87"/>
      <c r="K1798" s="87"/>
      <c r="P1798" s="87"/>
    </row>
    <row r="1799" spans="1:16">
      <c r="A1799" s="231"/>
      <c r="B1799" s="135" t="s">
        <v>2786</v>
      </c>
      <c r="C1799" s="50">
        <v>91818</v>
      </c>
      <c r="H1799" s="87"/>
      <c r="K1799" s="87"/>
      <c r="P1799" s="87"/>
    </row>
    <row r="1800" spans="1:16">
      <c r="A1800" s="231"/>
      <c r="B1800" s="135" t="s">
        <v>907</v>
      </c>
      <c r="C1800" s="50">
        <v>91819</v>
      </c>
      <c r="H1800" s="87"/>
      <c r="K1800" s="87"/>
      <c r="P1800" s="87"/>
    </row>
    <row r="1801" spans="1:16">
      <c r="A1801" s="231"/>
      <c r="B1801" s="135" t="s">
        <v>2738</v>
      </c>
      <c r="C1801" s="50">
        <v>96371</v>
      </c>
      <c r="H1801" s="87"/>
      <c r="K1801" s="87"/>
      <c r="P1801" s="87"/>
    </row>
    <row r="1802" spans="1:16">
      <c r="A1802" s="231"/>
      <c r="B1802" s="135" t="s">
        <v>2739</v>
      </c>
      <c r="C1802" s="50">
        <v>96441</v>
      </c>
      <c r="H1802" s="87"/>
      <c r="K1802" s="87"/>
      <c r="P1802" s="87"/>
    </row>
    <row r="1803" spans="1:16">
      <c r="A1803" s="231"/>
      <c r="B1803" s="135" t="s">
        <v>2740</v>
      </c>
      <c r="C1803" s="50">
        <v>90921</v>
      </c>
      <c r="H1803" s="87"/>
      <c r="K1803" s="87"/>
      <c r="P1803" s="87"/>
    </row>
    <row r="1804" spans="1:16">
      <c r="A1804" s="231"/>
      <c r="B1804" s="135" t="s">
        <v>2020</v>
      </c>
      <c r="C1804" s="50">
        <v>92411</v>
      </c>
      <c r="H1804" s="87"/>
      <c r="K1804" s="87"/>
      <c r="P1804" s="87"/>
    </row>
    <row r="1805" spans="1:16">
      <c r="A1805" s="231"/>
      <c r="B1805" s="135" t="s">
        <v>945</v>
      </c>
      <c r="C1805" s="50">
        <v>92417</v>
      </c>
      <c r="H1805" s="87"/>
      <c r="K1805" s="87"/>
      <c r="P1805" s="87"/>
    </row>
    <row r="1806" spans="1:16">
      <c r="A1806" s="231"/>
      <c r="B1806" s="135" t="s">
        <v>943</v>
      </c>
      <c r="C1806" s="50">
        <v>92403</v>
      </c>
      <c r="H1806" s="87"/>
      <c r="K1806" s="87"/>
      <c r="P1806" s="87"/>
    </row>
    <row r="1807" spans="1:16">
      <c r="A1807" s="231"/>
      <c r="B1807" s="135" t="s">
        <v>1595</v>
      </c>
      <c r="C1807" s="50">
        <v>99701</v>
      </c>
      <c r="H1807" s="87"/>
      <c r="K1807" s="87"/>
      <c r="P1807" s="87"/>
    </row>
    <row r="1808" spans="1:16">
      <c r="A1808" s="231"/>
      <c r="B1808" s="135" t="s">
        <v>2741</v>
      </c>
      <c r="C1808" s="50">
        <v>99721</v>
      </c>
      <c r="H1808" s="87"/>
      <c r="K1808" s="87"/>
      <c r="P1808" s="87"/>
    </row>
    <row r="1809" spans="1:16">
      <c r="A1809" s="231"/>
      <c r="B1809" s="135" t="s">
        <v>1600</v>
      </c>
      <c r="C1809" s="50">
        <v>99727</v>
      </c>
      <c r="H1809" s="87"/>
      <c r="K1809" s="87"/>
      <c r="P1809" s="87"/>
    </row>
    <row r="1810" spans="1:16">
      <c r="A1810" s="231"/>
      <c r="B1810" s="135" t="s">
        <v>2742</v>
      </c>
      <c r="C1810" s="50">
        <v>95811</v>
      </c>
      <c r="H1810" s="87"/>
      <c r="K1810" s="87"/>
      <c r="P1810" s="87"/>
    </row>
    <row r="1811" spans="1:16">
      <c r="A1811" s="231"/>
      <c r="B1811" s="135" t="s">
        <v>1242</v>
      </c>
      <c r="C1811" s="50">
        <v>95813</v>
      </c>
      <c r="H1811" s="87"/>
      <c r="K1811" s="87"/>
      <c r="P1811" s="87"/>
    </row>
    <row r="1812" spans="1:16">
      <c r="A1812" s="231"/>
      <c r="B1812" s="135" t="s">
        <v>2021</v>
      </c>
      <c r="C1812" s="50">
        <v>96531</v>
      </c>
      <c r="H1812" s="87"/>
      <c r="K1812" s="87"/>
      <c r="P1812" s="87"/>
    </row>
    <row r="1813" spans="1:16">
      <c r="A1813" s="231"/>
      <c r="B1813" s="135" t="s">
        <v>1307</v>
      </c>
      <c r="C1813" s="50">
        <v>96503</v>
      </c>
      <c r="H1813" s="87"/>
      <c r="K1813" s="87"/>
      <c r="P1813" s="87"/>
    </row>
    <row r="1814" spans="1:16">
      <c r="A1814" s="231"/>
      <c r="B1814" s="135" t="s">
        <v>2022</v>
      </c>
      <c r="C1814" s="50">
        <v>99811</v>
      </c>
      <c r="H1814" s="87"/>
      <c r="K1814" s="87"/>
      <c r="P1814" s="87"/>
    </row>
    <row r="1815" spans="1:16">
      <c r="A1815" s="231"/>
      <c r="B1815" s="135" t="s">
        <v>2023</v>
      </c>
      <c r="C1815" s="53">
        <v>99818</v>
      </c>
      <c r="H1815" s="87"/>
      <c r="K1815" s="87"/>
      <c r="P1815" s="87"/>
    </row>
    <row r="1816" spans="1:16">
      <c r="A1816" s="231"/>
      <c r="B1816" s="135" t="s">
        <v>1601</v>
      </c>
      <c r="C1816" s="50">
        <v>99801</v>
      </c>
      <c r="H1816" s="87"/>
      <c r="K1816" s="87"/>
      <c r="P1816" s="87"/>
    </row>
    <row r="1817" spans="1:16">
      <c r="A1817" s="231"/>
      <c r="B1817" s="135" t="s">
        <v>1603</v>
      </c>
      <c r="C1817" s="50">
        <v>99804</v>
      </c>
      <c r="H1817" s="87"/>
      <c r="K1817" s="87"/>
      <c r="P1817" s="87"/>
    </row>
    <row r="1818" spans="1:16">
      <c r="A1818" s="231"/>
      <c r="B1818" s="135" t="s">
        <v>2773</v>
      </c>
      <c r="C1818" s="50">
        <v>99802</v>
      </c>
      <c r="H1818" s="87"/>
      <c r="K1818" s="87"/>
      <c r="P1818" s="87"/>
    </row>
    <row r="1819" spans="1:16">
      <c r="A1819" s="231"/>
      <c r="B1819" s="135" t="s">
        <v>1605</v>
      </c>
      <c r="C1819" s="53">
        <v>99812</v>
      </c>
      <c r="H1819" s="87"/>
      <c r="K1819" s="87"/>
      <c r="P1819" s="87"/>
    </row>
    <row r="1820" spans="1:16">
      <c r="A1820" s="231"/>
      <c r="B1820" s="135" t="s">
        <v>2743</v>
      </c>
      <c r="C1820" s="50">
        <v>95191</v>
      </c>
      <c r="H1820" s="87"/>
      <c r="K1820" s="87"/>
      <c r="P1820" s="87"/>
    </row>
    <row r="1821" spans="1:16">
      <c r="A1821" s="231"/>
      <c r="B1821" s="135" t="s">
        <v>2744</v>
      </c>
      <c r="C1821" s="50">
        <v>90812</v>
      </c>
      <c r="H1821" s="87"/>
      <c r="K1821" s="87"/>
      <c r="P1821" s="87"/>
    </row>
    <row r="1822" spans="1:16">
      <c r="A1822" s="231"/>
      <c r="B1822" s="135" t="s">
        <v>2745</v>
      </c>
      <c r="C1822" s="50">
        <v>97221</v>
      </c>
      <c r="H1822" s="87"/>
      <c r="K1822" s="87"/>
      <c r="P1822" s="87"/>
    </row>
    <row r="1823" spans="1:16">
      <c r="A1823" s="231"/>
      <c r="B1823" s="135" t="s">
        <v>2746</v>
      </c>
      <c r="C1823" s="50">
        <v>99031</v>
      </c>
      <c r="H1823" s="87"/>
      <c r="K1823" s="87"/>
      <c r="P1823" s="87"/>
    </row>
    <row r="1824" spans="1:16">
      <c r="A1824" s="231"/>
      <c r="B1824" s="135" t="s">
        <v>2024</v>
      </c>
      <c r="C1824" s="50">
        <v>93411</v>
      </c>
      <c r="H1824" s="87"/>
      <c r="K1824" s="87"/>
      <c r="P1824" s="87"/>
    </row>
    <row r="1825" spans="1:16">
      <c r="A1825" s="231"/>
      <c r="B1825" s="135" t="s">
        <v>1045</v>
      </c>
      <c r="C1825" s="50">
        <v>93413</v>
      </c>
      <c r="H1825" s="87"/>
      <c r="K1825" s="87"/>
      <c r="P1825" s="87"/>
    </row>
    <row r="1826" spans="1:16">
      <c r="A1826" s="231"/>
      <c r="B1826" s="135" t="s">
        <v>2747</v>
      </c>
      <c r="C1826" s="50">
        <v>97451</v>
      </c>
      <c r="H1826" s="87"/>
      <c r="K1826" s="87"/>
      <c r="P1826" s="87"/>
    </row>
    <row r="1827" spans="1:16">
      <c r="A1827" s="231"/>
      <c r="B1827" s="135" t="s">
        <v>2748</v>
      </c>
      <c r="C1827" s="50">
        <v>94631</v>
      </c>
      <c r="H1827" s="87"/>
      <c r="K1827" s="87"/>
      <c r="P1827" s="87"/>
    </row>
    <row r="1828" spans="1:16">
      <c r="A1828" s="231"/>
      <c r="B1828" s="135" t="s">
        <v>2749</v>
      </c>
      <c r="C1828" s="231">
        <v>91171</v>
      </c>
      <c r="H1828" s="87"/>
      <c r="K1828" s="87"/>
      <c r="P1828" s="87"/>
    </row>
    <row r="1829" spans="1:16">
      <c r="A1829" s="231"/>
      <c r="B1829" s="135" t="s">
        <v>831</v>
      </c>
      <c r="C1829" s="231">
        <v>91104</v>
      </c>
      <c r="H1829" s="87"/>
      <c r="K1829" s="87"/>
      <c r="P1829" s="87"/>
    </row>
    <row r="1830" spans="1:16">
      <c r="A1830" s="231"/>
      <c r="B1830" s="135" t="s">
        <v>2785</v>
      </c>
      <c r="C1830" s="231">
        <v>91109</v>
      </c>
      <c r="H1830" s="87"/>
      <c r="K1830" s="87"/>
      <c r="P1830" s="87"/>
    </row>
    <row r="1831" spans="1:16">
      <c r="A1831" s="231"/>
      <c r="B1831" s="135" t="s">
        <v>2750</v>
      </c>
      <c r="C1831" s="231">
        <v>96621</v>
      </c>
      <c r="H1831" s="87"/>
      <c r="K1831" s="87"/>
      <c r="P1831" s="87"/>
    </row>
    <row r="1832" spans="1:16">
      <c r="A1832" s="231"/>
      <c r="B1832" s="135" t="s">
        <v>2498</v>
      </c>
      <c r="C1832" s="231">
        <v>96511</v>
      </c>
      <c r="H1832" s="87"/>
      <c r="K1832" s="87"/>
      <c r="P1832" s="87"/>
    </row>
    <row r="1833" spans="1:16">
      <c r="A1833" s="231"/>
      <c r="B1833" s="135" t="s">
        <v>1611</v>
      </c>
      <c r="C1833" s="53">
        <v>99901</v>
      </c>
      <c r="H1833" s="87"/>
      <c r="K1833" s="87"/>
      <c r="P1833" s="87"/>
    </row>
    <row r="1834" spans="1:16">
      <c r="A1834" s="231"/>
      <c r="B1834" s="135" t="s">
        <v>3524</v>
      </c>
      <c r="C1834" s="231">
        <v>98604</v>
      </c>
      <c r="H1834" s="87"/>
      <c r="K1834" s="87"/>
      <c r="P1834" s="87"/>
    </row>
    <row r="1835" spans="1:16">
      <c r="A1835" s="231"/>
      <c r="B1835" s="135" t="s">
        <v>1506</v>
      </c>
      <c r="C1835" s="231">
        <v>98608</v>
      </c>
      <c r="H1835" s="87"/>
      <c r="K1835" s="87"/>
      <c r="P1835" s="87"/>
    </row>
    <row r="1836" spans="1:16">
      <c r="A1836" s="231"/>
      <c r="B1836" s="135" t="s">
        <v>2497</v>
      </c>
      <c r="C1836" s="53">
        <v>99911</v>
      </c>
      <c r="H1836" s="87"/>
      <c r="K1836" s="87"/>
      <c r="P1836" s="87"/>
    </row>
    <row r="1837" spans="1:16">
      <c r="A1837" s="231"/>
      <c r="B1837" s="135" t="s">
        <v>731</v>
      </c>
      <c r="C1837" s="231">
        <v>90001</v>
      </c>
      <c r="H1837" s="87"/>
      <c r="K1837" s="87"/>
      <c r="P1837" s="87"/>
    </row>
    <row r="1838" spans="1:16">
      <c r="A1838" s="231"/>
      <c r="B1838" s="135" t="s">
        <v>2784</v>
      </c>
      <c r="C1838" s="231">
        <v>90002</v>
      </c>
      <c r="H1838" s="87"/>
      <c r="K1838" s="87"/>
      <c r="P1838" s="87"/>
    </row>
    <row r="1839" spans="1:16">
      <c r="A1839" s="231"/>
      <c r="B1839" s="135" t="s">
        <v>2496</v>
      </c>
      <c r="C1839" s="231">
        <v>91719</v>
      </c>
      <c r="H1839" s="87"/>
      <c r="K1839" s="87"/>
      <c r="P1839" s="87"/>
    </row>
    <row r="1840" spans="1:16">
      <c r="A1840" s="231"/>
      <c r="B1840" s="135" t="s">
        <v>3748</v>
      </c>
      <c r="C1840" s="231">
        <v>91414</v>
      </c>
      <c r="H1840" s="87"/>
      <c r="K1840" s="87"/>
      <c r="P1840" s="87"/>
    </row>
    <row r="1841" spans="1:16">
      <c r="A1841" s="231"/>
      <c r="B1841" s="135" t="s">
        <v>2494</v>
      </c>
      <c r="C1841" s="231">
        <v>93541</v>
      </c>
      <c r="H1841" s="87"/>
      <c r="K1841" s="87"/>
      <c r="P1841" s="87"/>
    </row>
    <row r="1842" spans="1:16">
      <c r="A1842" s="231"/>
      <c r="B1842" s="135" t="s">
        <v>3639</v>
      </c>
      <c r="C1842" s="231">
        <v>97302</v>
      </c>
      <c r="H1842" s="87"/>
      <c r="K1842" s="87"/>
      <c r="P1842" s="87"/>
    </row>
    <row r="1843" spans="1:16">
      <c r="B1843" s="135" t="s">
        <v>2495</v>
      </c>
      <c r="C1843" s="231">
        <v>99241</v>
      </c>
      <c r="H1843" s="87"/>
      <c r="K1843" s="87"/>
      <c r="P1843" s="87"/>
    </row>
    <row r="1844" spans="1:16">
      <c r="B1844" s="255"/>
      <c r="H1844" s="87"/>
      <c r="K1844" s="87"/>
      <c r="P1844" s="87"/>
    </row>
    <row r="1845" spans="1:16">
      <c r="B1845" s="255"/>
      <c r="H1845" s="87"/>
      <c r="K1845" s="87"/>
      <c r="P1845" s="87"/>
    </row>
    <row r="1846" spans="1:16">
      <c r="B1846" s="255"/>
      <c r="H1846" s="87"/>
      <c r="K1846" s="87"/>
      <c r="P1846" s="87"/>
    </row>
    <row r="1847" spans="1:16">
      <c r="B1847" s="255"/>
      <c r="H1847" s="87"/>
      <c r="K1847" s="87"/>
      <c r="P1847" s="87"/>
    </row>
    <row r="1848" spans="1:16">
      <c r="B1848" s="255"/>
      <c r="H1848" s="87"/>
      <c r="K1848" s="87"/>
      <c r="P1848" s="87"/>
    </row>
    <row r="1849" spans="1:16">
      <c r="B1849" s="255"/>
      <c r="H1849" s="87"/>
      <c r="K1849" s="87"/>
      <c r="P1849" s="87"/>
    </row>
    <row r="1850" spans="1:16">
      <c r="B1850" s="255"/>
      <c r="H1850" s="87"/>
      <c r="K1850" s="87"/>
      <c r="P1850" s="87"/>
    </row>
    <row r="1851" spans="1:16">
      <c r="B1851" s="255"/>
      <c r="H1851" s="87"/>
      <c r="K1851" s="87"/>
      <c r="P1851" s="87"/>
    </row>
    <row r="1852" spans="1:16">
      <c r="B1852" s="255"/>
      <c r="H1852" s="87"/>
      <c r="K1852" s="87"/>
      <c r="P1852" s="87"/>
    </row>
    <row r="1853" spans="1:16">
      <c r="B1853" s="255"/>
      <c r="H1853" s="87"/>
      <c r="K1853" s="87"/>
      <c r="P1853" s="87"/>
    </row>
    <row r="1854" spans="1:16">
      <c r="B1854" s="255"/>
      <c r="H1854" s="87"/>
      <c r="K1854" s="87"/>
      <c r="P1854" s="87"/>
    </row>
    <row r="1855" spans="1:16">
      <c r="B1855" s="255"/>
      <c r="H1855" s="87"/>
      <c r="K1855" s="87"/>
      <c r="P1855" s="87"/>
    </row>
    <row r="1856" spans="1:16">
      <c r="B1856" s="255"/>
      <c r="H1856" s="87"/>
      <c r="K1856" s="87"/>
      <c r="P1856" s="87"/>
    </row>
    <row r="1857" spans="2:16">
      <c r="B1857" s="255"/>
      <c r="H1857" s="87"/>
      <c r="K1857" s="87"/>
      <c r="P1857" s="87"/>
    </row>
    <row r="1858" spans="2:16">
      <c r="B1858" s="255"/>
      <c r="H1858" s="87"/>
      <c r="K1858" s="87"/>
      <c r="P1858" s="87"/>
    </row>
    <row r="1859" spans="2:16">
      <c r="B1859" s="255"/>
      <c r="H1859" s="87"/>
      <c r="K1859" s="87"/>
      <c r="P1859" s="87"/>
    </row>
    <row r="1860" spans="2:16">
      <c r="B1860" s="255"/>
      <c r="H1860" s="87"/>
      <c r="K1860" s="87"/>
      <c r="P1860" s="87"/>
    </row>
    <row r="1861" spans="2:16">
      <c r="B1861" s="255"/>
      <c r="H1861" s="87"/>
      <c r="K1861" s="87"/>
      <c r="P1861" s="87"/>
    </row>
    <row r="1862" spans="2:16">
      <c r="B1862" s="255"/>
      <c r="H1862" s="87"/>
      <c r="K1862" s="87"/>
      <c r="P1862" s="87"/>
    </row>
    <row r="1863" spans="2:16">
      <c r="B1863" s="255"/>
      <c r="H1863" s="87"/>
      <c r="K1863" s="87"/>
      <c r="P1863" s="87"/>
    </row>
    <row r="1864" spans="2:16">
      <c r="B1864" s="255"/>
      <c r="H1864" s="87"/>
      <c r="K1864" s="87"/>
      <c r="P1864" s="87"/>
    </row>
    <row r="1865" spans="2:16">
      <c r="B1865" s="255"/>
      <c r="H1865" s="87"/>
      <c r="K1865" s="87"/>
      <c r="P1865" s="87"/>
    </row>
    <row r="1866" spans="2:16">
      <c r="B1866" s="255"/>
      <c r="H1866" s="87"/>
      <c r="K1866" s="87"/>
      <c r="P1866" s="87"/>
    </row>
    <row r="1867" spans="2:16">
      <c r="B1867" s="255"/>
      <c r="H1867" s="87"/>
      <c r="K1867" s="87"/>
      <c r="P1867" s="87"/>
    </row>
    <row r="1868" spans="2:16">
      <c r="B1868" s="255"/>
      <c r="H1868" s="87"/>
      <c r="K1868" s="87"/>
      <c r="P1868" s="87"/>
    </row>
    <row r="1869" spans="2:16">
      <c r="B1869" s="255"/>
      <c r="H1869" s="87"/>
      <c r="K1869" s="87"/>
      <c r="P1869" s="87"/>
    </row>
    <row r="1870" spans="2:16">
      <c r="B1870" s="255"/>
      <c r="H1870" s="87"/>
      <c r="K1870" s="87"/>
      <c r="P1870" s="87"/>
    </row>
    <row r="1871" spans="2:16">
      <c r="B1871" s="255"/>
      <c r="H1871" s="87"/>
      <c r="K1871" s="87"/>
      <c r="P1871" s="87"/>
    </row>
    <row r="1872" spans="2:16">
      <c r="B1872" s="255"/>
      <c r="H1872" s="87"/>
      <c r="K1872" s="87"/>
      <c r="P1872" s="87"/>
    </row>
    <row r="1873" spans="2:16">
      <c r="B1873" s="255"/>
      <c r="H1873" s="87"/>
      <c r="K1873" s="87"/>
      <c r="P1873" s="87"/>
    </row>
    <row r="1874" spans="2:16">
      <c r="B1874" s="255"/>
      <c r="H1874" s="87"/>
      <c r="K1874" s="87"/>
      <c r="P1874" s="87"/>
    </row>
    <row r="1875" spans="2:16">
      <c r="B1875" s="255"/>
      <c r="H1875" s="87"/>
      <c r="K1875" s="87"/>
      <c r="P1875" s="87"/>
    </row>
    <row r="1876" spans="2:16">
      <c r="B1876" s="255"/>
      <c r="H1876" s="87"/>
      <c r="K1876" s="87"/>
      <c r="P1876" s="87"/>
    </row>
    <row r="1877" spans="2:16">
      <c r="B1877" s="255"/>
      <c r="H1877" s="87"/>
      <c r="K1877" s="87"/>
      <c r="P1877" s="87"/>
    </row>
    <row r="1878" spans="2:16">
      <c r="B1878" s="255"/>
      <c r="H1878" s="87"/>
      <c r="K1878" s="87"/>
      <c r="P1878" s="87"/>
    </row>
    <row r="1879" spans="2:16">
      <c r="B1879" s="255"/>
      <c r="H1879" s="87"/>
      <c r="K1879" s="87"/>
      <c r="P1879" s="87"/>
    </row>
    <row r="1880" spans="2:16">
      <c r="B1880" s="255"/>
      <c r="H1880" s="87"/>
      <c r="K1880" s="87"/>
      <c r="P1880" s="87"/>
    </row>
    <row r="1881" spans="2:16">
      <c r="B1881" s="255"/>
      <c r="H1881" s="87"/>
      <c r="K1881" s="87"/>
      <c r="P1881" s="87"/>
    </row>
    <row r="1882" spans="2:16">
      <c r="B1882" s="255"/>
      <c r="H1882" s="87"/>
      <c r="K1882" s="87"/>
      <c r="P1882" s="87"/>
    </row>
    <row r="1883" spans="2:16">
      <c r="B1883" s="255"/>
      <c r="H1883" s="87"/>
      <c r="K1883" s="87"/>
      <c r="P1883" s="87"/>
    </row>
    <row r="1884" spans="2:16">
      <c r="B1884" s="255"/>
      <c r="H1884" s="87"/>
      <c r="K1884" s="87"/>
      <c r="P1884" s="87"/>
    </row>
    <row r="1885" spans="2:16">
      <c r="B1885" s="255"/>
      <c r="H1885" s="87"/>
      <c r="K1885" s="87"/>
      <c r="P1885" s="87"/>
    </row>
    <row r="1886" spans="2:16">
      <c r="B1886" s="255"/>
      <c r="H1886" s="87"/>
      <c r="K1886" s="87"/>
      <c r="P1886" s="87"/>
    </row>
    <row r="1887" spans="2:16">
      <c r="B1887" s="255"/>
      <c r="H1887" s="87"/>
      <c r="K1887" s="87"/>
      <c r="P1887" s="87"/>
    </row>
    <row r="1888" spans="2:16">
      <c r="B1888" s="255"/>
      <c r="H1888" s="87"/>
      <c r="K1888" s="87"/>
      <c r="P1888" s="87"/>
    </row>
    <row r="1889" spans="2:16">
      <c r="B1889" s="255"/>
      <c r="H1889" s="87"/>
      <c r="K1889" s="87"/>
      <c r="P1889" s="87"/>
    </row>
    <row r="1890" spans="2:16">
      <c r="B1890" s="255"/>
      <c r="H1890" s="87"/>
      <c r="K1890" s="87"/>
      <c r="P1890" s="87"/>
    </row>
    <row r="1891" spans="2:16">
      <c r="B1891" s="255"/>
      <c r="H1891" s="87"/>
      <c r="K1891" s="87"/>
      <c r="P1891" s="87"/>
    </row>
    <row r="1892" spans="2:16">
      <c r="B1892" s="255"/>
      <c r="H1892" s="87"/>
      <c r="K1892" s="87"/>
      <c r="P1892" s="87"/>
    </row>
    <row r="1893" spans="2:16">
      <c r="B1893" s="255"/>
      <c r="H1893" s="87"/>
      <c r="K1893" s="87"/>
      <c r="P1893" s="87"/>
    </row>
    <row r="1894" spans="2:16">
      <c r="B1894" s="255"/>
      <c r="H1894" s="87"/>
      <c r="K1894" s="87"/>
      <c r="P1894" s="87"/>
    </row>
    <row r="1895" spans="2:16">
      <c r="B1895" s="255"/>
      <c r="H1895" s="87"/>
      <c r="K1895" s="87"/>
      <c r="P1895" s="87"/>
    </row>
    <row r="1896" spans="2:16">
      <c r="B1896" s="255"/>
      <c r="H1896" s="87"/>
      <c r="K1896" s="87"/>
      <c r="P1896" s="87"/>
    </row>
    <row r="1897" spans="2:16">
      <c r="B1897" s="255"/>
      <c r="H1897" s="87"/>
      <c r="K1897" s="87"/>
      <c r="P1897" s="87"/>
    </row>
    <row r="1898" spans="2:16">
      <c r="B1898" s="255"/>
      <c r="H1898" s="87"/>
      <c r="K1898" s="87"/>
      <c r="P1898" s="87"/>
    </row>
    <row r="1899" spans="2:16">
      <c r="B1899" s="255"/>
      <c r="H1899" s="87"/>
      <c r="K1899" s="87"/>
      <c r="P1899" s="87"/>
    </row>
    <row r="1900" spans="2:16">
      <c r="B1900" s="255"/>
      <c r="H1900" s="87"/>
      <c r="K1900" s="87"/>
      <c r="P1900" s="87"/>
    </row>
    <row r="1901" spans="2:16">
      <c r="B1901" s="255"/>
      <c r="H1901" s="87"/>
      <c r="K1901" s="87"/>
      <c r="P1901" s="87"/>
    </row>
    <row r="1902" spans="2:16">
      <c r="B1902" s="255"/>
      <c r="H1902" s="87"/>
      <c r="K1902" s="87"/>
      <c r="P1902" s="87"/>
    </row>
    <row r="1903" spans="2:16">
      <c r="B1903" s="255"/>
      <c r="H1903" s="87"/>
      <c r="K1903" s="87"/>
      <c r="P1903" s="87"/>
    </row>
    <row r="1904" spans="2:16">
      <c r="B1904" s="255"/>
      <c r="H1904" s="87"/>
      <c r="K1904" s="87"/>
      <c r="P1904" s="87"/>
    </row>
    <row r="1905" spans="2:16">
      <c r="B1905" s="255"/>
      <c r="H1905" s="87"/>
      <c r="K1905" s="87"/>
      <c r="P1905" s="87"/>
    </row>
    <row r="1906" spans="2:16">
      <c r="B1906" s="255"/>
      <c r="H1906" s="87"/>
      <c r="K1906" s="87"/>
      <c r="P1906" s="87"/>
    </row>
    <row r="1907" spans="2:16">
      <c r="B1907" s="255"/>
      <c r="H1907" s="87"/>
      <c r="K1907" s="87"/>
      <c r="P1907" s="87"/>
    </row>
    <row r="1908" spans="2:16">
      <c r="B1908" s="255"/>
      <c r="H1908" s="87"/>
      <c r="K1908" s="87"/>
      <c r="P1908" s="87"/>
    </row>
    <row r="1909" spans="2:16">
      <c r="B1909" s="255"/>
      <c r="H1909" s="87"/>
      <c r="K1909" s="87"/>
      <c r="P1909" s="87"/>
    </row>
    <row r="1910" spans="2:16">
      <c r="B1910" s="255"/>
      <c r="H1910" s="87"/>
      <c r="K1910" s="87"/>
      <c r="P1910" s="87"/>
    </row>
    <row r="1911" spans="2:16">
      <c r="B1911" s="255"/>
      <c r="H1911" s="87"/>
      <c r="K1911" s="87"/>
      <c r="P1911" s="87"/>
    </row>
    <row r="1912" spans="2:16">
      <c r="B1912" s="255"/>
    </row>
    <row r="1913" spans="2:16">
      <c r="B1913" s="255"/>
    </row>
  </sheetData>
  <sheetProtection password="CEAA" sheet="1" objects="1" scenarios="1"/>
  <autoFilter ref="A7:T928" xr:uid="{0377592B-20E9-4397-9FAE-81D849D3F24C}"/>
  <sortState xmlns:xlrd2="http://schemas.microsoft.com/office/spreadsheetml/2017/richdata2" ref="B932:C1843">
    <sortCondition ref="B932:B1843"/>
  </sortState>
  <pageMargins left="0.7" right="0.7" top="0.75" bottom="0.75" header="0.3" footer="0.3"/>
  <pageSetup paperSize="5" scale="4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816"/>
  <sheetViews>
    <sheetView zoomScaleNormal="100" workbookViewId="0"/>
  </sheetViews>
  <sheetFormatPr defaultRowHeight="15"/>
  <cols>
    <col min="1" max="1" width="10.5703125" style="230" customWidth="1"/>
    <col min="2" max="2" width="43.7109375" style="230" customWidth="1"/>
    <col min="3" max="4" width="13.85546875" style="230" customWidth="1"/>
    <col min="5" max="5" width="18.28515625" style="230" customWidth="1"/>
    <col min="6" max="6" width="3.85546875" style="230" customWidth="1"/>
    <col min="7" max="7" width="18.28515625" style="230" customWidth="1"/>
    <col min="8" max="8" width="20" style="94" customWidth="1"/>
    <col min="9" max="9" width="14.42578125" style="230" customWidth="1"/>
    <col min="10" max="10" width="19.42578125" style="230" customWidth="1"/>
    <col min="11" max="11" width="20" style="94" customWidth="1"/>
    <col min="12" max="12" width="3.85546875" style="230" customWidth="1"/>
    <col min="13" max="13" width="18.28515625" style="230" customWidth="1"/>
    <col min="14" max="14" width="11.85546875" style="230" customWidth="1"/>
    <col min="15" max="15" width="19.42578125" style="230" customWidth="1"/>
    <col min="16" max="16" width="20" style="94" customWidth="1"/>
    <col min="17" max="17" width="3.85546875" style="230" customWidth="1"/>
    <col min="18" max="18" width="13.85546875" style="230" customWidth="1"/>
    <col min="19" max="19" width="22.42578125" style="230" customWidth="1"/>
    <col min="20" max="20" width="14.85546875" style="230" bestFit="1" customWidth="1"/>
    <col min="21" max="16384" width="9.140625" style="230"/>
  </cols>
  <sheetData>
    <row r="1" spans="1:20">
      <c r="A1" s="230" t="s">
        <v>1922</v>
      </c>
      <c r="H1" s="230"/>
    </row>
    <row r="2" spans="1:20">
      <c r="A2" s="230" t="s">
        <v>1926</v>
      </c>
      <c r="H2" s="230"/>
    </row>
    <row r="3" spans="1:20" s="100" customFormat="1">
      <c r="A3" s="95"/>
      <c r="B3" s="56" t="s">
        <v>3525</v>
      </c>
      <c r="C3" s="96">
        <v>1</v>
      </c>
      <c r="D3" s="96">
        <v>1</v>
      </c>
      <c r="E3" s="97">
        <f>SUM(E9:E913)-SUM(E674,E675)</f>
        <v>1527723006</v>
      </c>
      <c r="F3" s="97"/>
      <c r="G3" s="97">
        <f>SUM(G9:G913)-SUM(G674,G675)</f>
        <v>88010998</v>
      </c>
      <c r="H3" s="97">
        <f>SUM(H9:H913)-SUM(H674,H675)</f>
        <v>370932998</v>
      </c>
      <c r="I3" s="97">
        <f>SUM(I9:I913)-SUM(I674,I675)</f>
        <v>218179990</v>
      </c>
      <c r="J3" s="97">
        <f>SUM(J9:J913)-SUM(J674,J675)</f>
        <v>44399345</v>
      </c>
      <c r="K3" s="97">
        <f>SUM(K9:K913)-SUM(K674,K675)</f>
        <v>721523331</v>
      </c>
      <c r="L3" s="97"/>
      <c r="M3" s="97">
        <f>SUM(M9:M913)-SUM(M674,M675)</f>
        <v>43245007</v>
      </c>
      <c r="N3" s="97">
        <f>SUM(N9:N913)-SUM(N674,N675)</f>
        <v>0</v>
      </c>
      <c r="O3" s="97">
        <f>SUM(O9:O913)-SUM(O674,O675)</f>
        <v>44399369</v>
      </c>
      <c r="P3" s="97">
        <f>SUM(P9:P913)-SUM(P674,P675)</f>
        <v>87644376</v>
      </c>
      <c r="Q3" s="97"/>
      <c r="R3" s="97">
        <f>SUM(R9:R913)-SUM(R674,R675)</f>
        <v>514844016</v>
      </c>
      <c r="S3" s="97">
        <f>SUM(S9:S913)-SUM(S674,S675)</f>
        <v>36</v>
      </c>
      <c r="T3" s="97">
        <f>SUM(T9:T913)-SUM(T674,T675)</f>
        <v>514844052</v>
      </c>
    </row>
    <row r="4" spans="1:20" s="100" customFormat="1">
      <c r="A4" s="95"/>
      <c r="B4" s="56"/>
      <c r="C4" s="96">
        <v>1</v>
      </c>
      <c r="D4" s="96">
        <v>1</v>
      </c>
      <c r="E4" s="97">
        <v>1527723006</v>
      </c>
      <c r="F4" s="97"/>
      <c r="G4" s="98">
        <v>88010998</v>
      </c>
      <c r="H4" s="99">
        <v>370932998</v>
      </c>
      <c r="I4" s="98">
        <v>218179990</v>
      </c>
      <c r="J4" s="98">
        <v>44399345</v>
      </c>
      <c r="K4" s="99">
        <v>721523331</v>
      </c>
      <c r="L4" s="98"/>
      <c r="M4" s="98">
        <v>43245007</v>
      </c>
      <c r="N4" s="98">
        <v>0</v>
      </c>
      <c r="O4" s="98">
        <v>44399369</v>
      </c>
      <c r="P4" s="99">
        <v>87644376</v>
      </c>
      <c r="Q4" s="98"/>
      <c r="R4" s="98">
        <v>514844016</v>
      </c>
      <c r="S4" s="98">
        <v>36</v>
      </c>
      <c r="T4" s="98">
        <v>514844052</v>
      </c>
    </row>
    <row r="5" spans="1:20">
      <c r="H5" s="230"/>
    </row>
    <row r="6" spans="1:20">
      <c r="G6" s="88" t="s">
        <v>2</v>
      </c>
      <c r="H6" s="88"/>
      <c r="I6" s="88"/>
      <c r="J6" s="88"/>
      <c r="K6" s="89"/>
      <c r="M6" s="88" t="s">
        <v>3</v>
      </c>
      <c r="N6" s="88"/>
      <c r="O6" s="88"/>
      <c r="P6" s="89"/>
      <c r="R6" s="88" t="s">
        <v>4</v>
      </c>
      <c r="S6" s="88"/>
      <c r="T6" s="88"/>
    </row>
    <row r="7" spans="1:20" ht="120">
      <c r="A7" s="90" t="s">
        <v>0</v>
      </c>
      <c r="B7" s="90" t="s">
        <v>1</v>
      </c>
      <c r="C7" s="90" t="s">
        <v>263</v>
      </c>
      <c r="D7" s="90" t="s">
        <v>264</v>
      </c>
      <c r="E7" s="90" t="s">
        <v>724</v>
      </c>
      <c r="F7" s="90"/>
      <c r="G7" s="90" t="s">
        <v>5</v>
      </c>
      <c r="H7" s="91" t="s">
        <v>6</v>
      </c>
      <c r="I7" s="90" t="s">
        <v>7</v>
      </c>
      <c r="J7" s="90" t="s">
        <v>8</v>
      </c>
      <c r="K7" s="91" t="s">
        <v>725</v>
      </c>
      <c r="L7" s="90"/>
      <c r="M7" s="90" t="s">
        <v>5</v>
      </c>
      <c r="N7" s="90" t="s">
        <v>7</v>
      </c>
      <c r="O7" s="90" t="s">
        <v>8</v>
      </c>
      <c r="P7" s="91" t="s">
        <v>726</v>
      </c>
      <c r="Q7" s="90"/>
      <c r="R7" s="90" t="s">
        <v>9</v>
      </c>
      <c r="S7" s="90" t="s">
        <v>10</v>
      </c>
      <c r="T7" s="90" t="s">
        <v>11</v>
      </c>
    </row>
    <row r="8" spans="1:20">
      <c r="A8" s="8" t="s">
        <v>692</v>
      </c>
      <c r="B8" s="64" t="s">
        <v>691</v>
      </c>
      <c r="C8" s="90"/>
      <c r="D8" s="90"/>
      <c r="E8" s="90"/>
      <c r="F8" s="90"/>
      <c r="G8" s="90"/>
      <c r="H8" s="91"/>
      <c r="I8" s="90"/>
      <c r="J8" s="90"/>
      <c r="K8" s="91"/>
      <c r="L8" s="90"/>
      <c r="M8" s="90"/>
      <c r="N8" s="90"/>
      <c r="O8" s="90"/>
      <c r="P8" s="91"/>
      <c r="Q8" s="90"/>
      <c r="R8" s="90"/>
      <c r="S8" s="90"/>
      <c r="T8" s="90"/>
    </row>
    <row r="9" spans="1:20">
      <c r="A9" s="231">
        <v>70505</v>
      </c>
      <c r="B9" s="232" t="s">
        <v>727</v>
      </c>
      <c r="C9" s="92">
        <v>4.147E-4</v>
      </c>
      <c r="D9" s="92">
        <v>4.6880000000000001E-4</v>
      </c>
      <c r="E9" s="236">
        <v>633547</v>
      </c>
      <c r="F9" s="236"/>
      <c r="G9" s="237">
        <v>36498</v>
      </c>
      <c r="H9" s="225">
        <v>153826</v>
      </c>
      <c r="I9" s="237">
        <v>90479</v>
      </c>
      <c r="J9" s="236">
        <v>0</v>
      </c>
      <c r="K9" s="225">
        <f t="shared" ref="K9:K73" si="0">G9+H9+I9+J9</f>
        <v>280803</v>
      </c>
      <c r="L9" s="236"/>
      <c r="M9" s="237">
        <v>17934</v>
      </c>
      <c r="N9" s="237">
        <v>0</v>
      </c>
      <c r="O9" s="236">
        <v>53472</v>
      </c>
      <c r="P9" s="225">
        <f t="shared" ref="P9:P73" si="1">M9+N9+O9</f>
        <v>71406</v>
      </c>
      <c r="Q9" s="236"/>
      <c r="R9" s="237">
        <v>213506</v>
      </c>
      <c r="S9" s="238">
        <v>-18259</v>
      </c>
      <c r="T9" s="238">
        <v>195247</v>
      </c>
    </row>
    <row r="10" spans="1:20">
      <c r="A10" s="231">
        <v>97302</v>
      </c>
      <c r="B10" s="232" t="s">
        <v>3751</v>
      </c>
      <c r="C10" s="239">
        <v>0</v>
      </c>
      <c r="D10" s="239">
        <v>0</v>
      </c>
      <c r="E10" s="236">
        <v>0</v>
      </c>
      <c r="F10" s="236"/>
      <c r="G10" s="237">
        <v>0</v>
      </c>
      <c r="H10" s="225">
        <v>0</v>
      </c>
      <c r="I10" s="237">
        <v>0</v>
      </c>
      <c r="J10" s="236">
        <v>0</v>
      </c>
      <c r="K10" s="225">
        <v>0</v>
      </c>
      <c r="L10" s="236"/>
      <c r="M10" s="237">
        <v>0</v>
      </c>
      <c r="N10" s="237">
        <v>0</v>
      </c>
      <c r="O10" s="236">
        <v>0</v>
      </c>
      <c r="P10" s="225">
        <v>0</v>
      </c>
      <c r="Q10" s="236"/>
      <c r="R10" s="237">
        <v>0</v>
      </c>
      <c r="S10" s="236">
        <v>0</v>
      </c>
      <c r="T10" s="238">
        <v>0</v>
      </c>
    </row>
    <row r="11" spans="1:20">
      <c r="A11" s="231">
        <v>72265</v>
      </c>
      <c r="B11" s="232" t="s">
        <v>728</v>
      </c>
      <c r="C11" s="92">
        <v>1.4009999999999999E-4</v>
      </c>
      <c r="D11" s="92">
        <v>1.327E-4</v>
      </c>
      <c r="E11" s="236">
        <v>214034</v>
      </c>
      <c r="F11" s="236"/>
      <c r="G11" s="237">
        <v>12330</v>
      </c>
      <c r="H11" s="225">
        <v>51967</v>
      </c>
      <c r="I11" s="237">
        <v>30567</v>
      </c>
      <c r="J11" s="236">
        <v>6550</v>
      </c>
      <c r="K11" s="225">
        <f t="shared" si="0"/>
        <v>101414</v>
      </c>
      <c r="L11" s="236"/>
      <c r="M11" s="237">
        <v>6059</v>
      </c>
      <c r="N11" s="237">
        <v>0</v>
      </c>
      <c r="O11" s="236">
        <v>3729</v>
      </c>
      <c r="P11" s="225">
        <f t="shared" si="1"/>
        <v>9788</v>
      </c>
      <c r="Q11" s="236"/>
      <c r="R11" s="237">
        <v>72130</v>
      </c>
      <c r="S11" s="238">
        <v>3031</v>
      </c>
      <c r="T11" s="238">
        <v>75161</v>
      </c>
    </row>
    <row r="12" spans="1:20">
      <c r="A12" s="231">
        <v>72593</v>
      </c>
      <c r="B12" s="232" t="s">
        <v>729</v>
      </c>
      <c r="C12" s="92">
        <v>5.9000000000000003E-6</v>
      </c>
      <c r="D12" s="92">
        <v>0</v>
      </c>
      <c r="E12" s="236">
        <v>9014</v>
      </c>
      <c r="F12" s="236"/>
      <c r="G12" s="237">
        <v>519</v>
      </c>
      <c r="H12" s="225">
        <v>2188</v>
      </c>
      <c r="I12" s="237">
        <v>1287</v>
      </c>
      <c r="J12" s="236">
        <v>3014</v>
      </c>
      <c r="K12" s="225">
        <f t="shared" si="0"/>
        <v>7008</v>
      </c>
      <c r="L12" s="236"/>
      <c r="M12" s="237">
        <v>255</v>
      </c>
      <c r="N12" s="237">
        <v>0</v>
      </c>
      <c r="O12" s="236">
        <v>0</v>
      </c>
      <c r="P12" s="225">
        <f t="shared" si="1"/>
        <v>255</v>
      </c>
      <c r="Q12" s="236"/>
      <c r="R12" s="237">
        <v>3038</v>
      </c>
      <c r="S12" s="238">
        <v>753</v>
      </c>
      <c r="T12" s="238">
        <v>3791</v>
      </c>
    </row>
    <row r="13" spans="1:20">
      <c r="A13" s="231">
        <v>72657</v>
      </c>
      <c r="B13" s="232" t="s">
        <v>730</v>
      </c>
      <c r="C13" s="92">
        <v>3.9900000000000001E-5</v>
      </c>
      <c r="D13" s="92">
        <v>4.2799999999999997E-5</v>
      </c>
      <c r="E13" s="236">
        <v>60956</v>
      </c>
      <c r="F13" s="236"/>
      <c r="G13" s="237">
        <v>3512</v>
      </c>
      <c r="H13" s="225">
        <v>14801</v>
      </c>
      <c r="I13" s="237">
        <v>8705</v>
      </c>
      <c r="J13" s="236">
        <v>3272</v>
      </c>
      <c r="K13" s="225">
        <f t="shared" si="0"/>
        <v>30290</v>
      </c>
      <c r="L13" s="236"/>
      <c r="M13" s="237">
        <v>1725</v>
      </c>
      <c r="N13" s="237">
        <v>0</v>
      </c>
      <c r="O13" s="236">
        <v>6366</v>
      </c>
      <c r="P13" s="225">
        <f t="shared" si="1"/>
        <v>8091</v>
      </c>
      <c r="Q13" s="236"/>
      <c r="R13" s="237">
        <v>20542</v>
      </c>
      <c r="S13" s="238">
        <v>900</v>
      </c>
      <c r="T13" s="238">
        <v>21442</v>
      </c>
    </row>
    <row r="14" spans="1:20">
      <c r="A14" s="231">
        <v>90001</v>
      </c>
      <c r="B14" s="232" t="s">
        <v>731</v>
      </c>
      <c r="C14" s="92">
        <v>8.6030000000000004E-4</v>
      </c>
      <c r="D14" s="92">
        <v>8.6910000000000004E-4</v>
      </c>
      <c r="E14" s="236">
        <v>1314300</v>
      </c>
      <c r="F14" s="236"/>
      <c r="G14" s="237">
        <v>75716</v>
      </c>
      <c r="H14" s="225">
        <v>319114</v>
      </c>
      <c r="I14" s="237">
        <v>187700</v>
      </c>
      <c r="J14" s="236">
        <v>11972</v>
      </c>
      <c r="K14" s="225">
        <f t="shared" si="0"/>
        <v>594502</v>
      </c>
      <c r="L14" s="236"/>
      <c r="M14" s="237">
        <v>37204</v>
      </c>
      <c r="N14" s="237">
        <v>0</v>
      </c>
      <c r="O14" s="236">
        <v>15474</v>
      </c>
      <c r="P14" s="225">
        <f t="shared" si="1"/>
        <v>52678</v>
      </c>
      <c r="Q14" s="236"/>
      <c r="R14" s="237">
        <v>442920</v>
      </c>
      <c r="S14" s="238">
        <v>891</v>
      </c>
      <c r="T14" s="238">
        <f>443812-1</f>
        <v>443811</v>
      </c>
    </row>
    <row r="15" spans="1:20">
      <c r="A15" s="231">
        <v>90002</v>
      </c>
      <c r="B15" s="232" t="s">
        <v>732</v>
      </c>
      <c r="C15" s="92">
        <v>1.06E-5</v>
      </c>
      <c r="D15" s="92">
        <v>1.15E-5</v>
      </c>
      <c r="E15" s="236">
        <v>16194</v>
      </c>
      <c r="F15" s="236"/>
      <c r="G15" s="237">
        <v>933</v>
      </c>
      <c r="H15" s="225">
        <v>3932</v>
      </c>
      <c r="I15" s="237">
        <v>2313</v>
      </c>
      <c r="J15" s="236">
        <v>1497</v>
      </c>
      <c r="K15" s="225">
        <f t="shared" si="0"/>
        <v>8675</v>
      </c>
      <c r="L15" s="236"/>
      <c r="M15" s="237">
        <v>458</v>
      </c>
      <c r="N15" s="237">
        <v>0</v>
      </c>
      <c r="O15" s="236">
        <v>0</v>
      </c>
      <c r="P15" s="225">
        <f t="shared" si="1"/>
        <v>458</v>
      </c>
      <c r="Q15" s="236"/>
      <c r="R15" s="237">
        <v>5457</v>
      </c>
      <c r="S15" s="238">
        <v>563</v>
      </c>
      <c r="T15" s="238">
        <v>6020</v>
      </c>
    </row>
    <row r="16" spans="1:20">
      <c r="A16" s="231">
        <v>90011</v>
      </c>
      <c r="B16" s="232" t="s">
        <v>733</v>
      </c>
      <c r="C16" s="92">
        <v>1.974E-4</v>
      </c>
      <c r="D16" s="92">
        <v>2.0819999999999999E-4</v>
      </c>
      <c r="E16" s="236">
        <v>301573</v>
      </c>
      <c r="F16" s="236"/>
      <c r="G16" s="237">
        <v>17373</v>
      </c>
      <c r="H16" s="225">
        <v>73222</v>
      </c>
      <c r="I16" s="237">
        <v>43069</v>
      </c>
      <c r="J16" s="236">
        <v>2300</v>
      </c>
      <c r="K16" s="225">
        <f t="shared" si="0"/>
        <v>135964</v>
      </c>
      <c r="L16" s="236"/>
      <c r="M16" s="237">
        <v>8537</v>
      </c>
      <c r="N16" s="237">
        <v>0</v>
      </c>
      <c r="O16" s="236">
        <v>30094</v>
      </c>
      <c r="P16" s="225">
        <f t="shared" si="1"/>
        <v>38631</v>
      </c>
      <c r="Q16" s="236"/>
      <c r="R16" s="237">
        <v>101630</v>
      </c>
      <c r="S16" s="238">
        <v>-7615</v>
      </c>
      <c r="T16" s="238">
        <v>94015</v>
      </c>
    </row>
    <row r="17" spans="1:20">
      <c r="A17" s="231">
        <v>90092</v>
      </c>
      <c r="B17" s="232" t="s">
        <v>734</v>
      </c>
      <c r="C17" s="92">
        <v>3.5349999999999997E-4</v>
      </c>
      <c r="D17" s="92">
        <v>3.946E-4</v>
      </c>
      <c r="E17" s="236">
        <v>540050</v>
      </c>
      <c r="F17" s="236"/>
      <c r="G17" s="237">
        <v>31112</v>
      </c>
      <c r="H17" s="225">
        <v>131125</v>
      </c>
      <c r="I17" s="237">
        <v>77127</v>
      </c>
      <c r="J17" s="236">
        <v>0</v>
      </c>
      <c r="K17" s="225">
        <f t="shared" si="0"/>
        <v>239364</v>
      </c>
      <c r="L17" s="236"/>
      <c r="M17" s="237">
        <v>15287</v>
      </c>
      <c r="N17" s="237">
        <v>0</v>
      </c>
      <c r="O17" s="236">
        <v>83168</v>
      </c>
      <c r="P17" s="225">
        <f t="shared" si="1"/>
        <v>98455</v>
      </c>
      <c r="Q17" s="236"/>
      <c r="R17" s="237">
        <v>181997</v>
      </c>
      <c r="S17" s="238">
        <v>-42793</v>
      </c>
      <c r="T17" s="238">
        <f>139205-1</f>
        <v>139204</v>
      </c>
    </row>
    <row r="18" spans="1:20">
      <c r="A18" s="231">
        <v>90096</v>
      </c>
      <c r="B18" s="232" t="s">
        <v>735</v>
      </c>
      <c r="C18" s="92">
        <v>9.7559999999999997E-4</v>
      </c>
      <c r="D18" s="92">
        <v>1.3860999999999999E-3</v>
      </c>
      <c r="E18" s="236">
        <v>1490447</v>
      </c>
      <c r="F18" s="236"/>
      <c r="G18" s="237">
        <v>85864</v>
      </c>
      <c r="H18" s="225">
        <v>361882</v>
      </c>
      <c r="I18" s="237">
        <v>212856</v>
      </c>
      <c r="J18" s="236">
        <v>43597</v>
      </c>
      <c r="K18" s="225">
        <f t="shared" si="0"/>
        <v>704199</v>
      </c>
      <c r="L18" s="236"/>
      <c r="M18" s="237">
        <v>42190</v>
      </c>
      <c r="N18" s="237">
        <v>0</v>
      </c>
      <c r="O18" s="236">
        <v>238564</v>
      </c>
      <c r="P18" s="225">
        <f t="shared" si="1"/>
        <v>280754</v>
      </c>
      <c r="Q18" s="236"/>
      <c r="R18" s="237">
        <v>502282</v>
      </c>
      <c r="S18" s="238">
        <v>-27538</v>
      </c>
      <c r="T18" s="238">
        <v>474744</v>
      </c>
    </row>
    <row r="19" spans="1:20">
      <c r="A19" s="231">
        <v>90098</v>
      </c>
      <c r="B19" s="232" t="s">
        <v>736</v>
      </c>
      <c r="C19" s="92">
        <v>2.9599999999999998E-4</v>
      </c>
      <c r="D19" s="92">
        <v>2.9280000000000002E-4</v>
      </c>
      <c r="E19" s="236">
        <v>452206</v>
      </c>
      <c r="F19" s="236"/>
      <c r="G19" s="237">
        <v>26051</v>
      </c>
      <c r="H19" s="225">
        <v>109796</v>
      </c>
      <c r="I19" s="237">
        <v>64581</v>
      </c>
      <c r="J19" s="236">
        <v>5581</v>
      </c>
      <c r="K19" s="225">
        <f t="shared" si="0"/>
        <v>206009</v>
      </c>
      <c r="L19" s="236"/>
      <c r="M19" s="237">
        <v>12801</v>
      </c>
      <c r="N19" s="237">
        <v>0</v>
      </c>
      <c r="O19" s="236">
        <v>110893</v>
      </c>
      <c r="P19" s="225">
        <f t="shared" si="1"/>
        <v>123694</v>
      </c>
      <c r="Q19" s="236"/>
      <c r="R19" s="237">
        <v>152394</v>
      </c>
      <c r="S19" s="238">
        <v>-51374</v>
      </c>
      <c r="T19" s="238">
        <v>101020</v>
      </c>
    </row>
    <row r="20" spans="1:20">
      <c r="A20" s="231">
        <v>90099</v>
      </c>
      <c r="B20" s="232" t="s">
        <v>737</v>
      </c>
      <c r="C20" s="92">
        <v>6.6330000000000002E-4</v>
      </c>
      <c r="D20" s="92">
        <v>4.9330000000000001E-4</v>
      </c>
      <c r="E20" s="236">
        <v>1013339</v>
      </c>
      <c r="F20" s="236"/>
      <c r="G20" s="237">
        <v>58378</v>
      </c>
      <c r="H20" s="225">
        <v>246040</v>
      </c>
      <c r="I20" s="237">
        <v>144719</v>
      </c>
      <c r="J20" s="236">
        <v>89744</v>
      </c>
      <c r="K20" s="225">
        <f t="shared" si="0"/>
        <v>538881</v>
      </c>
      <c r="L20" s="236"/>
      <c r="M20" s="237">
        <v>28684</v>
      </c>
      <c r="N20" s="237">
        <v>0</v>
      </c>
      <c r="O20" s="236">
        <v>44006</v>
      </c>
      <c r="P20" s="225">
        <f t="shared" si="1"/>
        <v>72690</v>
      </c>
      <c r="Q20" s="236"/>
      <c r="R20" s="237">
        <v>341496</v>
      </c>
      <c r="S20" s="238">
        <v>7780</v>
      </c>
      <c r="T20" s="238">
        <v>349276</v>
      </c>
    </row>
    <row r="21" spans="1:20">
      <c r="A21" s="231">
        <v>90101</v>
      </c>
      <c r="B21" s="232" t="s">
        <v>738</v>
      </c>
      <c r="C21" s="92">
        <v>6.6312000000000003E-3</v>
      </c>
      <c r="D21" s="92">
        <v>6.3996000000000001E-3</v>
      </c>
      <c r="E21" s="236">
        <v>10130637</v>
      </c>
      <c r="F21" s="236"/>
      <c r="G21" s="237">
        <v>583619</v>
      </c>
      <c r="H21" s="225">
        <v>2459731</v>
      </c>
      <c r="I21" s="237">
        <v>1446795</v>
      </c>
      <c r="J21" s="236">
        <v>245836</v>
      </c>
      <c r="K21" s="225">
        <f t="shared" si="0"/>
        <v>4735981</v>
      </c>
      <c r="L21" s="236"/>
      <c r="M21" s="237">
        <v>286766</v>
      </c>
      <c r="N21" s="237">
        <v>0</v>
      </c>
      <c r="O21" s="236">
        <v>25616</v>
      </c>
      <c r="P21" s="225">
        <f t="shared" si="1"/>
        <v>312382</v>
      </c>
      <c r="Q21" s="236"/>
      <c r="R21" s="237">
        <v>3414034</v>
      </c>
      <c r="S21" s="238">
        <v>67895</v>
      </c>
      <c r="T21" s="238">
        <f>3481928+1</f>
        <v>3481929</v>
      </c>
    </row>
    <row r="22" spans="1:20">
      <c r="A22" s="231">
        <v>90111</v>
      </c>
      <c r="B22" s="232" t="s">
        <v>739</v>
      </c>
      <c r="C22" s="92">
        <v>4.9740000000000001E-3</v>
      </c>
      <c r="D22" s="92">
        <v>4.8874000000000001E-3</v>
      </c>
      <c r="E22" s="236">
        <v>7598894</v>
      </c>
      <c r="F22" s="236"/>
      <c r="G22" s="237">
        <v>437767</v>
      </c>
      <c r="H22" s="225">
        <v>1845021</v>
      </c>
      <c r="I22" s="237">
        <v>1085227</v>
      </c>
      <c r="J22" s="236">
        <v>15088</v>
      </c>
      <c r="K22" s="225">
        <f t="shared" si="0"/>
        <v>3383103</v>
      </c>
      <c r="L22" s="236"/>
      <c r="M22" s="237">
        <v>215101</v>
      </c>
      <c r="N22" s="237">
        <v>0</v>
      </c>
      <c r="O22" s="236">
        <v>106602</v>
      </c>
      <c r="P22" s="225">
        <f t="shared" si="1"/>
        <v>321703</v>
      </c>
      <c r="Q22" s="236"/>
      <c r="R22" s="237">
        <v>2560834</v>
      </c>
      <c r="S22" s="238">
        <v>-53609</v>
      </c>
      <c r="T22" s="238">
        <v>2507225</v>
      </c>
    </row>
    <row r="23" spans="1:20">
      <c r="A23" s="231">
        <v>90114</v>
      </c>
      <c r="B23" s="232" t="s">
        <v>740</v>
      </c>
      <c r="C23" s="92">
        <v>1.0919E-3</v>
      </c>
      <c r="D23" s="92">
        <v>1.0681E-3</v>
      </c>
      <c r="E23" s="236">
        <v>1668121</v>
      </c>
      <c r="F23" s="236"/>
      <c r="G23" s="237">
        <v>96099</v>
      </c>
      <c r="H23" s="225">
        <v>405022</v>
      </c>
      <c r="I23" s="237">
        <v>238231</v>
      </c>
      <c r="J23" s="236">
        <v>1077044</v>
      </c>
      <c r="K23" s="225">
        <f t="shared" si="0"/>
        <v>1816396</v>
      </c>
      <c r="L23" s="236"/>
      <c r="M23" s="237">
        <v>47219</v>
      </c>
      <c r="N23" s="237">
        <v>0</v>
      </c>
      <c r="O23" s="236">
        <v>0</v>
      </c>
      <c r="P23" s="225">
        <f t="shared" si="1"/>
        <v>47219</v>
      </c>
      <c r="Q23" s="236"/>
      <c r="R23" s="237">
        <v>562158</v>
      </c>
      <c r="S23" s="238">
        <v>371192</v>
      </c>
      <c r="T23" s="238">
        <v>933350</v>
      </c>
    </row>
    <row r="24" spans="1:20">
      <c r="A24" s="231">
        <v>90117</v>
      </c>
      <c r="B24" s="232" t="s">
        <v>741</v>
      </c>
      <c r="C24" s="92">
        <v>1.407E-4</v>
      </c>
      <c r="D24" s="92">
        <v>1.35E-4</v>
      </c>
      <c r="E24" s="236">
        <v>214951</v>
      </c>
      <c r="F24" s="236"/>
      <c r="G24" s="237">
        <v>12383</v>
      </c>
      <c r="H24" s="225">
        <v>52190</v>
      </c>
      <c r="I24" s="237">
        <v>30698</v>
      </c>
      <c r="J24" s="236">
        <v>44526</v>
      </c>
      <c r="K24" s="225">
        <f t="shared" si="0"/>
        <v>139797</v>
      </c>
      <c r="L24" s="236"/>
      <c r="M24" s="237">
        <v>6085</v>
      </c>
      <c r="N24" s="237">
        <v>0</v>
      </c>
      <c r="O24" s="236">
        <v>0</v>
      </c>
      <c r="P24" s="225">
        <f t="shared" si="1"/>
        <v>6085</v>
      </c>
      <c r="Q24" s="236"/>
      <c r="R24" s="237">
        <v>72439</v>
      </c>
      <c r="S24" s="238">
        <v>18359</v>
      </c>
      <c r="T24" s="238">
        <f>90797+1</f>
        <v>90798</v>
      </c>
    </row>
    <row r="25" spans="1:20">
      <c r="A25" s="231">
        <v>90121</v>
      </c>
      <c r="B25" s="232" t="s">
        <v>742</v>
      </c>
      <c r="C25" s="92">
        <v>1.0991E-3</v>
      </c>
      <c r="D25" s="92">
        <v>1.0789E-3</v>
      </c>
      <c r="E25" s="236">
        <v>1679120</v>
      </c>
      <c r="F25" s="236"/>
      <c r="G25" s="237">
        <v>96733</v>
      </c>
      <c r="H25" s="225">
        <v>407692</v>
      </c>
      <c r="I25" s="237">
        <v>239802</v>
      </c>
      <c r="J25" s="236">
        <v>3244</v>
      </c>
      <c r="K25" s="225">
        <f t="shared" si="0"/>
        <v>747471</v>
      </c>
      <c r="L25" s="236"/>
      <c r="M25" s="237">
        <v>47531</v>
      </c>
      <c r="N25" s="237">
        <v>0</v>
      </c>
      <c r="O25" s="236">
        <v>81552</v>
      </c>
      <c r="P25" s="225">
        <f t="shared" si="1"/>
        <v>129083</v>
      </c>
      <c r="Q25" s="236"/>
      <c r="R25" s="237">
        <v>565865</v>
      </c>
      <c r="S25" s="238">
        <v>-25049</v>
      </c>
      <c r="T25" s="238">
        <v>540816</v>
      </c>
    </row>
    <row r="26" spans="1:20">
      <c r="A26" s="231">
        <v>90131</v>
      </c>
      <c r="B26" s="232" t="s">
        <v>743</v>
      </c>
      <c r="C26" s="92">
        <v>4.7639999999999998E-4</v>
      </c>
      <c r="D26" s="92">
        <v>5.0440000000000001E-4</v>
      </c>
      <c r="E26" s="236">
        <v>727807</v>
      </c>
      <c r="F26" s="236"/>
      <c r="G26" s="237">
        <v>41928</v>
      </c>
      <c r="H26" s="225">
        <v>176712</v>
      </c>
      <c r="I26" s="237">
        <v>103941</v>
      </c>
      <c r="J26" s="236">
        <v>0</v>
      </c>
      <c r="K26" s="225">
        <f t="shared" si="0"/>
        <v>322581</v>
      </c>
      <c r="L26" s="236"/>
      <c r="M26" s="237">
        <v>20602</v>
      </c>
      <c r="N26" s="237">
        <v>0</v>
      </c>
      <c r="O26" s="236">
        <v>42066</v>
      </c>
      <c r="P26" s="225">
        <f t="shared" si="1"/>
        <v>62668</v>
      </c>
      <c r="Q26" s="236"/>
      <c r="R26" s="237">
        <v>245272</v>
      </c>
      <c r="S26" s="238">
        <v>-15937</v>
      </c>
      <c r="T26" s="238">
        <v>229335</v>
      </c>
    </row>
    <row r="27" spans="1:20">
      <c r="A27" s="231">
        <v>90141</v>
      </c>
      <c r="B27" s="232" t="s">
        <v>744</v>
      </c>
      <c r="C27" s="92">
        <v>1.4779999999999999E-4</v>
      </c>
      <c r="D27" s="92">
        <v>1.306E-4</v>
      </c>
      <c r="E27" s="236">
        <v>225797</v>
      </c>
      <c r="F27" s="236"/>
      <c r="G27" s="237">
        <v>13008</v>
      </c>
      <c r="H27" s="225">
        <v>54824</v>
      </c>
      <c r="I27" s="237">
        <v>32247</v>
      </c>
      <c r="J27" s="236">
        <v>8660</v>
      </c>
      <c r="K27" s="225">
        <f t="shared" si="0"/>
        <v>108739</v>
      </c>
      <c r="L27" s="236"/>
      <c r="M27" s="237">
        <v>6392</v>
      </c>
      <c r="N27" s="237">
        <v>0</v>
      </c>
      <c r="O27" s="236">
        <v>10174</v>
      </c>
      <c r="P27" s="225">
        <f t="shared" si="1"/>
        <v>16566</v>
      </c>
      <c r="Q27" s="236"/>
      <c r="R27" s="237">
        <v>76094</v>
      </c>
      <c r="S27" s="238">
        <v>-857</v>
      </c>
      <c r="T27" s="238">
        <v>75237</v>
      </c>
    </row>
    <row r="28" spans="1:20">
      <c r="A28" s="231">
        <v>90151</v>
      </c>
      <c r="B28" s="232" t="s">
        <v>745</v>
      </c>
      <c r="C28" s="92">
        <v>9.9000000000000001E-6</v>
      </c>
      <c r="D28" s="92">
        <v>1.0000000000000001E-5</v>
      </c>
      <c r="E28" s="236">
        <v>15124</v>
      </c>
      <c r="F28" s="236"/>
      <c r="G28" s="237">
        <v>871</v>
      </c>
      <c r="H28" s="225">
        <v>3672</v>
      </c>
      <c r="I28" s="237">
        <v>2160</v>
      </c>
      <c r="J28" s="236">
        <v>0</v>
      </c>
      <c r="K28" s="225">
        <f t="shared" si="0"/>
        <v>6703</v>
      </c>
      <c r="L28" s="236"/>
      <c r="M28" s="237">
        <v>428</v>
      </c>
      <c r="N28" s="237">
        <v>0</v>
      </c>
      <c r="O28" s="236">
        <v>2719</v>
      </c>
      <c r="P28" s="225">
        <f t="shared" si="1"/>
        <v>3147</v>
      </c>
      <c r="Q28" s="236"/>
      <c r="R28" s="237">
        <v>5097</v>
      </c>
      <c r="S28" s="238">
        <v>-1090</v>
      </c>
      <c r="T28" s="238">
        <v>4007</v>
      </c>
    </row>
    <row r="29" spans="1:20">
      <c r="A29" s="231">
        <v>90161</v>
      </c>
      <c r="B29" s="232" t="s">
        <v>746</v>
      </c>
      <c r="C29" s="92">
        <v>3.4199999999999998E-5</v>
      </c>
      <c r="D29" s="92">
        <v>3.4799999999999999E-5</v>
      </c>
      <c r="E29" s="236">
        <v>52248</v>
      </c>
      <c r="F29" s="236"/>
      <c r="G29" s="237">
        <v>3010</v>
      </c>
      <c r="H29" s="225">
        <v>12686</v>
      </c>
      <c r="I29" s="237">
        <v>7462</v>
      </c>
      <c r="J29" s="236">
        <v>4022</v>
      </c>
      <c r="K29" s="225">
        <f t="shared" si="0"/>
        <v>27180</v>
      </c>
      <c r="L29" s="236"/>
      <c r="M29" s="237">
        <v>1479</v>
      </c>
      <c r="N29" s="237">
        <v>0</v>
      </c>
      <c r="O29" s="236">
        <v>462</v>
      </c>
      <c r="P29" s="225">
        <f t="shared" si="1"/>
        <v>1941</v>
      </c>
      <c r="Q29" s="236"/>
      <c r="R29" s="237">
        <v>17608</v>
      </c>
      <c r="S29" s="238">
        <v>1591</v>
      </c>
      <c r="T29" s="238">
        <v>19199</v>
      </c>
    </row>
    <row r="30" spans="1:20">
      <c r="A30" s="231">
        <v>90201</v>
      </c>
      <c r="B30" s="232" t="s">
        <v>747</v>
      </c>
      <c r="C30" s="92">
        <v>1.2126999999999999E-3</v>
      </c>
      <c r="D30" s="92">
        <v>1.2419E-3</v>
      </c>
      <c r="E30" s="236">
        <v>1852670</v>
      </c>
      <c r="F30" s="236"/>
      <c r="G30" s="237">
        <v>106731</v>
      </c>
      <c r="H30" s="225">
        <v>449830</v>
      </c>
      <c r="I30" s="237">
        <v>264587</v>
      </c>
      <c r="J30" s="236">
        <v>36621</v>
      </c>
      <c r="K30" s="225">
        <f t="shared" si="0"/>
        <v>857769</v>
      </c>
      <c r="L30" s="236"/>
      <c r="M30" s="237">
        <v>52443</v>
      </c>
      <c r="N30" s="237">
        <v>0</v>
      </c>
      <c r="O30" s="236">
        <v>36396</v>
      </c>
      <c r="P30" s="225">
        <f t="shared" si="1"/>
        <v>88839</v>
      </c>
      <c r="Q30" s="236"/>
      <c r="R30" s="237">
        <v>624351</v>
      </c>
      <c r="S30" s="238">
        <v>24941</v>
      </c>
      <c r="T30" s="238">
        <v>649292</v>
      </c>
    </row>
    <row r="31" spans="1:20">
      <c r="A31" s="231">
        <v>90203</v>
      </c>
      <c r="B31" s="232" t="s">
        <v>748</v>
      </c>
      <c r="C31" s="92">
        <v>1.994E-4</v>
      </c>
      <c r="D31" s="92">
        <v>2.3680000000000001E-4</v>
      </c>
      <c r="E31" s="236">
        <v>304628</v>
      </c>
      <c r="F31" s="236"/>
      <c r="G31" s="237">
        <v>17549</v>
      </c>
      <c r="H31" s="225">
        <v>73964</v>
      </c>
      <c r="I31" s="237">
        <v>43505</v>
      </c>
      <c r="J31" s="236">
        <v>2154</v>
      </c>
      <c r="K31" s="225">
        <f t="shared" si="0"/>
        <v>137172</v>
      </c>
      <c r="L31" s="236"/>
      <c r="M31" s="237">
        <v>8623</v>
      </c>
      <c r="N31" s="237">
        <v>0</v>
      </c>
      <c r="O31" s="236">
        <v>49077</v>
      </c>
      <c r="P31" s="225">
        <f t="shared" si="1"/>
        <v>57700</v>
      </c>
      <c r="Q31" s="236"/>
      <c r="R31" s="237">
        <v>102660</v>
      </c>
      <c r="S31" s="238">
        <v>-18026</v>
      </c>
      <c r="T31" s="238">
        <v>84634</v>
      </c>
    </row>
    <row r="32" spans="1:20">
      <c r="A32" s="231">
        <v>90205</v>
      </c>
      <c r="B32" s="232" t="s">
        <v>749</v>
      </c>
      <c r="C32" s="92">
        <v>3.0000000000000001E-5</v>
      </c>
      <c r="D32" s="92">
        <v>3.3599999999999997E-5</v>
      </c>
      <c r="E32" s="236">
        <v>45832</v>
      </c>
      <c r="F32" s="236"/>
      <c r="G32" s="237">
        <v>2640</v>
      </c>
      <c r="H32" s="225">
        <v>11128</v>
      </c>
      <c r="I32" s="237">
        <v>6545</v>
      </c>
      <c r="J32" s="236">
        <v>769</v>
      </c>
      <c r="K32" s="225">
        <f t="shared" si="0"/>
        <v>21082</v>
      </c>
      <c r="L32" s="236"/>
      <c r="M32" s="237">
        <v>1297</v>
      </c>
      <c r="N32" s="237">
        <v>0</v>
      </c>
      <c r="O32" s="236">
        <v>2625</v>
      </c>
      <c r="P32" s="225">
        <f t="shared" si="1"/>
        <v>3922</v>
      </c>
      <c r="Q32" s="236"/>
      <c r="R32" s="237">
        <v>15445</v>
      </c>
      <c r="S32" s="238">
        <v>-105</v>
      </c>
      <c r="T32" s="238">
        <v>15340</v>
      </c>
    </row>
    <row r="33" spans="1:20">
      <c r="A33" s="231">
        <v>90206</v>
      </c>
      <c r="B33" s="232" t="s">
        <v>750</v>
      </c>
      <c r="C33" s="92">
        <v>4.2069999999999998E-4</v>
      </c>
      <c r="D33" s="92">
        <v>4.347E-4</v>
      </c>
      <c r="E33" s="236">
        <v>642713</v>
      </c>
      <c r="F33" s="236"/>
      <c r="G33" s="237">
        <v>37026</v>
      </c>
      <c r="H33" s="225">
        <v>156051</v>
      </c>
      <c r="I33" s="237">
        <v>91788</v>
      </c>
      <c r="J33" s="236">
        <v>8978</v>
      </c>
      <c r="K33" s="225">
        <f t="shared" si="0"/>
        <v>293843</v>
      </c>
      <c r="L33" s="236"/>
      <c r="M33" s="237">
        <v>18193</v>
      </c>
      <c r="N33" s="237">
        <v>0</v>
      </c>
      <c r="O33" s="236">
        <v>25382</v>
      </c>
      <c r="P33" s="225">
        <f t="shared" si="1"/>
        <v>43575</v>
      </c>
      <c r="Q33" s="236"/>
      <c r="R33" s="237">
        <v>216595</v>
      </c>
      <c r="S33" s="238">
        <v>1315</v>
      </c>
      <c r="T33" s="238">
        <v>217910</v>
      </c>
    </row>
    <row r="34" spans="1:20">
      <c r="A34" s="231">
        <v>90211</v>
      </c>
      <c r="B34" s="232" t="s">
        <v>751</v>
      </c>
      <c r="C34" s="92">
        <v>1.4799999999999999E-4</v>
      </c>
      <c r="D34" s="92">
        <v>1.5689999999999999E-4</v>
      </c>
      <c r="E34" s="236">
        <v>226103</v>
      </c>
      <c r="F34" s="236"/>
      <c r="G34" s="237">
        <v>13026</v>
      </c>
      <c r="H34" s="225">
        <v>54898</v>
      </c>
      <c r="I34" s="237">
        <v>32291</v>
      </c>
      <c r="J34" s="236">
        <v>0</v>
      </c>
      <c r="K34" s="225">
        <f t="shared" si="0"/>
        <v>100215</v>
      </c>
      <c r="L34" s="236"/>
      <c r="M34" s="237">
        <v>6400</v>
      </c>
      <c r="N34" s="237">
        <v>0</v>
      </c>
      <c r="O34" s="236">
        <v>15344</v>
      </c>
      <c r="P34" s="225">
        <f t="shared" si="1"/>
        <v>21744</v>
      </c>
      <c r="Q34" s="236"/>
      <c r="R34" s="237">
        <v>76197</v>
      </c>
      <c r="S34" s="238">
        <v>-6134</v>
      </c>
      <c r="T34" s="238">
        <v>70063</v>
      </c>
    </row>
    <row r="35" spans="1:20">
      <c r="A35" s="231">
        <v>90301</v>
      </c>
      <c r="B35" s="232" t="s">
        <v>752</v>
      </c>
      <c r="C35" s="92">
        <v>6.7040000000000003E-4</v>
      </c>
      <c r="D35" s="92">
        <v>6.4000000000000005E-4</v>
      </c>
      <c r="E35" s="236">
        <v>1024185</v>
      </c>
      <c r="F35" s="236"/>
      <c r="G35" s="237">
        <v>59003</v>
      </c>
      <c r="H35" s="225">
        <v>248673</v>
      </c>
      <c r="I35" s="237">
        <v>146268</v>
      </c>
      <c r="J35" s="236">
        <v>4314</v>
      </c>
      <c r="K35" s="225">
        <f t="shared" si="0"/>
        <v>458258</v>
      </c>
      <c r="L35" s="236"/>
      <c r="M35" s="237">
        <v>28991</v>
      </c>
      <c r="N35" s="237">
        <v>0</v>
      </c>
      <c r="O35" s="236">
        <v>13341</v>
      </c>
      <c r="P35" s="225">
        <f t="shared" si="1"/>
        <v>42332</v>
      </c>
      <c r="Q35" s="236"/>
      <c r="R35" s="237">
        <v>345151</v>
      </c>
      <c r="S35" s="238">
        <v>-5567</v>
      </c>
      <c r="T35" s="238">
        <v>339584</v>
      </c>
    </row>
    <row r="36" spans="1:20">
      <c r="A36" s="231">
        <v>90305</v>
      </c>
      <c r="B36" s="232" t="s">
        <v>753</v>
      </c>
      <c r="C36" s="92">
        <v>1.617E-4</v>
      </c>
      <c r="D36" s="92">
        <v>1.7009999999999999E-4</v>
      </c>
      <c r="E36" s="236">
        <v>247033</v>
      </c>
      <c r="F36" s="236"/>
      <c r="G36" s="237">
        <v>14231</v>
      </c>
      <c r="H36" s="225">
        <v>59980</v>
      </c>
      <c r="I36" s="237">
        <v>35280</v>
      </c>
      <c r="J36" s="236">
        <v>20715</v>
      </c>
      <c r="K36" s="225">
        <f t="shared" si="0"/>
        <v>130206</v>
      </c>
      <c r="L36" s="236"/>
      <c r="M36" s="237">
        <v>6993</v>
      </c>
      <c r="N36" s="237">
        <v>0</v>
      </c>
      <c r="O36" s="236">
        <v>0</v>
      </c>
      <c r="P36" s="225">
        <f t="shared" si="1"/>
        <v>6993</v>
      </c>
      <c r="Q36" s="236"/>
      <c r="R36" s="237">
        <v>83250</v>
      </c>
      <c r="S36" s="238">
        <v>10025</v>
      </c>
      <c r="T36" s="238">
        <v>93275</v>
      </c>
    </row>
    <row r="37" spans="1:20">
      <c r="A37" s="231">
        <v>90307</v>
      </c>
      <c r="B37" s="232" t="s">
        <v>754</v>
      </c>
      <c r="C37" s="92">
        <v>7.7999999999999999E-6</v>
      </c>
      <c r="D37" s="92">
        <v>7.7000000000000008E-6</v>
      </c>
      <c r="E37" s="236">
        <v>11916</v>
      </c>
      <c r="F37" s="236"/>
      <c r="G37" s="237">
        <v>686</v>
      </c>
      <c r="H37" s="225">
        <v>2893</v>
      </c>
      <c r="I37" s="237">
        <v>1702</v>
      </c>
      <c r="J37" s="236">
        <v>647</v>
      </c>
      <c r="K37" s="225">
        <f t="shared" si="0"/>
        <v>5928</v>
      </c>
      <c r="L37" s="236"/>
      <c r="M37" s="237">
        <v>337</v>
      </c>
      <c r="N37" s="237">
        <v>0</v>
      </c>
      <c r="O37" s="236">
        <v>40</v>
      </c>
      <c r="P37" s="225">
        <f t="shared" si="1"/>
        <v>377</v>
      </c>
      <c r="Q37" s="236"/>
      <c r="R37" s="237">
        <v>4016</v>
      </c>
      <c r="S37" s="238">
        <v>160</v>
      </c>
      <c r="T37" s="238">
        <v>4176</v>
      </c>
    </row>
    <row r="38" spans="1:20">
      <c r="A38" s="231">
        <v>90401</v>
      </c>
      <c r="B38" s="232" t="s">
        <v>755</v>
      </c>
      <c r="C38" s="92">
        <v>1.3270999999999999E-3</v>
      </c>
      <c r="D38" s="92">
        <v>1.3626999999999999E-3</v>
      </c>
      <c r="E38" s="236">
        <v>2027441</v>
      </c>
      <c r="F38" s="236"/>
      <c r="G38" s="237">
        <v>116799</v>
      </c>
      <c r="H38" s="225">
        <v>492266</v>
      </c>
      <c r="I38" s="237">
        <v>289547</v>
      </c>
      <c r="J38" s="236">
        <v>44019</v>
      </c>
      <c r="K38" s="225">
        <f t="shared" si="0"/>
        <v>942631</v>
      </c>
      <c r="L38" s="236"/>
      <c r="M38" s="237">
        <v>57390</v>
      </c>
      <c r="N38" s="237">
        <v>0</v>
      </c>
      <c r="O38" s="236">
        <v>11305</v>
      </c>
      <c r="P38" s="225">
        <f t="shared" si="1"/>
        <v>68695</v>
      </c>
      <c r="Q38" s="236"/>
      <c r="R38" s="237">
        <v>683249</v>
      </c>
      <c r="S38" s="238">
        <v>23981</v>
      </c>
      <c r="T38" s="238">
        <v>707230</v>
      </c>
    </row>
    <row r="39" spans="1:20">
      <c r="A39" s="231">
        <v>90411</v>
      </c>
      <c r="B39" s="232" t="s">
        <v>756</v>
      </c>
      <c r="C39" s="92">
        <v>3.5100000000000002E-4</v>
      </c>
      <c r="D39" s="92">
        <v>3.5490000000000001E-4</v>
      </c>
      <c r="E39" s="236">
        <v>536231</v>
      </c>
      <c r="F39" s="236"/>
      <c r="G39" s="237">
        <v>30892</v>
      </c>
      <c r="H39" s="225">
        <v>130197</v>
      </c>
      <c r="I39" s="237">
        <v>76581</v>
      </c>
      <c r="J39" s="236">
        <v>0</v>
      </c>
      <c r="K39" s="225">
        <f t="shared" si="0"/>
        <v>237670</v>
      </c>
      <c r="L39" s="236"/>
      <c r="M39" s="237">
        <v>15179</v>
      </c>
      <c r="N39" s="237">
        <v>0</v>
      </c>
      <c r="O39" s="236">
        <v>41985</v>
      </c>
      <c r="P39" s="225">
        <f t="shared" si="1"/>
        <v>57164</v>
      </c>
      <c r="Q39" s="236"/>
      <c r="R39" s="237">
        <v>180710</v>
      </c>
      <c r="S39" s="238">
        <v>-15971</v>
      </c>
      <c r="T39" s="238">
        <v>164739</v>
      </c>
    </row>
    <row r="40" spans="1:20">
      <c r="A40" s="231">
        <v>90413</v>
      </c>
      <c r="B40" s="232" t="s">
        <v>757</v>
      </c>
      <c r="C40" s="92">
        <v>3.4600000000000001E-5</v>
      </c>
      <c r="D40" s="92">
        <v>3.7299999999999999E-5</v>
      </c>
      <c r="E40" s="236">
        <v>52859</v>
      </c>
      <c r="F40" s="236"/>
      <c r="G40" s="237">
        <v>3045</v>
      </c>
      <c r="H40" s="225">
        <v>12834</v>
      </c>
      <c r="I40" s="237">
        <v>7549</v>
      </c>
      <c r="J40" s="236">
        <v>5923</v>
      </c>
      <c r="K40" s="225">
        <f t="shared" si="0"/>
        <v>29351</v>
      </c>
      <c r="L40" s="236"/>
      <c r="M40" s="237">
        <v>1496</v>
      </c>
      <c r="N40" s="237">
        <v>0</v>
      </c>
      <c r="O40" s="236">
        <v>916</v>
      </c>
      <c r="P40" s="225">
        <f t="shared" si="1"/>
        <v>2412</v>
      </c>
      <c r="Q40" s="236"/>
      <c r="R40" s="237">
        <v>17814</v>
      </c>
      <c r="S40" s="238">
        <v>3416</v>
      </c>
      <c r="T40" s="238">
        <v>21230</v>
      </c>
    </row>
    <row r="41" spans="1:20">
      <c r="A41" s="231">
        <v>90417</v>
      </c>
      <c r="B41" s="232" t="s">
        <v>758</v>
      </c>
      <c r="C41" s="92">
        <v>1.17E-5</v>
      </c>
      <c r="D41" s="92">
        <v>1.2099999999999999E-5</v>
      </c>
      <c r="E41" s="236">
        <v>17874</v>
      </c>
      <c r="F41" s="236"/>
      <c r="G41" s="237">
        <v>1030</v>
      </c>
      <c r="H41" s="225">
        <v>4340</v>
      </c>
      <c r="I41" s="237">
        <v>2553</v>
      </c>
      <c r="J41" s="236">
        <v>3477</v>
      </c>
      <c r="K41" s="225">
        <f t="shared" si="0"/>
        <v>11400</v>
      </c>
      <c r="L41" s="236"/>
      <c r="M41" s="237">
        <v>506</v>
      </c>
      <c r="N41" s="237">
        <v>0</v>
      </c>
      <c r="O41" s="236">
        <v>0</v>
      </c>
      <c r="P41" s="225">
        <f t="shared" si="1"/>
        <v>506</v>
      </c>
      <c r="Q41" s="236"/>
      <c r="R41" s="237">
        <v>6024</v>
      </c>
      <c r="S41" s="238">
        <v>1221</v>
      </c>
      <c r="T41" s="238">
        <f>7244+1</f>
        <v>7245</v>
      </c>
    </row>
    <row r="42" spans="1:20">
      <c r="A42" s="231">
        <v>90421</v>
      </c>
      <c r="B42" s="232" t="s">
        <v>759</v>
      </c>
      <c r="C42" s="92">
        <v>2.19E-5</v>
      </c>
      <c r="D42" s="92">
        <v>2.3600000000000001E-5</v>
      </c>
      <c r="E42" s="236">
        <v>33457</v>
      </c>
      <c r="F42" s="236"/>
      <c r="G42" s="237">
        <v>1927</v>
      </c>
      <c r="H42" s="225">
        <v>8123</v>
      </c>
      <c r="I42" s="237">
        <v>4778</v>
      </c>
      <c r="J42" s="236">
        <v>0</v>
      </c>
      <c r="K42" s="225">
        <f t="shared" si="0"/>
        <v>14828</v>
      </c>
      <c r="L42" s="236"/>
      <c r="M42" s="237">
        <v>947</v>
      </c>
      <c r="N42" s="237">
        <v>0</v>
      </c>
      <c r="O42" s="236">
        <v>4721</v>
      </c>
      <c r="P42" s="225">
        <f t="shared" si="1"/>
        <v>5668</v>
      </c>
      <c r="Q42" s="236"/>
      <c r="R42" s="237">
        <v>11275</v>
      </c>
      <c r="S42" s="238">
        <v>-1814</v>
      </c>
      <c r="T42" s="238">
        <v>9461</v>
      </c>
    </row>
    <row r="43" spans="1:20">
      <c r="A43" s="231">
        <v>90431</v>
      </c>
      <c r="B43" s="232" t="s">
        <v>760</v>
      </c>
      <c r="C43" s="92">
        <v>4.8300000000000002E-5</v>
      </c>
      <c r="D43" s="92">
        <v>4.2799999999999997E-5</v>
      </c>
      <c r="E43" s="236">
        <v>73789</v>
      </c>
      <c r="F43" s="236"/>
      <c r="G43" s="237">
        <v>4251</v>
      </c>
      <c r="H43" s="225">
        <v>17916</v>
      </c>
      <c r="I43" s="237">
        <v>10538</v>
      </c>
      <c r="J43" s="236">
        <v>8663</v>
      </c>
      <c r="K43" s="225">
        <f t="shared" si="0"/>
        <v>41368</v>
      </c>
      <c r="L43" s="236"/>
      <c r="M43" s="237">
        <v>2089</v>
      </c>
      <c r="N43" s="237">
        <v>0</v>
      </c>
      <c r="O43" s="236">
        <v>1273</v>
      </c>
      <c r="P43" s="225">
        <f t="shared" si="1"/>
        <v>3362</v>
      </c>
      <c r="Q43" s="236"/>
      <c r="R43" s="237">
        <v>24867</v>
      </c>
      <c r="S43" s="238">
        <v>3649</v>
      </c>
      <c r="T43" s="238">
        <v>28516</v>
      </c>
    </row>
    <row r="44" spans="1:20">
      <c r="A44" s="231">
        <v>90441</v>
      </c>
      <c r="B44" s="232" t="s">
        <v>761</v>
      </c>
      <c r="C44" s="92">
        <v>8.3999999999999992E-6</v>
      </c>
      <c r="D44" s="92">
        <v>9.3999999999999998E-6</v>
      </c>
      <c r="E44" s="236">
        <v>12833</v>
      </c>
      <c r="F44" s="236"/>
      <c r="G44" s="237">
        <v>739</v>
      </c>
      <c r="H44" s="225">
        <v>3115</v>
      </c>
      <c r="I44" s="237">
        <v>1833</v>
      </c>
      <c r="J44" s="236">
        <v>890</v>
      </c>
      <c r="K44" s="225">
        <f t="shared" si="0"/>
        <v>6577</v>
      </c>
      <c r="L44" s="236"/>
      <c r="M44" s="237">
        <v>363</v>
      </c>
      <c r="N44" s="237">
        <v>0</v>
      </c>
      <c r="O44" s="236">
        <v>129</v>
      </c>
      <c r="P44" s="225">
        <f t="shared" si="1"/>
        <v>492</v>
      </c>
      <c r="Q44" s="236"/>
      <c r="R44" s="237">
        <v>4325</v>
      </c>
      <c r="S44" s="238">
        <v>621</v>
      </c>
      <c r="T44" s="238">
        <v>4946</v>
      </c>
    </row>
    <row r="45" spans="1:20">
      <c r="A45" s="231">
        <v>90451</v>
      </c>
      <c r="B45" s="232" t="s">
        <v>762</v>
      </c>
      <c r="C45" s="92">
        <v>1.6699999999999999E-5</v>
      </c>
      <c r="D45" s="92">
        <v>1.7900000000000001E-5</v>
      </c>
      <c r="E45" s="236">
        <v>25513</v>
      </c>
      <c r="F45" s="236"/>
      <c r="G45" s="237">
        <v>1470</v>
      </c>
      <c r="H45" s="225">
        <v>6194</v>
      </c>
      <c r="I45" s="237">
        <v>3644</v>
      </c>
      <c r="J45" s="236">
        <v>2202</v>
      </c>
      <c r="K45" s="225">
        <f t="shared" si="0"/>
        <v>13510</v>
      </c>
      <c r="L45" s="236"/>
      <c r="M45" s="237">
        <v>722</v>
      </c>
      <c r="N45" s="237">
        <v>0</v>
      </c>
      <c r="O45" s="236">
        <v>903</v>
      </c>
      <c r="P45" s="225">
        <f t="shared" si="1"/>
        <v>1625</v>
      </c>
      <c r="Q45" s="236"/>
      <c r="R45" s="237">
        <v>8598</v>
      </c>
      <c r="S45" s="238">
        <v>635</v>
      </c>
      <c r="T45" s="238">
        <f>9232+1</f>
        <v>9233</v>
      </c>
    </row>
    <row r="46" spans="1:20">
      <c r="A46" s="231">
        <v>90461</v>
      </c>
      <c r="B46" s="232" t="s">
        <v>763</v>
      </c>
      <c r="C46" s="92">
        <v>7.4000000000000003E-6</v>
      </c>
      <c r="D46" s="92">
        <v>1.7200000000000001E-5</v>
      </c>
      <c r="E46" s="236">
        <v>11305</v>
      </c>
      <c r="F46" s="236"/>
      <c r="G46" s="237">
        <v>651</v>
      </c>
      <c r="H46" s="225">
        <v>2745</v>
      </c>
      <c r="I46" s="237">
        <v>1615</v>
      </c>
      <c r="J46" s="236">
        <v>3066</v>
      </c>
      <c r="K46" s="225">
        <f t="shared" si="0"/>
        <v>8077</v>
      </c>
      <c r="L46" s="236"/>
      <c r="M46" s="237">
        <v>320</v>
      </c>
      <c r="N46" s="237">
        <v>0</v>
      </c>
      <c r="O46" s="236">
        <v>7660</v>
      </c>
      <c r="P46" s="225">
        <f t="shared" si="1"/>
        <v>7980</v>
      </c>
      <c r="Q46" s="236"/>
      <c r="R46" s="237">
        <v>3810</v>
      </c>
      <c r="S46" s="238">
        <v>-1001</v>
      </c>
      <c r="T46" s="238">
        <f>2808+1</f>
        <v>2809</v>
      </c>
    </row>
    <row r="47" spans="1:20">
      <c r="A47" s="231">
        <v>90501</v>
      </c>
      <c r="B47" s="232" t="s">
        <v>764</v>
      </c>
      <c r="C47" s="92">
        <v>1.4176E-3</v>
      </c>
      <c r="D47" s="92">
        <v>1.4001E-3</v>
      </c>
      <c r="E47" s="236">
        <v>2165700</v>
      </c>
      <c r="F47" s="236"/>
      <c r="G47" s="237">
        <v>124764</v>
      </c>
      <c r="H47" s="225">
        <v>525835</v>
      </c>
      <c r="I47" s="237">
        <v>309292</v>
      </c>
      <c r="J47" s="236">
        <v>53925</v>
      </c>
      <c r="K47" s="225">
        <f t="shared" si="0"/>
        <v>1013816</v>
      </c>
      <c r="L47" s="236"/>
      <c r="M47" s="237">
        <v>61304</v>
      </c>
      <c r="N47" s="237">
        <v>0</v>
      </c>
      <c r="O47" s="236">
        <v>0</v>
      </c>
      <c r="P47" s="225">
        <f t="shared" si="1"/>
        <v>61304</v>
      </c>
      <c r="Q47" s="236"/>
      <c r="R47" s="237">
        <v>729843</v>
      </c>
      <c r="S47" s="238">
        <v>27148</v>
      </c>
      <c r="T47" s="238">
        <v>756991</v>
      </c>
    </row>
    <row r="48" spans="1:20">
      <c r="A48" s="231">
        <v>90507</v>
      </c>
      <c r="B48" s="232" t="s">
        <v>34</v>
      </c>
      <c r="C48" s="92">
        <v>6.6000000000000003E-6</v>
      </c>
      <c r="D48" s="92">
        <v>7.3000000000000004E-6</v>
      </c>
      <c r="E48" s="236">
        <v>10083</v>
      </c>
      <c r="F48" s="236"/>
      <c r="G48" s="237">
        <v>581</v>
      </c>
      <c r="H48" s="225">
        <v>2448</v>
      </c>
      <c r="I48" s="237">
        <v>1440</v>
      </c>
      <c r="J48" s="236">
        <v>11545</v>
      </c>
      <c r="K48" s="225">
        <f t="shared" si="0"/>
        <v>16014</v>
      </c>
      <c r="L48" s="236"/>
      <c r="M48" s="237">
        <v>285</v>
      </c>
      <c r="N48" s="237">
        <v>0</v>
      </c>
      <c r="O48" s="236">
        <v>0</v>
      </c>
      <c r="P48" s="225">
        <f t="shared" si="1"/>
        <v>285</v>
      </c>
      <c r="Q48" s="236"/>
      <c r="R48" s="237">
        <v>3398</v>
      </c>
      <c r="S48" s="238">
        <v>4117</v>
      </c>
      <c r="T48" s="238">
        <v>7515</v>
      </c>
    </row>
    <row r="49" spans="1:20">
      <c r="A49" s="231">
        <v>90511</v>
      </c>
      <c r="B49" s="232" t="s">
        <v>765</v>
      </c>
      <c r="C49" s="92">
        <v>8.7000000000000001E-5</v>
      </c>
      <c r="D49" s="92">
        <v>9.5500000000000004E-5</v>
      </c>
      <c r="E49" s="236">
        <v>132912</v>
      </c>
      <c r="F49" s="236"/>
      <c r="G49" s="237">
        <v>7657</v>
      </c>
      <c r="H49" s="225">
        <v>32271</v>
      </c>
      <c r="I49" s="237">
        <v>18982</v>
      </c>
      <c r="J49" s="236">
        <v>14433</v>
      </c>
      <c r="K49" s="225">
        <f t="shared" si="0"/>
        <v>73343</v>
      </c>
      <c r="L49" s="236"/>
      <c r="M49" s="237">
        <v>3762</v>
      </c>
      <c r="N49" s="237">
        <v>0</v>
      </c>
      <c r="O49" s="236">
        <v>0</v>
      </c>
      <c r="P49" s="225">
        <f t="shared" si="1"/>
        <v>3762</v>
      </c>
      <c r="Q49" s="236"/>
      <c r="R49" s="237">
        <v>44791</v>
      </c>
      <c r="S49" s="238">
        <v>6485</v>
      </c>
      <c r="T49" s="238">
        <f>51277-1</f>
        <v>51276</v>
      </c>
    </row>
    <row r="50" spans="1:20">
      <c r="A50" s="231">
        <v>90521</v>
      </c>
      <c r="B50" s="232" t="s">
        <v>766</v>
      </c>
      <c r="C50" s="92">
        <v>1.3880000000000001E-4</v>
      </c>
      <c r="D50" s="92">
        <v>1.395E-4</v>
      </c>
      <c r="E50" s="236">
        <v>212048</v>
      </c>
      <c r="F50" s="236"/>
      <c r="G50" s="237">
        <v>12216</v>
      </c>
      <c r="H50" s="225">
        <v>51485</v>
      </c>
      <c r="I50" s="237">
        <v>30283</v>
      </c>
      <c r="J50" s="236">
        <v>0</v>
      </c>
      <c r="K50" s="225">
        <f t="shared" si="0"/>
        <v>93984</v>
      </c>
      <c r="L50" s="236"/>
      <c r="M50" s="237">
        <v>6002</v>
      </c>
      <c r="N50" s="237">
        <v>0</v>
      </c>
      <c r="O50" s="236">
        <v>18446</v>
      </c>
      <c r="P50" s="225">
        <f t="shared" si="1"/>
        <v>24448</v>
      </c>
      <c r="Q50" s="236"/>
      <c r="R50" s="237">
        <v>71460</v>
      </c>
      <c r="S50" s="238">
        <v>-7131</v>
      </c>
      <c r="T50" s="238">
        <v>64329</v>
      </c>
    </row>
    <row r="51" spans="1:20">
      <c r="A51" s="231">
        <v>90601</v>
      </c>
      <c r="B51" s="232" t="s">
        <v>767</v>
      </c>
      <c r="C51" s="92">
        <v>1.1888000000000001E-3</v>
      </c>
      <c r="D51" s="92">
        <v>1.1785999999999999E-3</v>
      </c>
      <c r="E51" s="236">
        <v>1816157</v>
      </c>
      <c r="F51" s="236"/>
      <c r="G51" s="237">
        <v>104627</v>
      </c>
      <c r="H51" s="225">
        <v>440965</v>
      </c>
      <c r="I51" s="237">
        <v>259372</v>
      </c>
      <c r="J51" s="236">
        <v>20795</v>
      </c>
      <c r="K51" s="225">
        <f t="shared" si="0"/>
        <v>825759</v>
      </c>
      <c r="L51" s="236"/>
      <c r="M51" s="237">
        <v>51410</v>
      </c>
      <c r="N51" s="237">
        <v>0</v>
      </c>
      <c r="O51" s="236">
        <v>19784</v>
      </c>
      <c r="P51" s="225">
        <f t="shared" si="1"/>
        <v>71194</v>
      </c>
      <c r="Q51" s="236"/>
      <c r="R51" s="237">
        <v>612047</v>
      </c>
      <c r="S51" s="238">
        <v>8359</v>
      </c>
      <c r="T51" s="238">
        <v>620406</v>
      </c>
    </row>
    <row r="52" spans="1:20">
      <c r="A52" s="231">
        <v>90602</v>
      </c>
      <c r="B52" s="232" t="s">
        <v>259</v>
      </c>
      <c r="C52" s="92">
        <v>6.3899999999999995E-5</v>
      </c>
      <c r="D52" s="92">
        <v>6.3299999999999994E-5</v>
      </c>
      <c r="E52" s="236">
        <v>97621</v>
      </c>
      <c r="F52" s="236"/>
      <c r="G52" s="237">
        <v>5624</v>
      </c>
      <c r="H52" s="225">
        <v>23703</v>
      </c>
      <c r="I52" s="237">
        <v>13942</v>
      </c>
      <c r="J52" s="236">
        <v>38810</v>
      </c>
      <c r="K52" s="225">
        <f t="shared" si="0"/>
        <v>82079</v>
      </c>
      <c r="L52" s="236"/>
      <c r="M52" s="237">
        <v>2763</v>
      </c>
      <c r="N52" s="237">
        <v>0</v>
      </c>
      <c r="O52" s="236">
        <v>0</v>
      </c>
      <c r="P52" s="225">
        <f t="shared" si="1"/>
        <v>2763</v>
      </c>
      <c r="Q52" s="236"/>
      <c r="R52" s="237">
        <v>32899</v>
      </c>
      <c r="S52" s="238">
        <v>14161</v>
      </c>
      <c r="T52" s="238">
        <f>47059+1</f>
        <v>47060</v>
      </c>
    </row>
    <row r="53" spans="1:20">
      <c r="A53" s="231">
        <v>90605</v>
      </c>
      <c r="B53" s="232" t="s">
        <v>768</v>
      </c>
      <c r="C53" s="92">
        <v>4.1999999999999998E-5</v>
      </c>
      <c r="D53" s="92">
        <v>3.8399999999999998E-5</v>
      </c>
      <c r="E53" s="236">
        <v>64164</v>
      </c>
      <c r="F53" s="236"/>
      <c r="G53" s="237">
        <v>3696</v>
      </c>
      <c r="H53" s="225">
        <v>15579</v>
      </c>
      <c r="I53" s="237">
        <v>9164</v>
      </c>
      <c r="J53" s="236">
        <v>15425</v>
      </c>
      <c r="K53" s="225">
        <f t="shared" si="0"/>
        <v>43864</v>
      </c>
      <c r="L53" s="236"/>
      <c r="M53" s="237">
        <v>1816</v>
      </c>
      <c r="N53" s="237">
        <v>0</v>
      </c>
      <c r="O53" s="236">
        <v>0</v>
      </c>
      <c r="P53" s="225">
        <f t="shared" si="1"/>
        <v>1816</v>
      </c>
      <c r="Q53" s="236"/>
      <c r="R53" s="237">
        <v>21623</v>
      </c>
      <c r="S53" s="238">
        <v>5623</v>
      </c>
      <c r="T53" s="238">
        <f>27247-1</f>
        <v>27246</v>
      </c>
    </row>
    <row r="54" spans="1:20">
      <c r="A54" s="231">
        <v>90611</v>
      </c>
      <c r="B54" s="232" t="s">
        <v>769</v>
      </c>
      <c r="C54" s="92">
        <v>1.4880000000000001E-4</v>
      </c>
      <c r="D54" s="92">
        <v>1.5669999999999999E-4</v>
      </c>
      <c r="E54" s="236">
        <v>227325</v>
      </c>
      <c r="F54" s="236"/>
      <c r="G54" s="237">
        <v>13096</v>
      </c>
      <c r="H54" s="225">
        <v>55195</v>
      </c>
      <c r="I54" s="237">
        <v>32465</v>
      </c>
      <c r="J54" s="236">
        <v>2524</v>
      </c>
      <c r="K54" s="225">
        <f t="shared" si="0"/>
        <v>103280</v>
      </c>
      <c r="L54" s="236"/>
      <c r="M54" s="237">
        <v>6435</v>
      </c>
      <c r="N54" s="237">
        <v>0</v>
      </c>
      <c r="O54" s="236">
        <v>18006</v>
      </c>
      <c r="P54" s="225">
        <f t="shared" si="1"/>
        <v>24441</v>
      </c>
      <c r="Q54" s="236"/>
      <c r="R54" s="237">
        <v>76609</v>
      </c>
      <c r="S54" s="238">
        <v>-3082</v>
      </c>
      <c r="T54" s="238">
        <v>73527</v>
      </c>
    </row>
    <row r="55" spans="1:20">
      <c r="A55" s="231">
        <v>90617</v>
      </c>
      <c r="B55" s="232" t="s">
        <v>770</v>
      </c>
      <c r="C55" s="92">
        <v>2.5999999999999998E-5</v>
      </c>
      <c r="D55" s="92">
        <v>2.6800000000000001E-5</v>
      </c>
      <c r="E55" s="236">
        <v>39721</v>
      </c>
      <c r="F55" s="236"/>
      <c r="G55" s="237">
        <v>2288</v>
      </c>
      <c r="H55" s="225">
        <v>9644</v>
      </c>
      <c r="I55" s="237">
        <v>5673</v>
      </c>
      <c r="J55" s="236">
        <v>7632</v>
      </c>
      <c r="K55" s="225">
        <f t="shared" si="0"/>
        <v>25237</v>
      </c>
      <c r="L55" s="236"/>
      <c r="M55" s="237">
        <v>1124</v>
      </c>
      <c r="N55" s="237">
        <v>0</v>
      </c>
      <c r="O55" s="236">
        <v>0</v>
      </c>
      <c r="P55" s="225">
        <f t="shared" si="1"/>
        <v>1124</v>
      </c>
      <c r="Q55" s="236"/>
      <c r="R55" s="237">
        <v>13386</v>
      </c>
      <c r="S55" s="238">
        <v>4087</v>
      </c>
      <c r="T55" s="238">
        <v>17473</v>
      </c>
    </row>
    <row r="56" spans="1:20">
      <c r="A56" s="231">
        <v>90621</v>
      </c>
      <c r="B56" s="232" t="s">
        <v>771</v>
      </c>
      <c r="C56" s="92">
        <v>6.3999999999999997E-5</v>
      </c>
      <c r="D56" s="92">
        <v>8.2100000000000003E-5</v>
      </c>
      <c r="E56" s="236">
        <v>97774</v>
      </c>
      <c r="F56" s="236"/>
      <c r="G56" s="237">
        <v>5633</v>
      </c>
      <c r="H56" s="225">
        <v>23740</v>
      </c>
      <c r="I56" s="237">
        <v>13964</v>
      </c>
      <c r="J56" s="236">
        <v>588</v>
      </c>
      <c r="K56" s="225">
        <f t="shared" si="0"/>
        <v>43925</v>
      </c>
      <c r="L56" s="236"/>
      <c r="M56" s="237">
        <v>2768</v>
      </c>
      <c r="N56" s="237">
        <v>0</v>
      </c>
      <c r="O56" s="236">
        <v>19000</v>
      </c>
      <c r="P56" s="225">
        <f t="shared" si="1"/>
        <v>21768</v>
      </c>
      <c r="Q56" s="236"/>
      <c r="R56" s="237">
        <v>32950</v>
      </c>
      <c r="S56" s="238">
        <v>-5337</v>
      </c>
      <c r="T56" s="238">
        <v>27613</v>
      </c>
    </row>
    <row r="57" spans="1:20">
      <c r="A57" s="231">
        <v>90631</v>
      </c>
      <c r="B57" s="232" t="s">
        <v>772</v>
      </c>
      <c r="C57" s="92">
        <v>3.9560000000000002E-4</v>
      </c>
      <c r="D57" s="92">
        <v>3.8000000000000002E-4</v>
      </c>
      <c r="E57" s="236">
        <v>604367</v>
      </c>
      <c r="F57" s="236"/>
      <c r="G57" s="237">
        <v>34817</v>
      </c>
      <c r="H57" s="225">
        <v>146742</v>
      </c>
      <c r="I57" s="237">
        <v>86312</v>
      </c>
      <c r="J57" s="236">
        <v>17764</v>
      </c>
      <c r="K57" s="225">
        <f t="shared" si="0"/>
        <v>285635</v>
      </c>
      <c r="L57" s="236"/>
      <c r="M57" s="237">
        <v>17108</v>
      </c>
      <c r="N57" s="237">
        <v>0</v>
      </c>
      <c r="O57" s="236">
        <v>8233</v>
      </c>
      <c r="P57" s="225">
        <f t="shared" si="1"/>
        <v>25341</v>
      </c>
      <c r="Q57" s="236"/>
      <c r="R57" s="237">
        <v>203672</v>
      </c>
      <c r="S57" s="238">
        <v>-484</v>
      </c>
      <c r="T57" s="238">
        <f>203189-1</f>
        <v>203188</v>
      </c>
    </row>
    <row r="58" spans="1:20">
      <c r="A58" s="231">
        <v>90641</v>
      </c>
      <c r="B58" s="232" t="s">
        <v>773</v>
      </c>
      <c r="C58" s="92">
        <v>1.38E-5</v>
      </c>
      <c r="D58" s="92">
        <v>1.4399999999999999E-5</v>
      </c>
      <c r="E58" s="236">
        <v>21083</v>
      </c>
      <c r="F58" s="236"/>
      <c r="G58" s="237">
        <v>1215</v>
      </c>
      <c r="H58" s="225">
        <v>5118</v>
      </c>
      <c r="I58" s="237">
        <v>3011</v>
      </c>
      <c r="J58" s="236">
        <v>304</v>
      </c>
      <c r="K58" s="225">
        <f t="shared" si="0"/>
        <v>9648</v>
      </c>
      <c r="L58" s="236"/>
      <c r="M58" s="237">
        <v>597</v>
      </c>
      <c r="N58" s="237">
        <v>0</v>
      </c>
      <c r="O58" s="236">
        <v>517</v>
      </c>
      <c r="P58" s="225">
        <f t="shared" si="1"/>
        <v>1114</v>
      </c>
      <c r="Q58" s="236"/>
      <c r="R58" s="237">
        <v>7105</v>
      </c>
      <c r="S58" s="238">
        <v>-123</v>
      </c>
      <c r="T58" s="238">
        <v>6982</v>
      </c>
    </row>
    <row r="59" spans="1:20">
      <c r="A59" s="231">
        <v>90651</v>
      </c>
      <c r="B59" s="232" t="s">
        <v>774</v>
      </c>
      <c r="C59" s="92">
        <v>1E-4</v>
      </c>
      <c r="D59" s="92">
        <v>1.108E-4</v>
      </c>
      <c r="E59" s="236">
        <v>152772</v>
      </c>
      <c r="F59" s="236"/>
      <c r="G59" s="237">
        <v>8801</v>
      </c>
      <c r="H59" s="225">
        <v>37093</v>
      </c>
      <c r="I59" s="237">
        <v>21818</v>
      </c>
      <c r="J59" s="236">
        <v>85885</v>
      </c>
      <c r="K59" s="225">
        <f t="shared" si="0"/>
        <v>153597</v>
      </c>
      <c r="L59" s="236"/>
      <c r="M59" s="237">
        <v>4325</v>
      </c>
      <c r="N59" s="237">
        <v>0</v>
      </c>
      <c r="O59" s="236">
        <v>4659</v>
      </c>
      <c r="P59" s="225">
        <f t="shared" si="1"/>
        <v>8984</v>
      </c>
      <c r="Q59" s="236"/>
      <c r="R59" s="237">
        <v>51484</v>
      </c>
      <c r="S59" s="238">
        <v>25671</v>
      </c>
      <c r="T59" s="238">
        <f>77156-1</f>
        <v>77155</v>
      </c>
    </row>
    <row r="60" spans="1:20">
      <c r="A60" s="231">
        <v>90701</v>
      </c>
      <c r="B60" s="232" t="s">
        <v>775</v>
      </c>
      <c r="C60" s="92">
        <v>2.6581E-3</v>
      </c>
      <c r="D60" s="92">
        <v>2.3587E-3</v>
      </c>
      <c r="E60" s="236">
        <v>4060841</v>
      </c>
      <c r="F60" s="236"/>
      <c r="G60" s="237">
        <v>233942</v>
      </c>
      <c r="H60" s="225">
        <v>985977</v>
      </c>
      <c r="I60" s="237">
        <v>579944</v>
      </c>
      <c r="J60" s="236">
        <v>130818</v>
      </c>
      <c r="K60" s="225">
        <f t="shared" si="0"/>
        <v>1930681</v>
      </c>
      <c r="L60" s="236"/>
      <c r="M60" s="237">
        <v>114950</v>
      </c>
      <c r="N60" s="237">
        <v>0</v>
      </c>
      <c r="O60" s="236">
        <v>31847</v>
      </c>
      <c r="P60" s="225">
        <f t="shared" si="1"/>
        <v>146797</v>
      </c>
      <c r="Q60" s="236"/>
      <c r="R60" s="237">
        <v>1368507</v>
      </c>
      <c r="S60" s="238">
        <v>33872</v>
      </c>
      <c r="T60" s="238">
        <v>1402379</v>
      </c>
    </row>
    <row r="61" spans="1:20">
      <c r="A61" s="231">
        <v>90704</v>
      </c>
      <c r="B61" s="232" t="s">
        <v>776</v>
      </c>
      <c r="C61" s="92">
        <v>3.3300000000000003E-5</v>
      </c>
      <c r="D61" s="92">
        <v>3.4900000000000001E-5</v>
      </c>
      <c r="E61" s="236">
        <v>50873</v>
      </c>
      <c r="F61" s="236"/>
      <c r="G61" s="237">
        <v>2931</v>
      </c>
      <c r="H61" s="225">
        <v>12352</v>
      </c>
      <c r="I61" s="237">
        <v>7265</v>
      </c>
      <c r="J61" s="236">
        <v>14629</v>
      </c>
      <c r="K61" s="225">
        <f t="shared" si="0"/>
        <v>37177</v>
      </c>
      <c r="L61" s="236"/>
      <c r="M61" s="237">
        <v>1440</v>
      </c>
      <c r="N61" s="237">
        <v>0</v>
      </c>
      <c r="O61" s="236">
        <v>0</v>
      </c>
      <c r="P61" s="225">
        <f t="shared" si="1"/>
        <v>1440</v>
      </c>
      <c r="Q61" s="236"/>
      <c r="R61" s="237">
        <v>17144</v>
      </c>
      <c r="S61" s="238">
        <v>5643</v>
      </c>
      <c r="T61" s="238">
        <f>22788-1</f>
        <v>22787</v>
      </c>
    </row>
    <row r="62" spans="1:20">
      <c r="A62" s="231">
        <v>90705</v>
      </c>
      <c r="B62" s="232" t="s">
        <v>777</v>
      </c>
      <c r="C62" s="92">
        <v>5.3000000000000001E-5</v>
      </c>
      <c r="D62" s="92">
        <v>3.3899999999999997E-5</v>
      </c>
      <c r="E62" s="236">
        <v>80969</v>
      </c>
      <c r="F62" s="236"/>
      <c r="G62" s="237">
        <v>4665</v>
      </c>
      <c r="H62" s="225">
        <v>19659</v>
      </c>
      <c r="I62" s="237">
        <v>11564</v>
      </c>
      <c r="J62" s="236">
        <v>18366</v>
      </c>
      <c r="K62" s="225">
        <f t="shared" si="0"/>
        <v>54254</v>
      </c>
      <c r="L62" s="236"/>
      <c r="M62" s="237">
        <v>2292</v>
      </c>
      <c r="N62" s="237">
        <v>0</v>
      </c>
      <c r="O62" s="236">
        <v>0</v>
      </c>
      <c r="P62" s="225">
        <f t="shared" si="1"/>
        <v>2292</v>
      </c>
      <c r="Q62" s="236"/>
      <c r="R62" s="237">
        <v>27287</v>
      </c>
      <c r="S62" s="238">
        <v>6194</v>
      </c>
      <c r="T62" s="238">
        <v>33481</v>
      </c>
    </row>
    <row r="63" spans="1:20">
      <c r="A63" s="231">
        <v>90709</v>
      </c>
      <c r="B63" s="232" t="s">
        <v>778</v>
      </c>
      <c r="C63" s="92">
        <v>1.2650000000000001E-4</v>
      </c>
      <c r="D63" s="92">
        <v>1.4569999999999999E-4</v>
      </c>
      <c r="E63" s="236">
        <v>193257</v>
      </c>
      <c r="F63" s="236"/>
      <c r="G63" s="237">
        <v>11133</v>
      </c>
      <c r="H63" s="225">
        <v>46924</v>
      </c>
      <c r="I63" s="237">
        <v>27600</v>
      </c>
      <c r="J63" s="236">
        <v>5085</v>
      </c>
      <c r="K63" s="225">
        <f t="shared" si="0"/>
        <v>90742</v>
      </c>
      <c r="L63" s="236"/>
      <c r="M63" s="237">
        <v>5470</v>
      </c>
      <c r="N63" s="237">
        <v>0</v>
      </c>
      <c r="O63" s="236">
        <v>42511</v>
      </c>
      <c r="P63" s="225">
        <f t="shared" si="1"/>
        <v>47981</v>
      </c>
      <c r="Q63" s="236"/>
      <c r="R63" s="237">
        <v>65128</v>
      </c>
      <c r="S63" s="238">
        <v>-9374</v>
      </c>
      <c r="T63" s="238">
        <v>55754</v>
      </c>
    </row>
    <row r="64" spans="1:20">
      <c r="A64" s="231">
        <v>90711</v>
      </c>
      <c r="B64" s="232" t="s">
        <v>779</v>
      </c>
      <c r="C64" s="92">
        <v>1.6877000000000001E-3</v>
      </c>
      <c r="D64" s="92">
        <v>1.7302000000000001E-3</v>
      </c>
      <c r="E64" s="236">
        <v>2578338</v>
      </c>
      <c r="F64" s="236"/>
      <c r="G64" s="237">
        <v>148536</v>
      </c>
      <c r="H64" s="225">
        <v>626023</v>
      </c>
      <c r="I64" s="237">
        <v>368222</v>
      </c>
      <c r="J64" s="236">
        <v>0</v>
      </c>
      <c r="K64" s="225">
        <f t="shared" si="0"/>
        <v>1142781</v>
      </c>
      <c r="L64" s="236"/>
      <c r="M64" s="237">
        <v>72985</v>
      </c>
      <c r="N64" s="237">
        <v>0</v>
      </c>
      <c r="O64" s="236">
        <v>160849</v>
      </c>
      <c r="P64" s="225">
        <f t="shared" si="1"/>
        <v>233834</v>
      </c>
      <c r="Q64" s="236"/>
      <c r="R64" s="237">
        <v>868902</v>
      </c>
      <c r="S64" s="238">
        <v>-68798</v>
      </c>
      <c r="T64" s="238">
        <v>800104</v>
      </c>
    </row>
    <row r="65" spans="1:20">
      <c r="A65" s="231">
        <v>90721</v>
      </c>
      <c r="B65" s="232" t="s">
        <v>780</v>
      </c>
      <c r="C65" s="92">
        <v>2.8600000000000001E-5</v>
      </c>
      <c r="D65" s="92">
        <v>3.7299999999999999E-5</v>
      </c>
      <c r="E65" s="236">
        <v>43693</v>
      </c>
      <c r="F65" s="236"/>
      <c r="G65" s="237">
        <v>2517</v>
      </c>
      <c r="H65" s="225">
        <v>10608</v>
      </c>
      <c r="I65" s="237">
        <v>6240</v>
      </c>
      <c r="J65" s="236">
        <v>2956</v>
      </c>
      <c r="K65" s="225">
        <f t="shared" si="0"/>
        <v>22321</v>
      </c>
      <c r="L65" s="236"/>
      <c r="M65" s="237">
        <v>1237</v>
      </c>
      <c r="N65" s="237">
        <v>0</v>
      </c>
      <c r="O65" s="236">
        <v>4943</v>
      </c>
      <c r="P65" s="225">
        <f t="shared" si="1"/>
        <v>6180</v>
      </c>
      <c r="Q65" s="236"/>
      <c r="R65" s="237">
        <v>14725</v>
      </c>
      <c r="S65" s="238">
        <v>1072</v>
      </c>
      <c r="T65" s="238">
        <f>15796+1</f>
        <v>15797</v>
      </c>
    </row>
    <row r="66" spans="1:20">
      <c r="A66" s="231">
        <v>90731</v>
      </c>
      <c r="B66" s="232" t="s">
        <v>781</v>
      </c>
      <c r="C66" s="92">
        <v>1.741E-4</v>
      </c>
      <c r="D66" s="92">
        <v>1.917E-4</v>
      </c>
      <c r="E66" s="236">
        <v>265977</v>
      </c>
      <c r="F66" s="236"/>
      <c r="G66" s="237">
        <v>15323</v>
      </c>
      <c r="H66" s="225">
        <v>64580</v>
      </c>
      <c r="I66" s="237">
        <v>37985</v>
      </c>
      <c r="J66" s="236">
        <v>0</v>
      </c>
      <c r="K66" s="225">
        <f t="shared" si="0"/>
        <v>117888</v>
      </c>
      <c r="L66" s="236"/>
      <c r="M66" s="237">
        <v>7529</v>
      </c>
      <c r="N66" s="237">
        <v>0</v>
      </c>
      <c r="O66" s="236">
        <v>18148</v>
      </c>
      <c r="P66" s="225">
        <f t="shared" si="1"/>
        <v>25677</v>
      </c>
      <c r="Q66" s="236"/>
      <c r="R66" s="237">
        <v>89634</v>
      </c>
      <c r="S66" s="238">
        <v>-7025</v>
      </c>
      <c r="T66" s="238">
        <v>82609</v>
      </c>
    </row>
    <row r="67" spans="1:20">
      <c r="A67" s="231">
        <v>90741</v>
      </c>
      <c r="B67" s="232" t="s">
        <v>782</v>
      </c>
      <c r="C67" s="92">
        <v>9.0999999999999993E-6</v>
      </c>
      <c r="D67" s="92">
        <v>1.2099999999999999E-5</v>
      </c>
      <c r="E67" s="236">
        <v>13902</v>
      </c>
      <c r="F67" s="236"/>
      <c r="G67" s="237">
        <v>801</v>
      </c>
      <c r="H67" s="225">
        <v>3375</v>
      </c>
      <c r="I67" s="237">
        <v>1985</v>
      </c>
      <c r="J67" s="236">
        <v>2169</v>
      </c>
      <c r="K67" s="225">
        <f t="shared" si="0"/>
        <v>8330</v>
      </c>
      <c r="L67" s="236"/>
      <c r="M67" s="237">
        <v>394</v>
      </c>
      <c r="N67" s="237">
        <v>0</v>
      </c>
      <c r="O67" s="236">
        <v>952</v>
      </c>
      <c r="P67" s="225">
        <f t="shared" si="1"/>
        <v>1346</v>
      </c>
      <c r="Q67" s="236"/>
      <c r="R67" s="237">
        <v>4685</v>
      </c>
      <c r="S67" s="238">
        <v>235</v>
      </c>
      <c r="T67" s="238">
        <v>4920</v>
      </c>
    </row>
    <row r="68" spans="1:20">
      <c r="A68" s="231">
        <v>90751</v>
      </c>
      <c r="B68" s="232" t="s">
        <v>783</v>
      </c>
      <c r="C68" s="92">
        <v>6.8700000000000003E-5</v>
      </c>
      <c r="D68" s="92">
        <v>6.5599999999999995E-5</v>
      </c>
      <c r="E68" s="236">
        <v>104955</v>
      </c>
      <c r="F68" s="236"/>
      <c r="G68" s="237">
        <v>6046</v>
      </c>
      <c r="H68" s="225">
        <v>25483</v>
      </c>
      <c r="I68" s="237">
        <v>14989</v>
      </c>
      <c r="J68" s="236">
        <v>4940</v>
      </c>
      <c r="K68" s="225">
        <f t="shared" si="0"/>
        <v>51458</v>
      </c>
      <c r="L68" s="236"/>
      <c r="M68" s="237">
        <v>2971</v>
      </c>
      <c r="N68" s="237">
        <v>0</v>
      </c>
      <c r="O68" s="236">
        <v>1080</v>
      </c>
      <c r="P68" s="225">
        <f t="shared" si="1"/>
        <v>4051</v>
      </c>
      <c r="Q68" s="236"/>
      <c r="R68" s="237">
        <v>35370</v>
      </c>
      <c r="S68" s="238">
        <v>3400</v>
      </c>
      <c r="T68" s="238">
        <v>38770</v>
      </c>
    </row>
    <row r="69" spans="1:20">
      <c r="A69" s="231">
        <v>90801</v>
      </c>
      <c r="B69" s="232" t="s">
        <v>784</v>
      </c>
      <c r="C69" s="92">
        <v>1.3064000000000001E-3</v>
      </c>
      <c r="D69" s="92">
        <v>1.1404E-3</v>
      </c>
      <c r="E69" s="236">
        <v>1995817</v>
      </c>
      <c r="F69" s="236"/>
      <c r="G69" s="237">
        <v>114978</v>
      </c>
      <c r="H69" s="225">
        <v>484586</v>
      </c>
      <c r="I69" s="237">
        <v>285030</v>
      </c>
      <c r="J69" s="236">
        <v>151641</v>
      </c>
      <c r="K69" s="225">
        <f t="shared" si="0"/>
        <v>1036235</v>
      </c>
      <c r="L69" s="236"/>
      <c r="M69" s="237">
        <v>56495</v>
      </c>
      <c r="N69" s="237">
        <v>0</v>
      </c>
      <c r="O69" s="236">
        <v>0</v>
      </c>
      <c r="P69" s="225">
        <f t="shared" si="1"/>
        <v>56495</v>
      </c>
      <c r="Q69" s="236"/>
      <c r="R69" s="237">
        <v>672592</v>
      </c>
      <c r="S69" s="238">
        <v>65370</v>
      </c>
      <c r="T69" s="238">
        <v>737962</v>
      </c>
    </row>
    <row r="70" spans="1:20">
      <c r="A70" s="231">
        <v>90804</v>
      </c>
      <c r="B70" s="232" t="s">
        <v>785</v>
      </c>
      <c r="C70" s="92">
        <v>6.1999999999999999E-6</v>
      </c>
      <c r="D70" s="92">
        <v>6.0000000000000002E-6</v>
      </c>
      <c r="E70" s="236">
        <v>9472</v>
      </c>
      <c r="F70" s="236"/>
      <c r="G70" s="237">
        <v>546</v>
      </c>
      <c r="H70" s="225">
        <v>2300</v>
      </c>
      <c r="I70" s="237">
        <v>1353</v>
      </c>
      <c r="J70" s="236">
        <v>1462</v>
      </c>
      <c r="K70" s="225">
        <f t="shared" si="0"/>
        <v>5661</v>
      </c>
      <c r="L70" s="236"/>
      <c r="M70" s="237">
        <v>268</v>
      </c>
      <c r="N70" s="237">
        <v>0</v>
      </c>
      <c r="O70" s="236">
        <v>0</v>
      </c>
      <c r="P70" s="225">
        <f t="shared" si="1"/>
        <v>268</v>
      </c>
      <c r="Q70" s="236"/>
      <c r="R70" s="237">
        <v>3192</v>
      </c>
      <c r="S70" s="238">
        <v>893</v>
      </c>
      <c r="T70" s="238">
        <v>4085</v>
      </c>
    </row>
    <row r="71" spans="1:20">
      <c r="A71" s="231">
        <v>90805</v>
      </c>
      <c r="B71" s="232" t="s">
        <v>786</v>
      </c>
      <c r="C71" s="92">
        <v>5.1900000000000001E-5</v>
      </c>
      <c r="D71" s="92">
        <v>5.5099999999999998E-5</v>
      </c>
      <c r="E71" s="236">
        <v>79289</v>
      </c>
      <c r="F71" s="236"/>
      <c r="G71" s="237">
        <v>4568</v>
      </c>
      <c r="H71" s="225">
        <v>19252</v>
      </c>
      <c r="I71" s="237">
        <v>11324</v>
      </c>
      <c r="J71" s="236">
        <v>22022</v>
      </c>
      <c r="K71" s="225">
        <f t="shared" si="0"/>
        <v>57166</v>
      </c>
      <c r="L71" s="236"/>
      <c r="M71" s="237">
        <v>2244</v>
      </c>
      <c r="N71" s="237">
        <v>0</v>
      </c>
      <c r="O71" s="236">
        <v>0</v>
      </c>
      <c r="P71" s="225">
        <f t="shared" si="1"/>
        <v>2244</v>
      </c>
      <c r="Q71" s="236"/>
      <c r="R71" s="237">
        <v>26720</v>
      </c>
      <c r="S71" s="238">
        <v>9443</v>
      </c>
      <c r="T71" s="238">
        <v>36163</v>
      </c>
    </row>
    <row r="72" spans="1:20">
      <c r="A72" s="231">
        <v>90808</v>
      </c>
      <c r="B72" s="232" t="s">
        <v>787</v>
      </c>
      <c r="C72" s="92">
        <v>1.131E-4</v>
      </c>
      <c r="D72" s="92">
        <v>1.109E-4</v>
      </c>
      <c r="E72" s="236">
        <v>172785</v>
      </c>
      <c r="F72" s="236"/>
      <c r="G72" s="237">
        <v>9954</v>
      </c>
      <c r="H72" s="225">
        <v>41952</v>
      </c>
      <c r="I72" s="237">
        <v>24676</v>
      </c>
      <c r="J72" s="236">
        <v>5678</v>
      </c>
      <c r="K72" s="225">
        <f t="shared" si="0"/>
        <v>82260</v>
      </c>
      <c r="L72" s="236"/>
      <c r="M72" s="237">
        <v>4891</v>
      </c>
      <c r="N72" s="237">
        <v>0</v>
      </c>
      <c r="O72" s="236">
        <v>2008</v>
      </c>
      <c r="P72" s="225">
        <f t="shared" si="1"/>
        <v>6899</v>
      </c>
      <c r="Q72" s="236"/>
      <c r="R72" s="237">
        <v>58229</v>
      </c>
      <c r="S72" s="238">
        <v>731</v>
      </c>
      <c r="T72" s="238">
        <f>58959+1</f>
        <v>58960</v>
      </c>
    </row>
    <row r="73" spans="1:20">
      <c r="A73" s="231">
        <v>90811</v>
      </c>
      <c r="B73" s="232" t="s">
        <v>788</v>
      </c>
      <c r="C73" s="92">
        <v>3.3599999999999997E-5</v>
      </c>
      <c r="D73" s="92">
        <v>4.0000000000000003E-5</v>
      </c>
      <c r="E73" s="236">
        <v>51331</v>
      </c>
      <c r="F73" s="236"/>
      <c r="G73" s="237">
        <v>2957</v>
      </c>
      <c r="H73" s="225">
        <v>12463</v>
      </c>
      <c r="I73" s="237">
        <v>7331</v>
      </c>
      <c r="J73" s="236">
        <v>471</v>
      </c>
      <c r="K73" s="225">
        <f t="shared" si="0"/>
        <v>23222</v>
      </c>
      <c r="L73" s="236"/>
      <c r="M73" s="237">
        <v>1453</v>
      </c>
      <c r="N73" s="237">
        <v>0</v>
      </c>
      <c r="O73" s="236">
        <v>8846</v>
      </c>
      <c r="P73" s="225">
        <f t="shared" si="1"/>
        <v>10299</v>
      </c>
      <c r="Q73" s="236"/>
      <c r="R73" s="237">
        <v>17299</v>
      </c>
      <c r="S73" s="238">
        <v>-1986</v>
      </c>
      <c r="T73" s="238">
        <v>15313</v>
      </c>
    </row>
    <row r="74" spans="1:20">
      <c r="A74" s="231">
        <v>90812</v>
      </c>
      <c r="B74" s="232" t="s">
        <v>789</v>
      </c>
      <c r="C74" s="92">
        <v>2.2900000000000001E-4</v>
      </c>
      <c r="D74" s="92">
        <v>2.13E-4</v>
      </c>
      <c r="E74" s="236">
        <v>349849</v>
      </c>
      <c r="F74" s="236"/>
      <c r="G74" s="237">
        <v>20155</v>
      </c>
      <c r="H74" s="225">
        <v>84944</v>
      </c>
      <c r="I74" s="237">
        <v>49963</v>
      </c>
      <c r="J74" s="236">
        <v>15087</v>
      </c>
      <c r="K74" s="225">
        <f t="shared" ref="K74:K137" si="2">G74+H74+I74+J74</f>
        <v>170149</v>
      </c>
      <c r="L74" s="236"/>
      <c r="M74" s="237">
        <v>9903</v>
      </c>
      <c r="N74" s="237">
        <v>0</v>
      </c>
      <c r="O74" s="236">
        <v>10549</v>
      </c>
      <c r="P74" s="225">
        <f t="shared" ref="P74:P137" si="3">M74+N74+O74</f>
        <v>20452</v>
      </c>
      <c r="Q74" s="236"/>
      <c r="R74" s="237">
        <v>117899</v>
      </c>
      <c r="S74" s="238">
        <v>3117</v>
      </c>
      <c r="T74" s="238">
        <v>121016</v>
      </c>
    </row>
    <row r="75" spans="1:20">
      <c r="A75" s="231">
        <v>90813</v>
      </c>
      <c r="B75" s="232" t="s">
        <v>790</v>
      </c>
      <c r="C75" s="92">
        <v>5.3000000000000001E-6</v>
      </c>
      <c r="D75" s="92">
        <v>5.4999999999999999E-6</v>
      </c>
      <c r="E75" s="236">
        <v>8097</v>
      </c>
      <c r="F75" s="236"/>
      <c r="G75" s="237">
        <v>466</v>
      </c>
      <c r="H75" s="225">
        <v>1966</v>
      </c>
      <c r="I75" s="237">
        <v>1156</v>
      </c>
      <c r="J75" s="236">
        <v>0</v>
      </c>
      <c r="K75" s="225">
        <f t="shared" si="2"/>
        <v>3588</v>
      </c>
      <c r="L75" s="236"/>
      <c r="M75" s="237">
        <v>229</v>
      </c>
      <c r="N75" s="237">
        <v>0</v>
      </c>
      <c r="O75" s="236">
        <v>1124</v>
      </c>
      <c r="P75" s="225">
        <f t="shared" si="3"/>
        <v>1353</v>
      </c>
      <c r="Q75" s="236"/>
      <c r="R75" s="237">
        <v>2729</v>
      </c>
      <c r="S75" s="238">
        <v>-505</v>
      </c>
      <c r="T75" s="238">
        <f>2223+1</f>
        <v>2224</v>
      </c>
    </row>
    <row r="76" spans="1:20">
      <c r="A76" s="231">
        <v>90861</v>
      </c>
      <c r="B76" s="232" t="s">
        <v>791</v>
      </c>
      <c r="C76" s="92">
        <v>4.1999999999999996E-6</v>
      </c>
      <c r="D76" s="92">
        <v>4.7999999999999998E-6</v>
      </c>
      <c r="E76" s="236">
        <v>6416</v>
      </c>
      <c r="F76" s="236"/>
      <c r="G76" s="237">
        <v>370</v>
      </c>
      <c r="H76" s="225">
        <v>1558</v>
      </c>
      <c r="I76" s="237">
        <v>916</v>
      </c>
      <c r="J76" s="236">
        <v>3211</v>
      </c>
      <c r="K76" s="225">
        <f t="shared" si="2"/>
        <v>6055</v>
      </c>
      <c r="L76" s="236"/>
      <c r="M76" s="237">
        <v>182</v>
      </c>
      <c r="N76" s="237">
        <v>0</v>
      </c>
      <c r="O76" s="236">
        <v>1117</v>
      </c>
      <c r="P76" s="225">
        <f t="shared" si="3"/>
        <v>1299</v>
      </c>
      <c r="Q76" s="236"/>
      <c r="R76" s="237">
        <v>2162</v>
      </c>
      <c r="S76" s="238">
        <v>191</v>
      </c>
      <c r="T76" s="238">
        <v>2353</v>
      </c>
    </row>
    <row r="77" spans="1:20">
      <c r="A77" s="231">
        <v>90901</v>
      </c>
      <c r="B77" s="232" t="s">
        <v>792</v>
      </c>
      <c r="C77" s="92">
        <v>2.1814999999999998E-3</v>
      </c>
      <c r="D77" s="92">
        <v>2.1302999999999999E-3</v>
      </c>
      <c r="E77" s="236">
        <v>3332728</v>
      </c>
      <c r="F77" s="236"/>
      <c r="G77" s="237">
        <v>191996</v>
      </c>
      <c r="H77" s="225">
        <v>809191</v>
      </c>
      <c r="I77" s="237">
        <v>475960</v>
      </c>
      <c r="J77" s="236">
        <v>22389</v>
      </c>
      <c r="K77" s="225">
        <f t="shared" si="2"/>
        <v>1499536</v>
      </c>
      <c r="L77" s="236"/>
      <c r="M77" s="237">
        <v>94339</v>
      </c>
      <c r="N77" s="237">
        <v>0</v>
      </c>
      <c r="O77" s="236">
        <v>38005</v>
      </c>
      <c r="P77" s="225">
        <f t="shared" si="3"/>
        <v>132344</v>
      </c>
      <c r="Q77" s="236"/>
      <c r="R77" s="237">
        <v>1123132</v>
      </c>
      <c r="S77" s="238">
        <v>-5969</v>
      </c>
      <c r="T77" s="238">
        <v>1117163</v>
      </c>
    </row>
    <row r="78" spans="1:20">
      <c r="A78" s="231">
        <v>90911</v>
      </c>
      <c r="B78" s="232" t="s">
        <v>793</v>
      </c>
      <c r="C78" s="92">
        <v>3.9780000000000002E-4</v>
      </c>
      <c r="D78" s="92">
        <v>3.6010000000000003E-4</v>
      </c>
      <c r="E78" s="236">
        <v>607728</v>
      </c>
      <c r="F78" s="236"/>
      <c r="G78" s="237">
        <v>35011</v>
      </c>
      <c r="H78" s="225">
        <v>147557</v>
      </c>
      <c r="I78" s="237">
        <v>86792</v>
      </c>
      <c r="J78" s="236">
        <v>6806</v>
      </c>
      <c r="K78" s="225">
        <f t="shared" si="2"/>
        <v>276166</v>
      </c>
      <c r="L78" s="236"/>
      <c r="M78" s="237">
        <v>17203</v>
      </c>
      <c r="N78" s="237">
        <v>0</v>
      </c>
      <c r="O78" s="236">
        <v>31482</v>
      </c>
      <c r="P78" s="225">
        <f t="shared" si="3"/>
        <v>48685</v>
      </c>
      <c r="Q78" s="236"/>
      <c r="R78" s="237">
        <v>204805</v>
      </c>
      <c r="S78" s="238">
        <v>-18326</v>
      </c>
      <c r="T78" s="238">
        <v>186479</v>
      </c>
    </row>
    <row r="79" spans="1:20">
      <c r="A79" s="231">
        <v>90917</v>
      </c>
      <c r="B79" s="232" t="s">
        <v>794</v>
      </c>
      <c r="C79" s="92">
        <v>1.4399999999999999E-5</v>
      </c>
      <c r="D79" s="92">
        <v>1.42E-5</v>
      </c>
      <c r="E79" s="236">
        <v>21999</v>
      </c>
      <c r="F79" s="236"/>
      <c r="G79" s="237">
        <v>1267</v>
      </c>
      <c r="H79" s="225">
        <v>5342</v>
      </c>
      <c r="I79" s="237">
        <v>3142</v>
      </c>
      <c r="J79" s="236">
        <v>1461</v>
      </c>
      <c r="K79" s="225">
        <f t="shared" si="2"/>
        <v>11212</v>
      </c>
      <c r="L79" s="236"/>
      <c r="M79" s="237">
        <v>623</v>
      </c>
      <c r="N79" s="237">
        <v>0</v>
      </c>
      <c r="O79" s="236">
        <v>966</v>
      </c>
      <c r="P79" s="225">
        <f t="shared" si="3"/>
        <v>1589</v>
      </c>
      <c r="Q79" s="236"/>
      <c r="R79" s="237">
        <v>7414</v>
      </c>
      <c r="S79" s="238">
        <v>-22</v>
      </c>
      <c r="T79" s="238">
        <v>7392</v>
      </c>
    </row>
    <row r="80" spans="1:20">
      <c r="A80" s="231">
        <v>90918</v>
      </c>
      <c r="B80" s="232" t="s">
        <v>795</v>
      </c>
      <c r="C80" s="92">
        <v>1.19E-5</v>
      </c>
      <c r="D80" s="92">
        <v>1.24E-5</v>
      </c>
      <c r="E80" s="236">
        <v>18180</v>
      </c>
      <c r="F80" s="236"/>
      <c r="G80" s="237">
        <v>1047</v>
      </c>
      <c r="H80" s="225">
        <v>4414</v>
      </c>
      <c r="I80" s="237">
        <v>2596</v>
      </c>
      <c r="J80" s="236">
        <v>0</v>
      </c>
      <c r="K80" s="225">
        <f t="shared" si="2"/>
        <v>8057</v>
      </c>
      <c r="L80" s="236"/>
      <c r="M80" s="237">
        <v>515</v>
      </c>
      <c r="N80" s="237">
        <v>0</v>
      </c>
      <c r="O80" s="236">
        <v>2553</v>
      </c>
      <c r="P80" s="225">
        <f t="shared" si="3"/>
        <v>3068</v>
      </c>
      <c r="Q80" s="236"/>
      <c r="R80" s="237">
        <v>6127</v>
      </c>
      <c r="S80" s="238">
        <v>-1087</v>
      </c>
      <c r="T80" s="238">
        <f>5039+1</f>
        <v>5040</v>
      </c>
    </row>
    <row r="81" spans="1:20">
      <c r="A81" s="231">
        <v>90921</v>
      </c>
      <c r="B81" s="232" t="s">
        <v>796</v>
      </c>
      <c r="C81" s="92">
        <v>1.2970000000000001E-4</v>
      </c>
      <c r="D81" s="92">
        <v>8.7399999999999997E-5</v>
      </c>
      <c r="E81" s="236">
        <v>198146</v>
      </c>
      <c r="F81" s="236"/>
      <c r="G81" s="237">
        <v>11415</v>
      </c>
      <c r="H81" s="225">
        <v>48110</v>
      </c>
      <c r="I81" s="237">
        <v>28298</v>
      </c>
      <c r="J81" s="236">
        <v>31212</v>
      </c>
      <c r="K81" s="225">
        <f t="shared" si="2"/>
        <v>119035</v>
      </c>
      <c r="L81" s="236"/>
      <c r="M81" s="237">
        <v>5609</v>
      </c>
      <c r="N81" s="237">
        <v>0</v>
      </c>
      <c r="O81" s="236">
        <v>7007</v>
      </c>
      <c r="P81" s="225">
        <f t="shared" si="3"/>
        <v>12616</v>
      </c>
      <c r="Q81" s="236"/>
      <c r="R81" s="237">
        <v>66775</v>
      </c>
      <c r="S81" s="238">
        <v>5102</v>
      </c>
      <c r="T81" s="238">
        <v>71877</v>
      </c>
    </row>
    <row r="82" spans="1:20">
      <c r="A82" s="231">
        <v>90931</v>
      </c>
      <c r="B82" s="232" t="s">
        <v>797</v>
      </c>
      <c r="C82" s="92">
        <v>4.07E-5</v>
      </c>
      <c r="D82" s="92">
        <v>5.1900000000000001E-5</v>
      </c>
      <c r="E82" s="236">
        <v>62178</v>
      </c>
      <c r="F82" s="236"/>
      <c r="G82" s="237">
        <v>3582</v>
      </c>
      <c r="H82" s="225">
        <v>15097</v>
      </c>
      <c r="I82" s="237">
        <v>8880</v>
      </c>
      <c r="J82" s="236">
        <v>3743</v>
      </c>
      <c r="K82" s="225">
        <f t="shared" si="2"/>
        <v>31302</v>
      </c>
      <c r="L82" s="236"/>
      <c r="M82" s="237">
        <v>1760</v>
      </c>
      <c r="N82" s="237">
        <v>0</v>
      </c>
      <c r="O82" s="236">
        <v>14137</v>
      </c>
      <c r="P82" s="225">
        <f t="shared" si="3"/>
        <v>15897</v>
      </c>
      <c r="Q82" s="236"/>
      <c r="R82" s="237">
        <v>20954</v>
      </c>
      <c r="S82" s="238">
        <v>-1298</v>
      </c>
      <c r="T82" s="238">
        <v>19656</v>
      </c>
    </row>
    <row r="83" spans="1:20">
      <c r="A83" s="231">
        <v>90941</v>
      </c>
      <c r="B83" s="232" t="s">
        <v>798</v>
      </c>
      <c r="C83" s="92">
        <v>7.0300000000000001E-5</v>
      </c>
      <c r="D83" s="92">
        <v>9.0799999999999998E-5</v>
      </c>
      <c r="E83" s="236">
        <v>107399</v>
      </c>
      <c r="F83" s="236"/>
      <c r="G83" s="237">
        <v>6187</v>
      </c>
      <c r="H83" s="225">
        <v>26076</v>
      </c>
      <c r="I83" s="237">
        <v>15338</v>
      </c>
      <c r="J83" s="236">
        <v>1686</v>
      </c>
      <c r="K83" s="225">
        <f t="shared" si="2"/>
        <v>49287</v>
      </c>
      <c r="L83" s="236"/>
      <c r="M83" s="237">
        <v>3040</v>
      </c>
      <c r="N83" s="237">
        <v>0</v>
      </c>
      <c r="O83" s="236">
        <v>16031</v>
      </c>
      <c r="P83" s="225">
        <f t="shared" si="3"/>
        <v>19071</v>
      </c>
      <c r="Q83" s="236"/>
      <c r="R83" s="237">
        <v>36194</v>
      </c>
      <c r="S83" s="238">
        <v>-4988</v>
      </c>
      <c r="T83" s="238">
        <f>31205+1</f>
        <v>31206</v>
      </c>
    </row>
    <row r="84" spans="1:20">
      <c r="A84" s="231">
        <v>91001</v>
      </c>
      <c r="B84" s="232" t="s">
        <v>799</v>
      </c>
      <c r="C84" s="92">
        <v>6.6703999999999999E-3</v>
      </c>
      <c r="D84" s="92">
        <v>6.6189999999999999E-3</v>
      </c>
      <c r="E84" s="236">
        <v>10190523</v>
      </c>
      <c r="F84" s="236"/>
      <c r="G84" s="237">
        <v>587069</v>
      </c>
      <c r="H84" s="225">
        <v>2474271</v>
      </c>
      <c r="I84" s="237">
        <v>1455348</v>
      </c>
      <c r="J84" s="236">
        <v>35831</v>
      </c>
      <c r="K84" s="225">
        <f t="shared" si="2"/>
        <v>4552519</v>
      </c>
      <c r="L84" s="236"/>
      <c r="M84" s="237">
        <v>288461</v>
      </c>
      <c r="N84" s="237">
        <v>0</v>
      </c>
      <c r="O84" s="236">
        <v>269013</v>
      </c>
      <c r="P84" s="225">
        <f t="shared" si="3"/>
        <v>557474</v>
      </c>
      <c r="Q84" s="236"/>
      <c r="R84" s="237">
        <v>3434215</v>
      </c>
      <c r="S84" s="238">
        <v>-50061</v>
      </c>
      <c r="T84" s="238">
        <v>3384154</v>
      </c>
    </row>
    <row r="85" spans="1:20">
      <c r="A85" s="231">
        <v>91002</v>
      </c>
      <c r="B85" s="232" t="s">
        <v>800</v>
      </c>
      <c r="C85" s="92">
        <v>6.8860000000000004E-4</v>
      </c>
      <c r="D85" s="92">
        <v>5.6360000000000004E-4</v>
      </c>
      <c r="E85" s="236">
        <v>1051990</v>
      </c>
      <c r="F85" s="236"/>
      <c r="G85" s="237">
        <v>60604</v>
      </c>
      <c r="H85" s="225">
        <v>255424</v>
      </c>
      <c r="I85" s="237">
        <v>150239</v>
      </c>
      <c r="J85" s="236">
        <v>39390</v>
      </c>
      <c r="K85" s="225">
        <f t="shared" si="2"/>
        <v>505657</v>
      </c>
      <c r="L85" s="236"/>
      <c r="M85" s="237">
        <v>29779</v>
      </c>
      <c r="N85" s="237">
        <v>0</v>
      </c>
      <c r="O85" s="236">
        <v>48600</v>
      </c>
      <c r="P85" s="225">
        <f t="shared" si="3"/>
        <v>78379</v>
      </c>
      <c r="Q85" s="236"/>
      <c r="R85" s="237">
        <v>354522</v>
      </c>
      <c r="S85" s="238">
        <v>-8849</v>
      </c>
      <c r="T85" s="238">
        <v>345673</v>
      </c>
    </row>
    <row r="86" spans="1:20">
      <c r="A86" s="231">
        <v>91003</v>
      </c>
      <c r="B86" s="232" t="s">
        <v>801</v>
      </c>
      <c r="C86" s="92">
        <v>5.7260000000000004E-4</v>
      </c>
      <c r="D86" s="92">
        <v>5.6550000000000003E-4</v>
      </c>
      <c r="E86" s="236">
        <v>874774</v>
      </c>
      <c r="F86" s="236"/>
      <c r="G86" s="237">
        <v>50395</v>
      </c>
      <c r="H86" s="225">
        <v>212396</v>
      </c>
      <c r="I86" s="237">
        <v>124930</v>
      </c>
      <c r="J86" s="236">
        <v>27734</v>
      </c>
      <c r="K86" s="225">
        <f t="shared" si="2"/>
        <v>415455</v>
      </c>
      <c r="L86" s="236"/>
      <c r="M86" s="237">
        <v>24762</v>
      </c>
      <c r="N86" s="237">
        <v>0</v>
      </c>
      <c r="O86" s="236">
        <v>28524</v>
      </c>
      <c r="P86" s="225">
        <f t="shared" si="3"/>
        <v>53286</v>
      </c>
      <c r="Q86" s="236"/>
      <c r="R86" s="237">
        <v>294800</v>
      </c>
      <c r="S86" s="238">
        <v>7266</v>
      </c>
      <c r="T86" s="238">
        <v>302066</v>
      </c>
    </row>
    <row r="87" spans="1:20">
      <c r="A87" s="231">
        <v>91004</v>
      </c>
      <c r="B87" s="232" t="s">
        <v>802</v>
      </c>
      <c r="C87" s="92">
        <v>2.58E-5</v>
      </c>
      <c r="D87" s="92">
        <v>1.7499999999999998E-5</v>
      </c>
      <c r="E87" s="236">
        <v>39415</v>
      </c>
      <c r="F87" s="236"/>
      <c r="G87" s="237">
        <v>2271</v>
      </c>
      <c r="H87" s="225">
        <v>9571</v>
      </c>
      <c r="I87" s="237">
        <v>5629</v>
      </c>
      <c r="J87" s="236">
        <v>12153</v>
      </c>
      <c r="K87" s="225">
        <f t="shared" si="2"/>
        <v>29624</v>
      </c>
      <c r="L87" s="236"/>
      <c r="M87" s="237">
        <v>1116</v>
      </c>
      <c r="N87" s="237">
        <v>0</v>
      </c>
      <c r="O87" s="236">
        <v>108</v>
      </c>
      <c r="P87" s="225">
        <f t="shared" si="3"/>
        <v>1224</v>
      </c>
      <c r="Q87" s="236"/>
      <c r="R87" s="237">
        <v>13283</v>
      </c>
      <c r="S87" s="238">
        <v>4277</v>
      </c>
      <c r="T87" s="238">
        <v>17560</v>
      </c>
    </row>
    <row r="88" spans="1:20">
      <c r="A88" s="231">
        <v>91006</v>
      </c>
      <c r="B88" s="232" t="s">
        <v>803</v>
      </c>
      <c r="C88" s="92">
        <v>1.0317E-3</v>
      </c>
      <c r="D88" s="92">
        <v>1.0096E-3</v>
      </c>
      <c r="E88" s="236">
        <v>1576152</v>
      </c>
      <c r="F88" s="236"/>
      <c r="G88" s="237">
        <v>90801</v>
      </c>
      <c r="H88" s="225">
        <v>382692</v>
      </c>
      <c r="I88" s="237">
        <v>225096</v>
      </c>
      <c r="J88" s="236">
        <v>18199</v>
      </c>
      <c r="K88" s="225">
        <f t="shared" si="2"/>
        <v>716788</v>
      </c>
      <c r="L88" s="236"/>
      <c r="M88" s="237">
        <v>44616</v>
      </c>
      <c r="N88" s="237">
        <v>0</v>
      </c>
      <c r="O88" s="236">
        <v>22958</v>
      </c>
      <c r="P88" s="225">
        <f t="shared" si="3"/>
        <v>67574</v>
      </c>
      <c r="Q88" s="236"/>
      <c r="R88" s="237">
        <v>531165</v>
      </c>
      <c r="S88" s="238">
        <v>3230</v>
      </c>
      <c r="T88" s="238">
        <v>534395</v>
      </c>
    </row>
    <row r="89" spans="1:20">
      <c r="A89" s="231">
        <v>91007</v>
      </c>
      <c r="B89" s="232" t="s">
        <v>804</v>
      </c>
      <c r="C89" s="92">
        <v>9.5000000000000005E-6</v>
      </c>
      <c r="D89" s="92">
        <v>1.2500000000000001E-5</v>
      </c>
      <c r="E89" s="236">
        <v>14513</v>
      </c>
      <c r="F89" s="236"/>
      <c r="G89" s="237">
        <v>836</v>
      </c>
      <c r="H89" s="225">
        <v>3524</v>
      </c>
      <c r="I89" s="237">
        <v>2073</v>
      </c>
      <c r="J89" s="236">
        <v>7476</v>
      </c>
      <c r="K89" s="225">
        <f t="shared" si="2"/>
        <v>13909</v>
      </c>
      <c r="L89" s="236"/>
      <c r="M89" s="237">
        <v>411</v>
      </c>
      <c r="N89" s="237">
        <v>0</v>
      </c>
      <c r="O89" s="236">
        <v>507</v>
      </c>
      <c r="P89" s="225">
        <f t="shared" si="3"/>
        <v>918</v>
      </c>
      <c r="Q89" s="236"/>
      <c r="R89" s="237">
        <v>4891</v>
      </c>
      <c r="S89" s="238">
        <v>2150</v>
      </c>
      <c r="T89" s="238">
        <v>7041</v>
      </c>
    </row>
    <row r="90" spans="1:20">
      <c r="A90" s="231">
        <v>91008</v>
      </c>
      <c r="B90" s="232" t="s">
        <v>805</v>
      </c>
      <c r="C90" s="92">
        <v>1.236E-4</v>
      </c>
      <c r="D90" s="92">
        <v>1.273E-4</v>
      </c>
      <c r="E90" s="236">
        <v>188827</v>
      </c>
      <c r="F90" s="236"/>
      <c r="G90" s="237">
        <v>10878</v>
      </c>
      <c r="H90" s="225">
        <v>45847</v>
      </c>
      <c r="I90" s="237">
        <v>26967</v>
      </c>
      <c r="J90" s="236">
        <v>37042</v>
      </c>
      <c r="K90" s="225">
        <f t="shared" si="2"/>
        <v>120734</v>
      </c>
      <c r="L90" s="236"/>
      <c r="M90" s="237">
        <v>5345</v>
      </c>
      <c r="N90" s="237">
        <v>0</v>
      </c>
      <c r="O90" s="236">
        <v>0</v>
      </c>
      <c r="P90" s="225">
        <f t="shared" si="3"/>
        <v>5345</v>
      </c>
      <c r="Q90" s="236"/>
      <c r="R90" s="237">
        <v>63635</v>
      </c>
      <c r="S90" s="238">
        <v>17548</v>
      </c>
      <c r="T90" s="238">
        <v>81183</v>
      </c>
    </row>
    <row r="91" spans="1:20">
      <c r="A91" s="231">
        <v>91009</v>
      </c>
      <c r="B91" s="232" t="s">
        <v>806</v>
      </c>
      <c r="C91" s="92">
        <v>1.7499999999999998E-5</v>
      </c>
      <c r="D91" s="92">
        <v>1.8700000000000001E-5</v>
      </c>
      <c r="E91" s="236">
        <v>26735</v>
      </c>
      <c r="F91" s="236"/>
      <c r="G91" s="237">
        <v>1540</v>
      </c>
      <c r="H91" s="225">
        <v>6491</v>
      </c>
      <c r="I91" s="237">
        <v>3818</v>
      </c>
      <c r="J91" s="236">
        <v>4951</v>
      </c>
      <c r="K91" s="225">
        <f t="shared" si="2"/>
        <v>16800</v>
      </c>
      <c r="L91" s="236"/>
      <c r="M91" s="237">
        <v>757</v>
      </c>
      <c r="N91" s="237">
        <v>0</v>
      </c>
      <c r="O91" s="236">
        <v>2458</v>
      </c>
      <c r="P91" s="225">
        <f t="shared" si="3"/>
        <v>3215</v>
      </c>
      <c r="Q91" s="236"/>
      <c r="R91" s="237">
        <v>9010</v>
      </c>
      <c r="S91" s="238">
        <v>187</v>
      </c>
      <c r="T91" s="238">
        <v>9197</v>
      </c>
    </row>
    <row r="92" spans="1:20">
      <c r="A92" s="231">
        <v>91010</v>
      </c>
      <c r="B92" s="232" t="s">
        <v>807</v>
      </c>
      <c r="C92" s="92">
        <v>7.0099999999999996E-5</v>
      </c>
      <c r="D92" s="92">
        <v>6.8399999999999996E-5</v>
      </c>
      <c r="E92" s="236">
        <v>107093</v>
      </c>
      <c r="F92" s="236"/>
      <c r="G92" s="237">
        <v>6170</v>
      </c>
      <c r="H92" s="225">
        <v>26003</v>
      </c>
      <c r="I92" s="237">
        <v>15294</v>
      </c>
      <c r="J92" s="236">
        <v>7603</v>
      </c>
      <c r="K92" s="225">
        <f t="shared" si="2"/>
        <v>55070</v>
      </c>
      <c r="L92" s="236"/>
      <c r="M92" s="237">
        <v>3031</v>
      </c>
      <c r="N92" s="237">
        <v>0</v>
      </c>
      <c r="O92" s="236">
        <v>296</v>
      </c>
      <c r="P92" s="225">
        <f t="shared" si="3"/>
        <v>3327</v>
      </c>
      <c r="Q92" s="236"/>
      <c r="R92" s="237">
        <v>36091</v>
      </c>
      <c r="S92" s="238">
        <v>4736</v>
      </c>
      <c r="T92" s="238">
        <v>40827</v>
      </c>
    </row>
    <row r="93" spans="1:20">
      <c r="A93" s="231">
        <v>91011</v>
      </c>
      <c r="B93" s="232" t="s">
        <v>808</v>
      </c>
      <c r="C93" s="92">
        <v>3.5760000000000002E-4</v>
      </c>
      <c r="D93" s="92">
        <v>3.1789999999999998E-4</v>
      </c>
      <c r="E93" s="236">
        <v>546314</v>
      </c>
      <c r="F93" s="236"/>
      <c r="G93" s="237">
        <v>31473</v>
      </c>
      <c r="H93" s="225">
        <v>132645</v>
      </c>
      <c r="I93" s="237">
        <v>78021</v>
      </c>
      <c r="J93" s="236">
        <v>43643</v>
      </c>
      <c r="K93" s="225">
        <f t="shared" si="2"/>
        <v>285782</v>
      </c>
      <c r="L93" s="236"/>
      <c r="M93" s="237">
        <v>15464</v>
      </c>
      <c r="N93" s="237">
        <v>0</v>
      </c>
      <c r="O93" s="236">
        <v>0</v>
      </c>
      <c r="P93" s="225">
        <f t="shared" si="3"/>
        <v>15464</v>
      </c>
      <c r="Q93" s="236"/>
      <c r="R93" s="237">
        <v>184108</v>
      </c>
      <c r="S93" s="238">
        <v>16126</v>
      </c>
      <c r="T93" s="238">
        <v>200234</v>
      </c>
    </row>
    <row r="94" spans="1:20">
      <c r="A94" s="231">
        <v>91012</v>
      </c>
      <c r="B94" s="232" t="s">
        <v>809</v>
      </c>
      <c r="C94" s="92">
        <v>1.9300000000000002E-5</v>
      </c>
      <c r="D94" s="92">
        <v>1.49E-5</v>
      </c>
      <c r="E94" s="236">
        <v>29485</v>
      </c>
      <c r="F94" s="236"/>
      <c r="G94" s="237">
        <v>1699</v>
      </c>
      <c r="H94" s="225">
        <v>7159</v>
      </c>
      <c r="I94" s="237">
        <v>4211</v>
      </c>
      <c r="J94" s="236">
        <v>5400</v>
      </c>
      <c r="K94" s="225">
        <f t="shared" si="2"/>
        <v>18469</v>
      </c>
      <c r="L94" s="236"/>
      <c r="M94" s="237">
        <v>835</v>
      </c>
      <c r="N94" s="237">
        <v>0</v>
      </c>
      <c r="O94" s="236">
        <v>2458</v>
      </c>
      <c r="P94" s="225">
        <f t="shared" si="3"/>
        <v>3293</v>
      </c>
      <c r="Q94" s="236"/>
      <c r="R94" s="237">
        <v>9936</v>
      </c>
      <c r="S94" s="238">
        <v>-662</v>
      </c>
      <c r="T94" s="238">
        <f>9275-1</f>
        <v>9274</v>
      </c>
    </row>
    <row r="95" spans="1:20">
      <c r="A95" s="231">
        <v>91013</v>
      </c>
      <c r="B95" s="232" t="s">
        <v>810</v>
      </c>
      <c r="C95" s="92">
        <v>2.34E-5</v>
      </c>
      <c r="D95" s="92">
        <v>2.1800000000000001E-5</v>
      </c>
      <c r="E95" s="236">
        <v>35749</v>
      </c>
      <c r="F95" s="236"/>
      <c r="G95" s="237">
        <v>2059</v>
      </c>
      <c r="H95" s="225">
        <v>8680</v>
      </c>
      <c r="I95" s="237">
        <v>5105</v>
      </c>
      <c r="J95" s="236">
        <v>31764</v>
      </c>
      <c r="K95" s="225">
        <f t="shared" si="2"/>
        <v>47608</v>
      </c>
      <c r="L95" s="236"/>
      <c r="M95" s="237">
        <v>1012</v>
      </c>
      <c r="N95" s="237">
        <v>0</v>
      </c>
      <c r="O95" s="236">
        <v>0</v>
      </c>
      <c r="P95" s="225">
        <f t="shared" si="3"/>
        <v>1012</v>
      </c>
      <c r="Q95" s="236"/>
      <c r="R95" s="237">
        <v>12047</v>
      </c>
      <c r="S95" s="238">
        <v>9518</v>
      </c>
      <c r="T95" s="238">
        <v>21565</v>
      </c>
    </row>
    <row r="96" spans="1:20">
      <c r="A96" s="231">
        <v>91014</v>
      </c>
      <c r="B96" s="232" t="s">
        <v>811</v>
      </c>
      <c r="C96" s="92">
        <v>2.22E-4</v>
      </c>
      <c r="D96" s="92">
        <v>2.1499999999999999E-4</v>
      </c>
      <c r="E96" s="236">
        <v>339155</v>
      </c>
      <c r="F96" s="236"/>
      <c r="G96" s="237">
        <v>19538</v>
      </c>
      <c r="H96" s="225">
        <v>82347</v>
      </c>
      <c r="I96" s="237">
        <v>48436</v>
      </c>
      <c r="J96" s="236">
        <v>1313</v>
      </c>
      <c r="K96" s="225">
        <f t="shared" si="2"/>
        <v>151634</v>
      </c>
      <c r="L96" s="236"/>
      <c r="M96" s="237">
        <v>9600</v>
      </c>
      <c r="N96" s="237">
        <v>0</v>
      </c>
      <c r="O96" s="236">
        <v>11287</v>
      </c>
      <c r="P96" s="225">
        <f t="shared" si="3"/>
        <v>20887</v>
      </c>
      <c r="Q96" s="236"/>
      <c r="R96" s="237">
        <v>114295</v>
      </c>
      <c r="S96" s="238">
        <v>-6129</v>
      </c>
      <c r="T96" s="238">
        <f>108167-1</f>
        <v>108166</v>
      </c>
    </row>
    <row r="97" spans="1:20">
      <c r="A97" s="231">
        <v>91017</v>
      </c>
      <c r="B97" s="232" t="s">
        <v>812</v>
      </c>
      <c r="C97" s="92">
        <v>2.4300000000000001E-5</v>
      </c>
      <c r="D97" s="92">
        <v>2.3E-5</v>
      </c>
      <c r="E97" s="236">
        <v>37124</v>
      </c>
      <c r="F97" s="236"/>
      <c r="G97" s="237">
        <v>2139</v>
      </c>
      <c r="H97" s="225">
        <v>9014</v>
      </c>
      <c r="I97" s="237">
        <v>5302</v>
      </c>
      <c r="J97" s="236">
        <v>10242</v>
      </c>
      <c r="K97" s="225">
        <f t="shared" si="2"/>
        <v>26697</v>
      </c>
      <c r="L97" s="236"/>
      <c r="M97" s="237">
        <v>1051</v>
      </c>
      <c r="N97" s="237">
        <v>0</v>
      </c>
      <c r="O97" s="236">
        <v>0</v>
      </c>
      <c r="P97" s="225">
        <f t="shared" si="3"/>
        <v>1051</v>
      </c>
      <c r="Q97" s="236"/>
      <c r="R97" s="237">
        <v>12511</v>
      </c>
      <c r="S97" s="238">
        <v>4025</v>
      </c>
      <c r="T97" s="238">
        <v>16536</v>
      </c>
    </row>
    <row r="98" spans="1:20">
      <c r="A98" s="231">
        <v>91020</v>
      </c>
      <c r="B98" s="232" t="s">
        <v>813</v>
      </c>
      <c r="C98" s="92">
        <v>2.27E-5</v>
      </c>
      <c r="D98" s="92">
        <v>1.9899999999999999E-5</v>
      </c>
      <c r="E98" s="236">
        <v>34679</v>
      </c>
      <c r="F98" s="236"/>
      <c r="G98" s="237">
        <v>1998</v>
      </c>
      <c r="H98" s="225">
        <v>8420</v>
      </c>
      <c r="I98" s="237">
        <v>4953</v>
      </c>
      <c r="J98" s="236">
        <v>4064</v>
      </c>
      <c r="K98" s="225">
        <f t="shared" si="2"/>
        <v>19435</v>
      </c>
      <c r="L98" s="236"/>
      <c r="M98" s="237">
        <v>982</v>
      </c>
      <c r="N98" s="237">
        <v>0</v>
      </c>
      <c r="O98" s="236">
        <v>376</v>
      </c>
      <c r="P98" s="225">
        <f t="shared" si="3"/>
        <v>1358</v>
      </c>
      <c r="Q98" s="236"/>
      <c r="R98" s="237">
        <v>11687</v>
      </c>
      <c r="S98" s="238">
        <v>1259</v>
      </c>
      <c r="T98" s="238">
        <v>12946</v>
      </c>
    </row>
    <row r="99" spans="1:20">
      <c r="A99" s="231">
        <v>91021</v>
      </c>
      <c r="B99" s="232" t="s">
        <v>814</v>
      </c>
      <c r="C99" s="92">
        <v>8.6450000000000003E-4</v>
      </c>
      <c r="D99" s="92">
        <v>8.6989999999999995E-4</v>
      </c>
      <c r="E99" s="236">
        <v>1320717</v>
      </c>
      <c r="F99" s="236"/>
      <c r="G99" s="237">
        <v>76086</v>
      </c>
      <c r="H99" s="225">
        <v>320672</v>
      </c>
      <c r="I99" s="237">
        <v>188617</v>
      </c>
      <c r="J99" s="236">
        <v>0</v>
      </c>
      <c r="K99" s="225">
        <f t="shared" si="2"/>
        <v>585375</v>
      </c>
      <c r="L99" s="236"/>
      <c r="M99" s="237">
        <v>37385</v>
      </c>
      <c r="N99" s="237">
        <v>0</v>
      </c>
      <c r="O99" s="236">
        <v>82677</v>
      </c>
      <c r="P99" s="225">
        <f t="shared" si="3"/>
        <v>120062</v>
      </c>
      <c r="Q99" s="236"/>
      <c r="R99" s="237">
        <v>445083</v>
      </c>
      <c r="S99" s="238">
        <v>-48679</v>
      </c>
      <c r="T99" s="238">
        <v>396404</v>
      </c>
    </row>
    <row r="100" spans="1:20">
      <c r="A100" s="231">
        <v>91024</v>
      </c>
      <c r="B100" s="232" t="s">
        <v>815</v>
      </c>
      <c r="C100" s="92">
        <v>7.2999999999999999E-5</v>
      </c>
      <c r="D100" s="92">
        <v>6.6299999999999999E-5</v>
      </c>
      <c r="E100" s="236">
        <v>111524</v>
      </c>
      <c r="F100" s="236"/>
      <c r="G100" s="237">
        <v>6425</v>
      </c>
      <c r="H100" s="225">
        <v>27078</v>
      </c>
      <c r="I100" s="237">
        <v>15927</v>
      </c>
      <c r="J100" s="236">
        <v>24081</v>
      </c>
      <c r="K100" s="225">
        <f t="shared" si="2"/>
        <v>73511</v>
      </c>
      <c r="L100" s="236"/>
      <c r="M100" s="237">
        <v>3157</v>
      </c>
      <c r="N100" s="237">
        <v>0</v>
      </c>
      <c r="O100" s="236">
        <v>0</v>
      </c>
      <c r="P100" s="225">
        <f t="shared" si="3"/>
        <v>3157</v>
      </c>
      <c r="Q100" s="236"/>
      <c r="R100" s="237">
        <v>37584</v>
      </c>
      <c r="S100" s="238">
        <v>10843</v>
      </c>
      <c r="T100" s="238">
        <f>48426+1</f>
        <v>48427</v>
      </c>
    </row>
    <row r="101" spans="1:20">
      <c r="A101" s="231">
        <v>91026</v>
      </c>
      <c r="B101" s="232" t="s">
        <v>43</v>
      </c>
      <c r="C101" s="92">
        <v>4.18E-5</v>
      </c>
      <c r="D101" s="92">
        <v>6.0900000000000003E-5</v>
      </c>
      <c r="E101" s="236">
        <v>63859</v>
      </c>
      <c r="F101" s="236"/>
      <c r="G101" s="237">
        <v>3679</v>
      </c>
      <c r="H101" s="225">
        <v>15505</v>
      </c>
      <c r="I101" s="237">
        <v>9120</v>
      </c>
      <c r="J101" s="236">
        <v>34468</v>
      </c>
      <c r="K101" s="225">
        <f t="shared" si="2"/>
        <v>62772</v>
      </c>
      <c r="L101" s="236"/>
      <c r="M101" s="237">
        <v>1808</v>
      </c>
      <c r="N101" s="237">
        <v>0</v>
      </c>
      <c r="O101" s="236">
        <v>3103</v>
      </c>
      <c r="P101" s="225">
        <f t="shared" si="3"/>
        <v>4911</v>
      </c>
      <c r="Q101" s="236"/>
      <c r="R101" s="237">
        <v>21520</v>
      </c>
      <c r="S101" s="238">
        <v>11546</v>
      </c>
      <c r="T101" s="238">
        <v>33066</v>
      </c>
    </row>
    <row r="102" spans="1:20">
      <c r="A102" s="231">
        <v>91027</v>
      </c>
      <c r="B102" s="232" t="s">
        <v>816</v>
      </c>
      <c r="C102" s="92">
        <v>1.4E-5</v>
      </c>
      <c r="D102" s="92">
        <v>1.6099999999999998E-5</v>
      </c>
      <c r="E102" s="236">
        <v>21388</v>
      </c>
      <c r="F102" s="236"/>
      <c r="G102" s="237">
        <v>1232</v>
      </c>
      <c r="H102" s="225">
        <v>5193</v>
      </c>
      <c r="I102" s="237">
        <v>3055</v>
      </c>
      <c r="J102" s="236">
        <v>16343</v>
      </c>
      <c r="K102" s="225">
        <f t="shared" si="2"/>
        <v>25823</v>
      </c>
      <c r="L102" s="236"/>
      <c r="M102" s="237">
        <v>605</v>
      </c>
      <c r="N102" s="237">
        <v>0</v>
      </c>
      <c r="O102" s="236">
        <v>0</v>
      </c>
      <c r="P102" s="225">
        <f t="shared" si="3"/>
        <v>605</v>
      </c>
      <c r="Q102" s="236"/>
      <c r="R102" s="237">
        <v>7208</v>
      </c>
      <c r="S102" s="238">
        <v>6601</v>
      </c>
      <c r="T102" s="238">
        <f>13808+1</f>
        <v>13809</v>
      </c>
    </row>
    <row r="103" spans="1:20">
      <c r="A103" s="231">
        <v>91032</v>
      </c>
      <c r="B103" s="232" t="s">
        <v>817</v>
      </c>
      <c r="C103" s="92">
        <v>1.8E-5</v>
      </c>
      <c r="D103" s="92">
        <v>1.8600000000000001E-5</v>
      </c>
      <c r="E103" s="236">
        <v>27499</v>
      </c>
      <c r="F103" s="236"/>
      <c r="G103" s="237">
        <v>1584</v>
      </c>
      <c r="H103" s="225">
        <v>6677</v>
      </c>
      <c r="I103" s="237">
        <v>3927</v>
      </c>
      <c r="J103" s="236">
        <v>14996</v>
      </c>
      <c r="K103" s="225">
        <f t="shared" si="2"/>
        <v>27184</v>
      </c>
      <c r="L103" s="236"/>
      <c r="M103" s="237">
        <v>778</v>
      </c>
      <c r="N103" s="237">
        <v>0</v>
      </c>
      <c r="O103" s="236">
        <v>0</v>
      </c>
      <c r="P103" s="225">
        <f t="shared" si="3"/>
        <v>778</v>
      </c>
      <c r="Q103" s="236"/>
      <c r="R103" s="237">
        <v>9267</v>
      </c>
      <c r="S103" s="238">
        <v>6458</v>
      </c>
      <c r="T103" s="238">
        <v>15725</v>
      </c>
    </row>
    <row r="104" spans="1:20">
      <c r="A104" s="231">
        <v>91041</v>
      </c>
      <c r="B104" s="232" t="s">
        <v>818</v>
      </c>
      <c r="C104" s="92">
        <v>4.0400000000000001E-4</v>
      </c>
      <c r="D104" s="92">
        <v>4.3609999999999998E-4</v>
      </c>
      <c r="E104" s="236">
        <v>617200</v>
      </c>
      <c r="F104" s="236"/>
      <c r="G104" s="237">
        <v>35556</v>
      </c>
      <c r="H104" s="225">
        <v>149857</v>
      </c>
      <c r="I104" s="237">
        <v>88145</v>
      </c>
      <c r="J104" s="236">
        <v>0</v>
      </c>
      <c r="K104" s="225">
        <f t="shared" si="2"/>
        <v>273558</v>
      </c>
      <c r="L104" s="236"/>
      <c r="M104" s="237">
        <v>17471</v>
      </c>
      <c r="N104" s="237">
        <v>0</v>
      </c>
      <c r="O104" s="236">
        <v>109443</v>
      </c>
      <c r="P104" s="225">
        <f t="shared" si="3"/>
        <v>126914</v>
      </c>
      <c r="Q104" s="236"/>
      <c r="R104" s="237">
        <v>207997</v>
      </c>
      <c r="S104" s="238">
        <v>-39088</v>
      </c>
      <c r="T104" s="238">
        <v>168909</v>
      </c>
    </row>
    <row r="105" spans="1:20">
      <c r="A105" s="231">
        <v>91042</v>
      </c>
      <c r="B105" s="232" t="s">
        <v>819</v>
      </c>
      <c r="C105" s="92">
        <v>2.3360000000000001E-4</v>
      </c>
      <c r="D105" s="92">
        <v>2.062E-4</v>
      </c>
      <c r="E105" s="236">
        <v>356876</v>
      </c>
      <c r="F105" s="236"/>
      <c r="G105" s="237">
        <v>20559</v>
      </c>
      <c r="H105" s="225">
        <v>86650</v>
      </c>
      <c r="I105" s="237">
        <v>50967</v>
      </c>
      <c r="J105" s="236">
        <v>12354</v>
      </c>
      <c r="K105" s="225">
        <f t="shared" si="2"/>
        <v>170530</v>
      </c>
      <c r="L105" s="236"/>
      <c r="M105" s="237">
        <v>10102</v>
      </c>
      <c r="N105" s="237">
        <v>0</v>
      </c>
      <c r="O105" s="236">
        <v>6985</v>
      </c>
      <c r="P105" s="225">
        <f t="shared" si="3"/>
        <v>17087</v>
      </c>
      <c r="Q105" s="236"/>
      <c r="R105" s="237">
        <v>120268</v>
      </c>
      <c r="S105" s="238">
        <v>717</v>
      </c>
      <c r="T105" s="238">
        <f>120984+1</f>
        <v>120985</v>
      </c>
    </row>
    <row r="106" spans="1:20">
      <c r="A106" s="231">
        <v>91047</v>
      </c>
      <c r="B106" s="232" t="s">
        <v>820</v>
      </c>
      <c r="C106" s="92">
        <v>1.31E-5</v>
      </c>
      <c r="D106" s="92">
        <v>1.3200000000000001E-5</v>
      </c>
      <c r="E106" s="236">
        <v>20013</v>
      </c>
      <c r="F106" s="236"/>
      <c r="G106" s="237">
        <v>1153</v>
      </c>
      <c r="H106" s="225">
        <v>4859</v>
      </c>
      <c r="I106" s="237">
        <v>2858</v>
      </c>
      <c r="J106" s="236">
        <v>20507</v>
      </c>
      <c r="K106" s="225">
        <f t="shared" si="2"/>
        <v>29377</v>
      </c>
      <c r="L106" s="236"/>
      <c r="M106" s="237">
        <v>567</v>
      </c>
      <c r="N106" s="237">
        <v>0</v>
      </c>
      <c r="O106" s="236">
        <v>0</v>
      </c>
      <c r="P106" s="225">
        <f t="shared" si="3"/>
        <v>567</v>
      </c>
      <c r="Q106" s="236"/>
      <c r="R106" s="237">
        <v>6744</v>
      </c>
      <c r="S106" s="238">
        <v>7559</v>
      </c>
      <c r="T106" s="238">
        <v>14303</v>
      </c>
    </row>
    <row r="107" spans="1:20">
      <c r="A107" s="231">
        <v>91051</v>
      </c>
      <c r="B107" s="232" t="s">
        <v>821</v>
      </c>
      <c r="C107" s="92">
        <v>6.6400000000000001E-5</v>
      </c>
      <c r="D107" s="92">
        <v>7.6600000000000005E-5</v>
      </c>
      <c r="E107" s="236">
        <v>101441</v>
      </c>
      <c r="F107" s="236"/>
      <c r="G107" s="237">
        <v>5844</v>
      </c>
      <c r="H107" s="225">
        <v>24630</v>
      </c>
      <c r="I107" s="237">
        <v>14487</v>
      </c>
      <c r="J107" s="236">
        <v>1619</v>
      </c>
      <c r="K107" s="225">
        <f t="shared" si="2"/>
        <v>46580</v>
      </c>
      <c r="L107" s="236"/>
      <c r="M107" s="237">
        <v>2871</v>
      </c>
      <c r="N107" s="237">
        <v>0</v>
      </c>
      <c r="O107" s="236">
        <v>8430</v>
      </c>
      <c r="P107" s="225">
        <f t="shared" si="3"/>
        <v>11301</v>
      </c>
      <c r="Q107" s="236"/>
      <c r="R107" s="237">
        <v>34186</v>
      </c>
      <c r="S107" s="238">
        <v>-1576</v>
      </c>
      <c r="T107" s="238">
        <f>32609+1</f>
        <v>32610</v>
      </c>
    </row>
    <row r="108" spans="1:20">
      <c r="A108" s="231">
        <v>91057</v>
      </c>
      <c r="B108" s="232" t="s">
        <v>822</v>
      </c>
      <c r="C108" s="92">
        <v>1.4399999999999999E-5</v>
      </c>
      <c r="D108" s="92">
        <v>1.5E-5</v>
      </c>
      <c r="E108" s="236">
        <v>21999</v>
      </c>
      <c r="F108" s="236"/>
      <c r="G108" s="237">
        <v>1267</v>
      </c>
      <c r="H108" s="225">
        <v>5342</v>
      </c>
      <c r="I108" s="237">
        <v>3142</v>
      </c>
      <c r="J108" s="236">
        <v>5805</v>
      </c>
      <c r="K108" s="225">
        <f t="shared" si="2"/>
        <v>15556</v>
      </c>
      <c r="L108" s="236"/>
      <c r="M108" s="237">
        <v>623</v>
      </c>
      <c r="N108" s="237">
        <v>0</v>
      </c>
      <c r="O108" s="236">
        <v>0</v>
      </c>
      <c r="P108" s="225">
        <f t="shared" si="3"/>
        <v>623</v>
      </c>
      <c r="Q108" s="236"/>
      <c r="R108" s="237">
        <v>7414</v>
      </c>
      <c r="S108" s="238">
        <v>2191</v>
      </c>
      <c r="T108" s="238">
        <v>9605</v>
      </c>
    </row>
    <row r="109" spans="1:20">
      <c r="A109" s="231">
        <v>91061</v>
      </c>
      <c r="B109" s="232" t="s">
        <v>823</v>
      </c>
      <c r="C109" s="92">
        <v>4.104E-4</v>
      </c>
      <c r="D109" s="92">
        <v>3.7730000000000001E-4</v>
      </c>
      <c r="E109" s="236">
        <v>626978</v>
      </c>
      <c r="F109" s="236"/>
      <c r="G109" s="237">
        <v>36120</v>
      </c>
      <c r="H109" s="225">
        <v>152231</v>
      </c>
      <c r="I109" s="237">
        <v>89541</v>
      </c>
      <c r="J109" s="236">
        <v>19267</v>
      </c>
      <c r="K109" s="225">
        <f t="shared" si="2"/>
        <v>297159</v>
      </c>
      <c r="L109" s="236"/>
      <c r="M109" s="237">
        <v>17748</v>
      </c>
      <c r="N109" s="237">
        <v>0</v>
      </c>
      <c r="O109" s="236">
        <v>27800</v>
      </c>
      <c r="P109" s="225">
        <f t="shared" si="3"/>
        <v>45548</v>
      </c>
      <c r="Q109" s="236"/>
      <c r="R109" s="237">
        <v>211292</v>
      </c>
      <c r="S109" s="238">
        <v>-13384</v>
      </c>
      <c r="T109" s="238">
        <v>197908</v>
      </c>
    </row>
    <row r="110" spans="1:20">
      <c r="A110" s="231">
        <v>91067</v>
      </c>
      <c r="B110" s="232" t="s">
        <v>824</v>
      </c>
      <c r="C110" s="92">
        <v>1.5699999999999999E-5</v>
      </c>
      <c r="D110" s="92">
        <v>1.8499999999999999E-5</v>
      </c>
      <c r="E110" s="236">
        <v>23985</v>
      </c>
      <c r="F110" s="236"/>
      <c r="G110" s="237">
        <v>1382</v>
      </c>
      <c r="H110" s="225">
        <v>5824</v>
      </c>
      <c r="I110" s="237">
        <v>3425</v>
      </c>
      <c r="J110" s="236">
        <v>2413</v>
      </c>
      <c r="K110" s="225">
        <f t="shared" si="2"/>
        <v>13044</v>
      </c>
      <c r="L110" s="236"/>
      <c r="M110" s="237">
        <v>679</v>
      </c>
      <c r="N110" s="237">
        <v>0</v>
      </c>
      <c r="O110" s="236">
        <v>406</v>
      </c>
      <c r="P110" s="225">
        <f t="shared" si="3"/>
        <v>1085</v>
      </c>
      <c r="Q110" s="236"/>
      <c r="R110" s="237">
        <v>8083</v>
      </c>
      <c r="S110" s="238">
        <v>1156</v>
      </c>
      <c r="T110" s="238">
        <v>9239</v>
      </c>
    </row>
    <row r="111" spans="1:20">
      <c r="A111" s="231">
        <v>91071</v>
      </c>
      <c r="B111" s="232" t="s">
        <v>825</v>
      </c>
      <c r="C111" s="92">
        <v>2.2770000000000001E-4</v>
      </c>
      <c r="D111" s="92">
        <v>2.4379999999999999E-4</v>
      </c>
      <c r="E111" s="236">
        <v>347863</v>
      </c>
      <c r="F111" s="236"/>
      <c r="G111" s="237">
        <v>20040</v>
      </c>
      <c r="H111" s="225">
        <v>84462</v>
      </c>
      <c r="I111" s="237">
        <v>49680</v>
      </c>
      <c r="J111" s="236">
        <v>8372</v>
      </c>
      <c r="K111" s="225">
        <f t="shared" si="2"/>
        <v>162554</v>
      </c>
      <c r="L111" s="236"/>
      <c r="M111" s="237">
        <v>9847</v>
      </c>
      <c r="N111" s="237">
        <v>0</v>
      </c>
      <c r="O111" s="236">
        <v>22478</v>
      </c>
      <c r="P111" s="225">
        <f t="shared" si="3"/>
        <v>32325</v>
      </c>
      <c r="Q111" s="236"/>
      <c r="R111" s="237">
        <v>117230</v>
      </c>
      <c r="S111" s="238">
        <v>2353</v>
      </c>
      <c r="T111" s="238">
        <v>119583</v>
      </c>
    </row>
    <row r="112" spans="1:20">
      <c r="A112" s="231">
        <v>91077</v>
      </c>
      <c r="B112" s="232" t="s">
        <v>826</v>
      </c>
      <c r="C112" s="92">
        <v>3.5999999999999998E-6</v>
      </c>
      <c r="D112" s="92">
        <v>3.9999999999999998E-6</v>
      </c>
      <c r="E112" s="236">
        <v>5500</v>
      </c>
      <c r="F112" s="236"/>
      <c r="G112" s="237">
        <v>317</v>
      </c>
      <c r="H112" s="225">
        <v>1336</v>
      </c>
      <c r="I112" s="237">
        <v>785</v>
      </c>
      <c r="J112" s="236">
        <v>1826</v>
      </c>
      <c r="K112" s="225">
        <f t="shared" si="2"/>
        <v>4264</v>
      </c>
      <c r="L112" s="236"/>
      <c r="M112" s="237">
        <v>156</v>
      </c>
      <c r="N112" s="237">
        <v>0</v>
      </c>
      <c r="O112" s="236">
        <v>51</v>
      </c>
      <c r="P112" s="225">
        <f t="shared" si="3"/>
        <v>207</v>
      </c>
      <c r="Q112" s="236"/>
      <c r="R112" s="237">
        <v>1853</v>
      </c>
      <c r="S112" s="238">
        <v>551</v>
      </c>
      <c r="T112" s="238">
        <f>2405-1</f>
        <v>2404</v>
      </c>
    </row>
    <row r="113" spans="1:20">
      <c r="A113" s="231">
        <v>91081</v>
      </c>
      <c r="B113" s="232" t="s">
        <v>827</v>
      </c>
      <c r="C113" s="92">
        <v>3.6240000000000003E-4</v>
      </c>
      <c r="D113" s="92">
        <v>3.6499999999999998E-4</v>
      </c>
      <c r="E113" s="236">
        <v>553647</v>
      </c>
      <c r="F113" s="236"/>
      <c r="G113" s="237">
        <v>31895</v>
      </c>
      <c r="H113" s="225">
        <v>134426</v>
      </c>
      <c r="I113" s="237">
        <v>79068</v>
      </c>
      <c r="J113" s="236">
        <v>1618</v>
      </c>
      <c r="K113" s="225">
        <f t="shared" si="2"/>
        <v>247007</v>
      </c>
      <c r="L113" s="236"/>
      <c r="M113" s="237">
        <v>15672</v>
      </c>
      <c r="N113" s="237">
        <v>0</v>
      </c>
      <c r="O113" s="236">
        <v>13549</v>
      </c>
      <c r="P113" s="225">
        <f t="shared" si="3"/>
        <v>29221</v>
      </c>
      <c r="Q113" s="236"/>
      <c r="R113" s="237">
        <v>186579</v>
      </c>
      <c r="S113" s="238">
        <v>-13101</v>
      </c>
      <c r="T113" s="238">
        <v>173478</v>
      </c>
    </row>
    <row r="114" spans="1:20">
      <c r="A114" s="231">
        <v>91091</v>
      </c>
      <c r="B114" s="232" t="s">
        <v>828</v>
      </c>
      <c r="C114" s="92">
        <v>5.3790000000000001E-4</v>
      </c>
      <c r="D114" s="92">
        <v>5.6380000000000004E-4</v>
      </c>
      <c r="E114" s="236">
        <v>821762</v>
      </c>
      <c r="F114" s="236"/>
      <c r="G114" s="237">
        <v>47341</v>
      </c>
      <c r="H114" s="225">
        <v>199525</v>
      </c>
      <c r="I114" s="237">
        <v>117359</v>
      </c>
      <c r="J114" s="236">
        <v>0</v>
      </c>
      <c r="K114" s="225">
        <f t="shared" si="2"/>
        <v>364225</v>
      </c>
      <c r="L114" s="236"/>
      <c r="M114" s="237">
        <v>23261</v>
      </c>
      <c r="N114" s="237">
        <v>0</v>
      </c>
      <c r="O114" s="236">
        <v>66212</v>
      </c>
      <c r="P114" s="225">
        <f t="shared" si="3"/>
        <v>89473</v>
      </c>
      <c r="Q114" s="236"/>
      <c r="R114" s="237">
        <v>276935</v>
      </c>
      <c r="S114" s="238">
        <v>-30835</v>
      </c>
      <c r="T114" s="238">
        <f>246099+1</f>
        <v>246100</v>
      </c>
    </row>
    <row r="115" spans="1:20">
      <c r="A115" s="231">
        <v>91101</v>
      </c>
      <c r="B115" s="232" t="s">
        <v>829</v>
      </c>
      <c r="C115" s="92">
        <v>1.35581E-2</v>
      </c>
      <c r="D115" s="92">
        <v>1.36685E-2</v>
      </c>
      <c r="E115" s="236">
        <v>20713021</v>
      </c>
      <c r="F115" s="236"/>
      <c r="G115" s="237">
        <v>1193262</v>
      </c>
      <c r="H115" s="225">
        <v>5029146</v>
      </c>
      <c r="I115" s="237">
        <v>2958106</v>
      </c>
      <c r="J115" s="236">
        <v>471609</v>
      </c>
      <c r="K115" s="225">
        <f t="shared" si="2"/>
        <v>9652123</v>
      </c>
      <c r="L115" s="236"/>
      <c r="M115" s="237">
        <v>586320</v>
      </c>
      <c r="N115" s="237">
        <v>0</v>
      </c>
      <c r="O115" s="236">
        <v>587664</v>
      </c>
      <c r="P115" s="225">
        <f t="shared" si="3"/>
        <v>1173984</v>
      </c>
      <c r="Q115" s="236"/>
      <c r="R115" s="237">
        <v>6980306</v>
      </c>
      <c r="S115" s="238">
        <v>147859</v>
      </c>
      <c r="T115" s="238">
        <v>7128165</v>
      </c>
    </row>
    <row r="116" spans="1:20">
      <c r="A116" s="231">
        <v>91102</v>
      </c>
      <c r="B116" s="232" t="s">
        <v>830</v>
      </c>
      <c r="C116" s="92">
        <v>3.2919999999999998E-4</v>
      </c>
      <c r="D116" s="92">
        <v>3.034E-4</v>
      </c>
      <c r="E116" s="236">
        <v>502926</v>
      </c>
      <c r="F116" s="236"/>
      <c r="G116" s="237">
        <v>28973</v>
      </c>
      <c r="H116" s="225">
        <v>122111</v>
      </c>
      <c r="I116" s="237">
        <v>71825</v>
      </c>
      <c r="J116" s="236">
        <v>35240</v>
      </c>
      <c r="K116" s="225">
        <f t="shared" si="2"/>
        <v>258149</v>
      </c>
      <c r="L116" s="236"/>
      <c r="M116" s="237">
        <v>14236</v>
      </c>
      <c r="N116" s="237">
        <v>0</v>
      </c>
      <c r="O116" s="236">
        <v>33978</v>
      </c>
      <c r="P116" s="225">
        <f t="shared" si="3"/>
        <v>48214</v>
      </c>
      <c r="Q116" s="236"/>
      <c r="R116" s="237">
        <v>169487</v>
      </c>
      <c r="S116" s="238">
        <v>-8323</v>
      </c>
      <c r="T116" s="238">
        <f>161163+1</f>
        <v>161164</v>
      </c>
    </row>
    <row r="117" spans="1:20">
      <c r="A117" s="231">
        <v>91104</v>
      </c>
      <c r="B117" s="232" t="s">
        <v>831</v>
      </c>
      <c r="C117" s="92">
        <v>7.9000000000000006E-6</v>
      </c>
      <c r="D117" s="92">
        <v>8.1999999999999994E-6</v>
      </c>
      <c r="E117" s="236">
        <v>12069</v>
      </c>
      <c r="F117" s="236"/>
      <c r="G117" s="237">
        <v>695</v>
      </c>
      <c r="H117" s="225">
        <v>2930</v>
      </c>
      <c r="I117" s="237">
        <v>1724</v>
      </c>
      <c r="J117" s="236">
        <v>2115</v>
      </c>
      <c r="K117" s="225">
        <f t="shared" si="2"/>
        <v>7464</v>
      </c>
      <c r="L117" s="236"/>
      <c r="M117" s="237">
        <v>342</v>
      </c>
      <c r="N117" s="237">
        <v>0</v>
      </c>
      <c r="O117" s="236">
        <v>39</v>
      </c>
      <c r="P117" s="225">
        <f t="shared" si="3"/>
        <v>381</v>
      </c>
      <c r="Q117" s="236"/>
      <c r="R117" s="237">
        <v>4067</v>
      </c>
      <c r="S117" s="238">
        <v>589</v>
      </c>
      <c r="T117" s="238">
        <v>4656</v>
      </c>
    </row>
    <row r="118" spans="1:20">
      <c r="A118" s="231">
        <v>91107</v>
      </c>
      <c r="B118" s="232" t="s">
        <v>832</v>
      </c>
      <c r="C118" s="92">
        <v>7.08E-5</v>
      </c>
      <c r="D118" s="92">
        <v>6.7899999999999997E-5</v>
      </c>
      <c r="E118" s="236">
        <v>108163</v>
      </c>
      <c r="F118" s="236"/>
      <c r="G118" s="237">
        <v>6231</v>
      </c>
      <c r="H118" s="225">
        <v>26263</v>
      </c>
      <c r="I118" s="237">
        <v>15447</v>
      </c>
      <c r="J118" s="236">
        <v>13143</v>
      </c>
      <c r="K118" s="225">
        <f t="shared" si="2"/>
        <v>61084</v>
      </c>
      <c r="L118" s="236"/>
      <c r="M118" s="237">
        <v>3062</v>
      </c>
      <c r="N118" s="237">
        <v>0</v>
      </c>
      <c r="O118" s="236">
        <v>0</v>
      </c>
      <c r="P118" s="225">
        <f t="shared" si="3"/>
        <v>3062</v>
      </c>
      <c r="Q118" s="236"/>
      <c r="R118" s="237">
        <v>36451</v>
      </c>
      <c r="S118" s="238">
        <v>5162</v>
      </c>
      <c r="T118" s="238">
        <v>41613</v>
      </c>
    </row>
    <row r="119" spans="1:20">
      <c r="A119" s="231">
        <v>91108</v>
      </c>
      <c r="B119" s="232" t="s">
        <v>833</v>
      </c>
      <c r="C119" s="92">
        <v>1.2413999999999999E-3</v>
      </c>
      <c r="D119" s="92">
        <v>1.2622E-3</v>
      </c>
      <c r="E119" s="236">
        <v>1896515</v>
      </c>
      <c r="F119" s="236"/>
      <c r="G119" s="237">
        <v>109257</v>
      </c>
      <c r="H119" s="225">
        <v>460476</v>
      </c>
      <c r="I119" s="237">
        <v>270849</v>
      </c>
      <c r="J119" s="236">
        <v>74887</v>
      </c>
      <c r="K119" s="225">
        <f t="shared" si="2"/>
        <v>915469</v>
      </c>
      <c r="L119" s="236"/>
      <c r="M119" s="237">
        <v>53684</v>
      </c>
      <c r="N119" s="237">
        <v>0</v>
      </c>
      <c r="O119" s="236">
        <v>0</v>
      </c>
      <c r="P119" s="225">
        <f t="shared" si="3"/>
        <v>53684</v>
      </c>
      <c r="Q119" s="236"/>
      <c r="R119" s="237">
        <v>639127</v>
      </c>
      <c r="S119" s="238">
        <v>34876</v>
      </c>
      <c r="T119" s="238">
        <v>674003</v>
      </c>
    </row>
    <row r="120" spans="1:20">
      <c r="A120" s="231">
        <v>91109</v>
      </c>
      <c r="B120" s="232" t="s">
        <v>834</v>
      </c>
      <c r="C120" s="92">
        <v>9.9599999999999995E-5</v>
      </c>
      <c r="D120" s="92">
        <v>9.2100000000000003E-5</v>
      </c>
      <c r="E120" s="236">
        <v>152161</v>
      </c>
      <c r="F120" s="236"/>
      <c r="G120" s="237">
        <v>8766</v>
      </c>
      <c r="H120" s="225">
        <v>36945</v>
      </c>
      <c r="I120" s="237">
        <v>21731</v>
      </c>
      <c r="J120" s="236">
        <v>5921</v>
      </c>
      <c r="K120" s="225">
        <f t="shared" si="2"/>
        <v>73363</v>
      </c>
      <c r="L120" s="236"/>
      <c r="M120" s="237">
        <v>4307</v>
      </c>
      <c r="N120" s="237">
        <v>0</v>
      </c>
      <c r="O120" s="236">
        <v>920</v>
      </c>
      <c r="P120" s="225">
        <f t="shared" si="3"/>
        <v>5227</v>
      </c>
      <c r="Q120" s="236"/>
      <c r="R120" s="237">
        <v>51278</v>
      </c>
      <c r="S120" s="238">
        <v>1215</v>
      </c>
      <c r="T120" s="238">
        <v>52493</v>
      </c>
    </row>
    <row r="121" spans="1:20">
      <c r="A121" s="231">
        <v>91111</v>
      </c>
      <c r="B121" s="232" t="s">
        <v>835</v>
      </c>
      <c r="C121" s="92">
        <v>2.2719999999999999E-4</v>
      </c>
      <c r="D121" s="92">
        <v>2.2359999999999999E-4</v>
      </c>
      <c r="E121" s="236">
        <v>347099</v>
      </c>
      <c r="F121" s="236"/>
      <c r="G121" s="237">
        <v>19996</v>
      </c>
      <c r="H121" s="225">
        <v>84276</v>
      </c>
      <c r="I121" s="237">
        <v>49570</v>
      </c>
      <c r="J121" s="236">
        <v>25492</v>
      </c>
      <c r="K121" s="225">
        <f t="shared" si="2"/>
        <v>179334</v>
      </c>
      <c r="L121" s="236"/>
      <c r="M121" s="237">
        <v>9825</v>
      </c>
      <c r="N121" s="237">
        <v>0</v>
      </c>
      <c r="O121" s="236">
        <v>0</v>
      </c>
      <c r="P121" s="225">
        <f t="shared" si="3"/>
        <v>9825</v>
      </c>
      <c r="Q121" s="236"/>
      <c r="R121" s="237">
        <v>116973</v>
      </c>
      <c r="S121" s="238">
        <v>10793</v>
      </c>
      <c r="T121" s="238">
        <v>127766</v>
      </c>
    </row>
    <row r="122" spans="1:20">
      <c r="A122" s="231">
        <v>91119</v>
      </c>
      <c r="B122" s="232" t="s">
        <v>48</v>
      </c>
      <c r="C122" s="92">
        <v>0</v>
      </c>
      <c r="D122" s="92">
        <v>0</v>
      </c>
      <c r="E122" s="236">
        <v>0</v>
      </c>
      <c r="F122" s="236"/>
      <c r="G122" s="237">
        <v>0</v>
      </c>
      <c r="H122" s="225">
        <v>0</v>
      </c>
      <c r="I122" s="237">
        <v>0</v>
      </c>
      <c r="J122" s="236">
        <v>0</v>
      </c>
      <c r="K122" s="225">
        <f t="shared" si="2"/>
        <v>0</v>
      </c>
      <c r="L122" s="236"/>
      <c r="M122" s="237">
        <v>0</v>
      </c>
      <c r="N122" s="237">
        <v>0</v>
      </c>
      <c r="O122" s="236">
        <v>321091</v>
      </c>
      <c r="P122" s="225">
        <f t="shared" si="3"/>
        <v>321091</v>
      </c>
      <c r="Q122" s="236"/>
      <c r="R122" s="237">
        <v>0</v>
      </c>
      <c r="S122" s="238">
        <v>-324334</v>
      </c>
      <c r="T122" s="238">
        <v>-324334</v>
      </c>
    </row>
    <row r="123" spans="1:20">
      <c r="A123" s="231">
        <v>91120</v>
      </c>
      <c r="B123" s="232" t="s">
        <v>836</v>
      </c>
      <c r="C123" s="92">
        <v>1.3019999999999999E-4</v>
      </c>
      <c r="D123" s="92">
        <v>1.184E-4</v>
      </c>
      <c r="E123" s="236">
        <v>198910</v>
      </c>
      <c r="F123" s="236"/>
      <c r="G123" s="237">
        <v>11459</v>
      </c>
      <c r="H123" s="225">
        <v>48295</v>
      </c>
      <c r="I123" s="237">
        <v>28407</v>
      </c>
      <c r="J123" s="236">
        <v>0</v>
      </c>
      <c r="K123" s="225">
        <f t="shared" si="2"/>
        <v>88161</v>
      </c>
      <c r="L123" s="236"/>
      <c r="M123" s="237">
        <v>5630</v>
      </c>
      <c r="N123" s="237">
        <v>0</v>
      </c>
      <c r="O123" s="236">
        <v>21939</v>
      </c>
      <c r="P123" s="225">
        <f t="shared" si="3"/>
        <v>27569</v>
      </c>
      <c r="Q123" s="236"/>
      <c r="R123" s="237">
        <v>67033</v>
      </c>
      <c r="S123" s="238">
        <v>-12131</v>
      </c>
      <c r="T123" s="238">
        <v>54902</v>
      </c>
    </row>
    <row r="124" spans="1:20">
      <c r="A124" s="231">
        <v>91121</v>
      </c>
      <c r="B124" s="232" t="s">
        <v>837</v>
      </c>
      <c r="C124" s="92">
        <v>9.9927999999999996E-3</v>
      </c>
      <c r="D124" s="92">
        <v>9.7842999999999992E-3</v>
      </c>
      <c r="E124" s="236">
        <v>15266230</v>
      </c>
      <c r="F124" s="236"/>
      <c r="G124" s="237">
        <v>879476</v>
      </c>
      <c r="H124" s="225">
        <v>3706660</v>
      </c>
      <c r="I124" s="237">
        <v>2180229</v>
      </c>
      <c r="J124" s="236">
        <v>0</v>
      </c>
      <c r="K124" s="225">
        <f t="shared" si="2"/>
        <v>6766365</v>
      </c>
      <c r="L124" s="236"/>
      <c r="M124" s="237">
        <v>432139</v>
      </c>
      <c r="N124" s="237">
        <v>0</v>
      </c>
      <c r="O124" s="236">
        <v>650994</v>
      </c>
      <c r="P124" s="225">
        <f t="shared" si="3"/>
        <v>1083133</v>
      </c>
      <c r="Q124" s="236"/>
      <c r="R124" s="237">
        <v>5144733</v>
      </c>
      <c r="S124" s="238">
        <v>-324255</v>
      </c>
      <c r="T124" s="238">
        <f>4820479-1</f>
        <v>4820478</v>
      </c>
    </row>
    <row r="125" spans="1:20">
      <c r="A125" s="231">
        <v>91127</v>
      </c>
      <c r="B125" s="232" t="s">
        <v>838</v>
      </c>
      <c r="C125" s="92">
        <v>2.6879999999999997E-4</v>
      </c>
      <c r="D125" s="92">
        <v>2.8229999999999998E-4</v>
      </c>
      <c r="E125" s="236">
        <v>410652</v>
      </c>
      <c r="F125" s="236"/>
      <c r="G125" s="237">
        <v>23657</v>
      </c>
      <c r="H125" s="225">
        <v>99706</v>
      </c>
      <c r="I125" s="237">
        <v>58647</v>
      </c>
      <c r="J125" s="236">
        <v>46863</v>
      </c>
      <c r="K125" s="225">
        <f t="shared" si="2"/>
        <v>228873</v>
      </c>
      <c r="L125" s="236"/>
      <c r="M125" s="237">
        <v>11624</v>
      </c>
      <c r="N125" s="237">
        <v>0</v>
      </c>
      <c r="O125" s="236">
        <v>0</v>
      </c>
      <c r="P125" s="225">
        <f t="shared" si="3"/>
        <v>11624</v>
      </c>
      <c r="Q125" s="236"/>
      <c r="R125" s="237">
        <v>138390</v>
      </c>
      <c r="S125" s="238">
        <v>25061</v>
      </c>
      <c r="T125" s="238">
        <v>163451</v>
      </c>
    </row>
    <row r="126" spans="1:20">
      <c r="A126" s="231">
        <v>91128</v>
      </c>
      <c r="B126" s="232" t="s">
        <v>839</v>
      </c>
      <c r="C126" s="92">
        <v>5.2380000000000005E-4</v>
      </c>
      <c r="D126" s="92">
        <v>5.0929999999999997E-4</v>
      </c>
      <c r="E126" s="236">
        <v>800221</v>
      </c>
      <c r="F126" s="236"/>
      <c r="G126" s="237">
        <v>46100</v>
      </c>
      <c r="H126" s="225">
        <v>194295</v>
      </c>
      <c r="I126" s="237">
        <v>114283</v>
      </c>
      <c r="J126" s="236">
        <v>15169</v>
      </c>
      <c r="K126" s="225">
        <f t="shared" si="2"/>
        <v>369847</v>
      </c>
      <c r="L126" s="236"/>
      <c r="M126" s="237">
        <v>22652</v>
      </c>
      <c r="N126" s="237">
        <v>0</v>
      </c>
      <c r="O126" s="236">
        <v>6263</v>
      </c>
      <c r="P126" s="225">
        <f t="shared" si="3"/>
        <v>28915</v>
      </c>
      <c r="Q126" s="236"/>
      <c r="R126" s="237">
        <v>269675</v>
      </c>
      <c r="S126" s="238">
        <v>-679</v>
      </c>
      <c r="T126" s="238">
        <v>268996</v>
      </c>
    </row>
    <row r="127" spans="1:20">
      <c r="A127" s="231">
        <v>91138</v>
      </c>
      <c r="B127" s="232" t="s">
        <v>840</v>
      </c>
      <c r="C127" s="92">
        <v>6.2629999999999999E-4</v>
      </c>
      <c r="D127" s="92">
        <v>6.2350000000000003E-4</v>
      </c>
      <c r="E127" s="236">
        <v>956813</v>
      </c>
      <c r="F127" s="236"/>
      <c r="G127" s="237">
        <v>55121</v>
      </c>
      <c r="H127" s="225">
        <v>232316</v>
      </c>
      <c r="I127" s="237">
        <v>136646</v>
      </c>
      <c r="J127" s="236">
        <v>0</v>
      </c>
      <c r="K127" s="225">
        <f t="shared" si="2"/>
        <v>424083</v>
      </c>
      <c r="L127" s="236"/>
      <c r="M127" s="237">
        <v>27084</v>
      </c>
      <c r="N127" s="237">
        <v>0</v>
      </c>
      <c r="O127" s="236">
        <v>127984</v>
      </c>
      <c r="P127" s="225">
        <f t="shared" si="3"/>
        <v>155068</v>
      </c>
      <c r="Q127" s="236"/>
      <c r="R127" s="237">
        <v>322447</v>
      </c>
      <c r="S127" s="238">
        <v>-48531</v>
      </c>
      <c r="T127" s="238">
        <v>273916</v>
      </c>
    </row>
    <row r="128" spans="1:20">
      <c r="A128" s="231">
        <v>91141</v>
      </c>
      <c r="B128" s="232" t="s">
        <v>841</v>
      </c>
      <c r="C128" s="92">
        <v>5.7569999999999995E-4</v>
      </c>
      <c r="D128" s="92">
        <v>5.5679999999999998E-4</v>
      </c>
      <c r="E128" s="236">
        <v>879510</v>
      </c>
      <c r="F128" s="236"/>
      <c r="G128" s="237">
        <v>50668</v>
      </c>
      <c r="H128" s="225">
        <v>213546</v>
      </c>
      <c r="I128" s="237">
        <v>125606</v>
      </c>
      <c r="J128" s="236">
        <v>0</v>
      </c>
      <c r="K128" s="225">
        <f t="shared" si="2"/>
        <v>389820</v>
      </c>
      <c r="L128" s="236"/>
      <c r="M128" s="237">
        <v>24896</v>
      </c>
      <c r="N128" s="237">
        <v>0</v>
      </c>
      <c r="O128" s="236">
        <v>80393</v>
      </c>
      <c r="P128" s="225">
        <f t="shared" si="3"/>
        <v>105289</v>
      </c>
      <c r="Q128" s="236"/>
      <c r="R128" s="237">
        <v>296396</v>
      </c>
      <c r="S128" s="238">
        <v>-38126</v>
      </c>
      <c r="T128" s="238">
        <v>258270</v>
      </c>
    </row>
    <row r="129" spans="1:20">
      <c r="A129" s="231">
        <v>91147</v>
      </c>
      <c r="B129" s="232" t="s">
        <v>842</v>
      </c>
      <c r="C129" s="92">
        <v>2.6699999999999998E-5</v>
      </c>
      <c r="D129" s="92">
        <v>2.4199999999999999E-5</v>
      </c>
      <c r="E129" s="236">
        <v>40790</v>
      </c>
      <c r="F129" s="236"/>
      <c r="G129" s="237">
        <v>2350</v>
      </c>
      <c r="H129" s="225">
        <v>9904</v>
      </c>
      <c r="I129" s="237">
        <v>5825</v>
      </c>
      <c r="J129" s="236">
        <v>8489</v>
      </c>
      <c r="K129" s="225">
        <f t="shared" si="2"/>
        <v>26568</v>
      </c>
      <c r="L129" s="236"/>
      <c r="M129" s="237">
        <v>1155</v>
      </c>
      <c r="N129" s="237">
        <v>0</v>
      </c>
      <c r="O129" s="236">
        <v>0</v>
      </c>
      <c r="P129" s="225">
        <f t="shared" si="3"/>
        <v>1155</v>
      </c>
      <c r="Q129" s="236"/>
      <c r="R129" s="237">
        <v>13746</v>
      </c>
      <c r="S129" s="238">
        <v>4333</v>
      </c>
      <c r="T129" s="238">
        <f>18080-1</f>
        <v>18079</v>
      </c>
    </row>
    <row r="130" spans="1:20">
      <c r="A130" s="231">
        <v>91151</v>
      </c>
      <c r="B130" s="232" t="s">
        <v>843</v>
      </c>
      <c r="C130" s="92">
        <v>6.3409999999999996E-4</v>
      </c>
      <c r="D130" s="92">
        <v>6.1180000000000002E-4</v>
      </c>
      <c r="E130" s="236">
        <v>968729</v>
      </c>
      <c r="F130" s="236"/>
      <c r="G130" s="237">
        <v>55808</v>
      </c>
      <c r="H130" s="225">
        <v>235208</v>
      </c>
      <c r="I130" s="237">
        <v>138348</v>
      </c>
      <c r="J130" s="236">
        <v>6907</v>
      </c>
      <c r="K130" s="225">
        <f t="shared" si="2"/>
        <v>436271</v>
      </c>
      <c r="L130" s="236"/>
      <c r="M130" s="237">
        <v>27422</v>
      </c>
      <c r="N130" s="237">
        <v>0</v>
      </c>
      <c r="O130" s="236">
        <v>49311</v>
      </c>
      <c r="P130" s="225">
        <f t="shared" si="3"/>
        <v>76733</v>
      </c>
      <c r="Q130" s="236"/>
      <c r="R130" s="237">
        <v>326463</v>
      </c>
      <c r="S130" s="238">
        <v>-15290</v>
      </c>
      <c r="T130" s="238">
        <f>311172+1</f>
        <v>311173</v>
      </c>
    </row>
    <row r="131" spans="1:20">
      <c r="A131" s="231">
        <v>91154</v>
      </c>
      <c r="B131" s="232" t="s">
        <v>844</v>
      </c>
      <c r="C131" s="92">
        <v>2.6299999999999999E-5</v>
      </c>
      <c r="D131" s="92">
        <v>1.9599999999999999E-5</v>
      </c>
      <c r="E131" s="236">
        <v>40179</v>
      </c>
      <c r="F131" s="236"/>
      <c r="G131" s="237">
        <v>2315</v>
      </c>
      <c r="H131" s="225">
        <v>9756</v>
      </c>
      <c r="I131" s="237">
        <v>5738</v>
      </c>
      <c r="J131" s="236">
        <v>7326</v>
      </c>
      <c r="K131" s="225">
        <f t="shared" si="2"/>
        <v>25135</v>
      </c>
      <c r="L131" s="236"/>
      <c r="M131" s="237">
        <v>1137</v>
      </c>
      <c r="N131" s="237">
        <v>0</v>
      </c>
      <c r="O131" s="236">
        <v>0</v>
      </c>
      <c r="P131" s="225">
        <f t="shared" si="3"/>
        <v>1137</v>
      </c>
      <c r="Q131" s="236"/>
      <c r="R131" s="237">
        <v>13540</v>
      </c>
      <c r="S131" s="238">
        <v>2962</v>
      </c>
      <c r="T131" s="238">
        <f>16503-1</f>
        <v>16502</v>
      </c>
    </row>
    <row r="132" spans="1:20">
      <c r="A132" s="231">
        <v>91161</v>
      </c>
      <c r="B132" s="232" t="s">
        <v>845</v>
      </c>
      <c r="C132" s="92">
        <v>9.2600000000000001E-5</v>
      </c>
      <c r="D132" s="92">
        <v>9.4599999999999996E-5</v>
      </c>
      <c r="E132" s="236">
        <v>141467</v>
      </c>
      <c r="F132" s="236"/>
      <c r="G132" s="237">
        <v>8150</v>
      </c>
      <c r="H132" s="225">
        <v>34348</v>
      </c>
      <c r="I132" s="237">
        <v>20203</v>
      </c>
      <c r="J132" s="236">
        <v>5327</v>
      </c>
      <c r="K132" s="225">
        <f t="shared" si="2"/>
        <v>68028</v>
      </c>
      <c r="L132" s="236"/>
      <c r="M132" s="237">
        <v>4004</v>
      </c>
      <c r="N132" s="237">
        <v>0</v>
      </c>
      <c r="O132" s="236">
        <v>3079</v>
      </c>
      <c r="P132" s="225">
        <f t="shared" si="3"/>
        <v>7083</v>
      </c>
      <c r="Q132" s="236"/>
      <c r="R132" s="237">
        <v>47675</v>
      </c>
      <c r="S132" s="238">
        <v>935</v>
      </c>
      <c r="T132" s="238">
        <v>48610</v>
      </c>
    </row>
    <row r="133" spans="1:20">
      <c r="A133" s="231">
        <v>91171</v>
      </c>
      <c r="B133" s="232" t="s">
        <v>846</v>
      </c>
      <c r="C133" s="92">
        <v>1.95E-4</v>
      </c>
      <c r="D133" s="92">
        <v>2.5589999999999999E-4</v>
      </c>
      <c r="E133" s="236">
        <v>297906</v>
      </c>
      <c r="F133" s="236"/>
      <c r="G133" s="237">
        <v>17162</v>
      </c>
      <c r="H133" s="225">
        <v>72331</v>
      </c>
      <c r="I133" s="237">
        <v>42545</v>
      </c>
      <c r="J133" s="236">
        <v>0</v>
      </c>
      <c r="K133" s="225">
        <f t="shared" si="2"/>
        <v>132038</v>
      </c>
      <c r="L133" s="236"/>
      <c r="M133" s="237">
        <v>8433</v>
      </c>
      <c r="N133" s="237">
        <v>0</v>
      </c>
      <c r="O133" s="236">
        <v>58020</v>
      </c>
      <c r="P133" s="225">
        <f t="shared" si="3"/>
        <v>66453</v>
      </c>
      <c r="Q133" s="236"/>
      <c r="R133" s="237">
        <v>100395</v>
      </c>
      <c r="S133" s="238">
        <v>-21400</v>
      </c>
      <c r="T133" s="238">
        <f>78994+1</f>
        <v>78995</v>
      </c>
    </row>
    <row r="134" spans="1:20">
      <c r="A134" s="231">
        <v>91201</v>
      </c>
      <c r="B134" s="232" t="s">
        <v>847</v>
      </c>
      <c r="C134" s="92">
        <v>2.2878E-3</v>
      </c>
      <c r="D134" s="92">
        <v>2.3127999999999998E-3</v>
      </c>
      <c r="E134" s="236">
        <v>3495125</v>
      </c>
      <c r="F134" s="236"/>
      <c r="G134" s="237">
        <v>201352</v>
      </c>
      <c r="H134" s="225">
        <v>848620</v>
      </c>
      <c r="I134" s="237">
        <v>499152</v>
      </c>
      <c r="J134" s="236">
        <v>40348</v>
      </c>
      <c r="K134" s="225">
        <f t="shared" si="2"/>
        <v>1589472</v>
      </c>
      <c r="L134" s="236"/>
      <c r="M134" s="237">
        <v>98936</v>
      </c>
      <c r="N134" s="237">
        <v>0</v>
      </c>
      <c r="O134" s="236">
        <v>96428</v>
      </c>
      <c r="P134" s="225">
        <f t="shared" si="3"/>
        <v>195364</v>
      </c>
      <c r="Q134" s="236"/>
      <c r="R134" s="237">
        <v>1177860</v>
      </c>
      <c r="S134" s="238">
        <v>-568</v>
      </c>
      <c r="T134" s="238">
        <v>1177292</v>
      </c>
    </row>
    <row r="135" spans="1:20">
      <c r="A135" s="231">
        <v>91202</v>
      </c>
      <c r="B135" s="232" t="s">
        <v>848</v>
      </c>
      <c r="C135" s="92">
        <v>1.9330000000000001E-4</v>
      </c>
      <c r="D135" s="92">
        <v>1.897E-4</v>
      </c>
      <c r="E135" s="236">
        <v>295309</v>
      </c>
      <c r="F135" s="236"/>
      <c r="G135" s="237">
        <v>17013</v>
      </c>
      <c r="H135" s="225">
        <v>71701</v>
      </c>
      <c r="I135" s="237">
        <v>42174</v>
      </c>
      <c r="J135" s="236">
        <v>27893</v>
      </c>
      <c r="K135" s="225">
        <f t="shared" si="2"/>
        <v>158781</v>
      </c>
      <c r="L135" s="236"/>
      <c r="M135" s="237">
        <v>8359</v>
      </c>
      <c r="N135" s="237">
        <v>0</v>
      </c>
      <c r="O135" s="236">
        <v>0</v>
      </c>
      <c r="P135" s="225">
        <f t="shared" si="3"/>
        <v>8359</v>
      </c>
      <c r="Q135" s="236"/>
      <c r="R135" s="237">
        <v>99519</v>
      </c>
      <c r="S135" s="238">
        <v>12367</v>
      </c>
      <c r="T135" s="238">
        <v>111886</v>
      </c>
    </row>
    <row r="136" spans="1:20">
      <c r="A136" s="231">
        <v>91203</v>
      </c>
      <c r="B136" s="232" t="s">
        <v>849</v>
      </c>
      <c r="C136" s="92">
        <v>2.1939999999999999E-4</v>
      </c>
      <c r="D136" s="92">
        <v>2.4479999999999999E-4</v>
      </c>
      <c r="E136" s="236">
        <v>335182</v>
      </c>
      <c r="F136" s="236"/>
      <c r="G136" s="237">
        <v>19310</v>
      </c>
      <c r="H136" s="225">
        <v>81383</v>
      </c>
      <c r="I136" s="237">
        <v>47869</v>
      </c>
      <c r="J136" s="236">
        <v>25236</v>
      </c>
      <c r="K136" s="225">
        <f t="shared" si="2"/>
        <v>173798</v>
      </c>
      <c r="L136" s="236"/>
      <c r="M136" s="237">
        <v>9488</v>
      </c>
      <c r="N136" s="237">
        <v>0</v>
      </c>
      <c r="O136" s="236">
        <v>0</v>
      </c>
      <c r="P136" s="225">
        <f t="shared" si="3"/>
        <v>9488</v>
      </c>
      <c r="Q136" s="236"/>
      <c r="R136" s="237">
        <v>112957</v>
      </c>
      <c r="S136" s="238">
        <v>12508</v>
      </c>
      <c r="T136" s="238">
        <f>125464+1</f>
        <v>125465</v>
      </c>
    </row>
    <row r="137" spans="1:20">
      <c r="A137" s="231">
        <v>91206</v>
      </c>
      <c r="B137" s="232" t="s">
        <v>850</v>
      </c>
      <c r="C137" s="92">
        <v>8.6450000000000003E-4</v>
      </c>
      <c r="D137" s="92">
        <v>8.2129999999999996E-4</v>
      </c>
      <c r="E137" s="236">
        <v>1320717</v>
      </c>
      <c r="F137" s="236"/>
      <c r="G137" s="237">
        <v>76086</v>
      </c>
      <c r="H137" s="225">
        <v>320672</v>
      </c>
      <c r="I137" s="237">
        <v>188617</v>
      </c>
      <c r="J137" s="236">
        <v>32943</v>
      </c>
      <c r="K137" s="225">
        <f t="shared" si="2"/>
        <v>618318</v>
      </c>
      <c r="L137" s="236"/>
      <c r="M137" s="237">
        <v>37385</v>
      </c>
      <c r="N137" s="237">
        <v>0</v>
      </c>
      <c r="O137" s="236">
        <v>1131</v>
      </c>
      <c r="P137" s="225">
        <f t="shared" si="3"/>
        <v>38516</v>
      </c>
      <c r="Q137" s="236"/>
      <c r="R137" s="237">
        <v>445083</v>
      </c>
      <c r="S137" s="238">
        <v>15708</v>
      </c>
      <c r="T137" s="238">
        <v>460791</v>
      </c>
    </row>
    <row r="138" spans="1:20">
      <c r="A138" s="231">
        <v>91208</v>
      </c>
      <c r="B138" s="232" t="s">
        <v>851</v>
      </c>
      <c r="C138" s="92">
        <v>1.42E-5</v>
      </c>
      <c r="D138" s="92">
        <v>1.3699999999999999E-5</v>
      </c>
      <c r="E138" s="236">
        <v>21694</v>
      </c>
      <c r="F138" s="236"/>
      <c r="G138" s="237">
        <v>1250</v>
      </c>
      <c r="H138" s="225">
        <v>5267</v>
      </c>
      <c r="I138" s="237">
        <v>3098</v>
      </c>
      <c r="J138" s="236">
        <v>3961</v>
      </c>
      <c r="K138" s="225">
        <f t="shared" ref="K138:K201" si="4">G138+H138+I138+J138</f>
        <v>13576</v>
      </c>
      <c r="L138" s="236"/>
      <c r="M138" s="237">
        <v>614</v>
      </c>
      <c r="N138" s="237">
        <v>0</v>
      </c>
      <c r="O138" s="236">
        <v>0</v>
      </c>
      <c r="P138" s="225">
        <f t="shared" ref="P138:P201" si="5">M138+N138+O138</f>
        <v>614</v>
      </c>
      <c r="Q138" s="236"/>
      <c r="R138" s="237">
        <v>7311</v>
      </c>
      <c r="S138" s="238">
        <v>3460</v>
      </c>
      <c r="T138" s="238">
        <v>10771</v>
      </c>
    </row>
    <row r="139" spans="1:20">
      <c r="A139" s="231">
        <v>91211</v>
      </c>
      <c r="B139" s="232" t="s">
        <v>852</v>
      </c>
      <c r="C139" s="92">
        <v>4.5530000000000001E-4</v>
      </c>
      <c r="D139" s="92">
        <v>4.6789999999999999E-4</v>
      </c>
      <c r="E139" s="236">
        <v>695572</v>
      </c>
      <c r="F139" s="236"/>
      <c r="G139" s="237">
        <v>40071</v>
      </c>
      <c r="H139" s="225">
        <v>168886</v>
      </c>
      <c r="I139" s="237">
        <v>99337</v>
      </c>
      <c r="J139" s="236">
        <v>6745</v>
      </c>
      <c r="K139" s="225">
        <f t="shared" si="4"/>
        <v>315039</v>
      </c>
      <c r="L139" s="236"/>
      <c r="M139" s="237">
        <v>19689</v>
      </c>
      <c r="N139" s="237">
        <v>0</v>
      </c>
      <c r="O139" s="236">
        <v>3315</v>
      </c>
      <c r="P139" s="225">
        <f t="shared" si="5"/>
        <v>23004</v>
      </c>
      <c r="Q139" s="236"/>
      <c r="R139" s="237">
        <v>234408</v>
      </c>
      <c r="S139" s="238">
        <v>1355</v>
      </c>
      <c r="T139" s="238">
        <v>235763</v>
      </c>
    </row>
    <row r="140" spans="1:20">
      <c r="A140" s="231">
        <v>91213</v>
      </c>
      <c r="B140" s="232" t="s">
        <v>853</v>
      </c>
      <c r="C140" s="92">
        <v>3.2499999999999997E-5</v>
      </c>
      <c r="D140" s="92">
        <v>3.57E-5</v>
      </c>
      <c r="E140" s="236">
        <v>49651</v>
      </c>
      <c r="F140" s="236"/>
      <c r="G140" s="237">
        <v>2860</v>
      </c>
      <c r="H140" s="225">
        <v>12056</v>
      </c>
      <c r="I140" s="237">
        <v>7091</v>
      </c>
      <c r="J140" s="236">
        <v>0</v>
      </c>
      <c r="K140" s="225">
        <f t="shared" si="4"/>
        <v>22007</v>
      </c>
      <c r="L140" s="236"/>
      <c r="M140" s="237">
        <v>1405</v>
      </c>
      <c r="N140" s="237">
        <v>0</v>
      </c>
      <c r="O140" s="236">
        <v>7680</v>
      </c>
      <c r="P140" s="225">
        <f t="shared" si="5"/>
        <v>9085</v>
      </c>
      <c r="Q140" s="236"/>
      <c r="R140" s="237">
        <v>16732</v>
      </c>
      <c r="S140" s="238">
        <v>-2660</v>
      </c>
      <c r="T140" s="238">
        <v>14072</v>
      </c>
    </row>
    <row r="141" spans="1:20">
      <c r="A141" s="231">
        <v>91214</v>
      </c>
      <c r="B141" s="232" t="s">
        <v>854</v>
      </c>
      <c r="C141" s="92">
        <v>2.9300000000000001E-5</v>
      </c>
      <c r="D141" s="92">
        <v>2.8200000000000001E-5</v>
      </c>
      <c r="E141" s="236">
        <v>44762</v>
      </c>
      <c r="F141" s="236"/>
      <c r="G141" s="237">
        <v>2579</v>
      </c>
      <c r="H141" s="225">
        <v>10868</v>
      </c>
      <c r="I141" s="237">
        <v>6393</v>
      </c>
      <c r="J141" s="236">
        <v>1300</v>
      </c>
      <c r="K141" s="225">
        <f t="shared" si="4"/>
        <v>21140</v>
      </c>
      <c r="L141" s="236"/>
      <c r="M141" s="237">
        <v>1267</v>
      </c>
      <c r="N141" s="237">
        <v>0</v>
      </c>
      <c r="O141" s="236">
        <v>3669</v>
      </c>
      <c r="P141" s="225">
        <f t="shared" si="5"/>
        <v>4936</v>
      </c>
      <c r="Q141" s="236"/>
      <c r="R141" s="237">
        <v>15085</v>
      </c>
      <c r="S141" s="238">
        <v>-283</v>
      </c>
      <c r="T141" s="238">
        <v>14802</v>
      </c>
    </row>
    <row r="142" spans="1:20">
      <c r="A142" s="231">
        <v>91217</v>
      </c>
      <c r="B142" s="232" t="s">
        <v>855</v>
      </c>
      <c r="C142" s="92">
        <v>2.8799999999999999E-5</v>
      </c>
      <c r="D142" s="92">
        <v>2.6699999999999998E-5</v>
      </c>
      <c r="E142" s="236">
        <v>43998</v>
      </c>
      <c r="F142" s="236"/>
      <c r="G142" s="237">
        <v>2535</v>
      </c>
      <c r="H142" s="225">
        <v>10683</v>
      </c>
      <c r="I142" s="237">
        <v>6284</v>
      </c>
      <c r="J142" s="236">
        <v>10784</v>
      </c>
      <c r="K142" s="225">
        <f t="shared" si="4"/>
        <v>30286</v>
      </c>
      <c r="L142" s="236"/>
      <c r="M142" s="237">
        <v>1245</v>
      </c>
      <c r="N142" s="237">
        <v>0</v>
      </c>
      <c r="O142" s="236">
        <v>0</v>
      </c>
      <c r="P142" s="225">
        <f t="shared" si="5"/>
        <v>1245</v>
      </c>
      <c r="Q142" s="236"/>
      <c r="R142" s="237">
        <v>14828</v>
      </c>
      <c r="S142" s="238">
        <v>4311</v>
      </c>
      <c r="T142" s="238">
        <v>19139</v>
      </c>
    </row>
    <row r="143" spans="1:20">
      <c r="A143" s="231">
        <v>91221</v>
      </c>
      <c r="B143" s="232" t="s">
        <v>856</v>
      </c>
      <c r="C143" s="92">
        <v>1.3359999999999999E-4</v>
      </c>
      <c r="D143" s="92">
        <v>1.294E-4</v>
      </c>
      <c r="E143" s="236">
        <v>204104</v>
      </c>
      <c r="F143" s="236"/>
      <c r="G143" s="237">
        <v>11758</v>
      </c>
      <c r="H143" s="225">
        <v>49557</v>
      </c>
      <c r="I143" s="237">
        <v>29149</v>
      </c>
      <c r="J143" s="236">
        <v>5038</v>
      </c>
      <c r="K143" s="225">
        <f t="shared" si="4"/>
        <v>95502</v>
      </c>
      <c r="L143" s="236"/>
      <c r="M143" s="237">
        <v>5778</v>
      </c>
      <c r="N143" s="237">
        <v>0</v>
      </c>
      <c r="O143" s="236">
        <v>7113</v>
      </c>
      <c r="P143" s="225">
        <f t="shared" si="5"/>
        <v>12891</v>
      </c>
      <c r="Q143" s="236"/>
      <c r="R143" s="237">
        <v>68783</v>
      </c>
      <c r="S143" s="238">
        <v>1397</v>
      </c>
      <c r="T143" s="238">
        <v>70180</v>
      </c>
    </row>
    <row r="144" spans="1:20">
      <c r="A144" s="231">
        <v>91231</v>
      </c>
      <c r="B144" s="232" t="s">
        <v>857</v>
      </c>
      <c r="C144" s="92">
        <v>1.8856000000000001E-3</v>
      </c>
      <c r="D144" s="92">
        <v>1.9957E-3</v>
      </c>
      <c r="E144" s="236">
        <v>2880674</v>
      </c>
      <c r="F144" s="236"/>
      <c r="G144" s="237">
        <v>165954</v>
      </c>
      <c r="H144" s="225">
        <v>699431</v>
      </c>
      <c r="I144" s="237">
        <v>411400</v>
      </c>
      <c r="J144" s="236">
        <v>10587</v>
      </c>
      <c r="K144" s="225">
        <f t="shared" si="4"/>
        <v>1287372</v>
      </c>
      <c r="L144" s="236"/>
      <c r="M144" s="237">
        <v>81543</v>
      </c>
      <c r="N144" s="237">
        <v>0</v>
      </c>
      <c r="O144" s="236">
        <v>132995</v>
      </c>
      <c r="P144" s="225">
        <f t="shared" si="5"/>
        <v>214538</v>
      </c>
      <c r="Q144" s="236"/>
      <c r="R144" s="237">
        <v>970790</v>
      </c>
      <c r="S144" s="238">
        <v>-32073</v>
      </c>
      <c r="T144" s="238">
        <v>938717</v>
      </c>
    </row>
    <row r="145" spans="1:20">
      <c r="A145" s="231">
        <v>91233</v>
      </c>
      <c r="B145" s="232" t="s">
        <v>858</v>
      </c>
      <c r="C145" s="92">
        <v>5.8100000000000003E-5</v>
      </c>
      <c r="D145" s="92">
        <v>4.5599999999999997E-5</v>
      </c>
      <c r="E145" s="236">
        <v>88761</v>
      </c>
      <c r="F145" s="236"/>
      <c r="G145" s="237">
        <v>5113</v>
      </c>
      <c r="H145" s="225">
        <v>21551</v>
      </c>
      <c r="I145" s="237">
        <v>12676</v>
      </c>
      <c r="J145" s="236">
        <v>9544</v>
      </c>
      <c r="K145" s="225">
        <f t="shared" si="4"/>
        <v>48884</v>
      </c>
      <c r="L145" s="236"/>
      <c r="M145" s="237">
        <v>2513</v>
      </c>
      <c r="N145" s="237">
        <v>0</v>
      </c>
      <c r="O145" s="236">
        <v>117</v>
      </c>
      <c r="P145" s="225">
        <f t="shared" si="5"/>
        <v>2630</v>
      </c>
      <c r="Q145" s="236"/>
      <c r="R145" s="237">
        <v>29912</v>
      </c>
      <c r="S145" s="238">
        <v>4289</v>
      </c>
      <c r="T145" s="238">
        <f>34202-1</f>
        <v>34201</v>
      </c>
    </row>
    <row r="146" spans="1:20">
      <c r="A146" s="231">
        <v>91241</v>
      </c>
      <c r="B146" s="232" t="s">
        <v>859</v>
      </c>
      <c r="C146" s="92">
        <v>3.5500000000000002E-5</v>
      </c>
      <c r="D146" s="92">
        <v>3.68E-5</v>
      </c>
      <c r="E146" s="236">
        <v>54234</v>
      </c>
      <c r="F146" s="236"/>
      <c r="G146" s="237">
        <v>3124</v>
      </c>
      <c r="H146" s="225">
        <v>13168</v>
      </c>
      <c r="I146" s="237">
        <v>7745</v>
      </c>
      <c r="J146" s="236">
        <v>0</v>
      </c>
      <c r="K146" s="225">
        <f t="shared" si="4"/>
        <v>24037</v>
      </c>
      <c r="L146" s="236"/>
      <c r="M146" s="237">
        <v>1535</v>
      </c>
      <c r="N146" s="237">
        <v>0</v>
      </c>
      <c r="O146" s="236">
        <v>4391</v>
      </c>
      <c r="P146" s="225">
        <f t="shared" si="5"/>
        <v>5926</v>
      </c>
      <c r="Q146" s="236"/>
      <c r="R146" s="237">
        <v>18277</v>
      </c>
      <c r="S146" s="238">
        <v>-2564</v>
      </c>
      <c r="T146" s="238">
        <v>15713</v>
      </c>
    </row>
    <row r="147" spans="1:20">
      <c r="A147" s="231">
        <v>91251</v>
      </c>
      <c r="B147" s="232" t="s">
        <v>860</v>
      </c>
      <c r="C147" s="92">
        <v>1.9899999999999999E-5</v>
      </c>
      <c r="D147" s="92">
        <v>2.65E-5</v>
      </c>
      <c r="E147" s="236">
        <v>30402</v>
      </c>
      <c r="F147" s="236"/>
      <c r="G147" s="237">
        <v>1751</v>
      </c>
      <c r="H147" s="225">
        <v>7381</v>
      </c>
      <c r="I147" s="237">
        <v>4342</v>
      </c>
      <c r="J147" s="236">
        <v>2341</v>
      </c>
      <c r="K147" s="225">
        <f t="shared" si="4"/>
        <v>15815</v>
      </c>
      <c r="L147" s="236"/>
      <c r="M147" s="237">
        <v>861</v>
      </c>
      <c r="N147" s="237">
        <v>0</v>
      </c>
      <c r="O147" s="236">
        <v>3540</v>
      </c>
      <c r="P147" s="225">
        <f t="shared" si="5"/>
        <v>4401</v>
      </c>
      <c r="Q147" s="236"/>
      <c r="R147" s="237">
        <v>10245</v>
      </c>
      <c r="S147" s="238">
        <v>1340</v>
      </c>
      <c r="T147" s="238">
        <f>11586-1</f>
        <v>11585</v>
      </c>
    </row>
    <row r="148" spans="1:20">
      <c r="A148" s="231">
        <v>91261</v>
      </c>
      <c r="B148" s="232" t="s">
        <v>861</v>
      </c>
      <c r="C148" s="92">
        <v>1.03E-5</v>
      </c>
      <c r="D148" s="92">
        <v>9.5000000000000005E-6</v>
      </c>
      <c r="E148" s="236">
        <v>15736</v>
      </c>
      <c r="F148" s="236"/>
      <c r="G148" s="237">
        <v>907</v>
      </c>
      <c r="H148" s="225">
        <v>3821</v>
      </c>
      <c r="I148" s="237">
        <v>2247</v>
      </c>
      <c r="J148" s="236">
        <v>1784</v>
      </c>
      <c r="K148" s="225">
        <f t="shared" si="4"/>
        <v>8759</v>
      </c>
      <c r="L148" s="236"/>
      <c r="M148" s="237">
        <v>445</v>
      </c>
      <c r="N148" s="237">
        <v>0</v>
      </c>
      <c r="O148" s="236">
        <v>0</v>
      </c>
      <c r="P148" s="225">
        <f t="shared" si="5"/>
        <v>445</v>
      </c>
      <c r="Q148" s="236"/>
      <c r="R148" s="237">
        <v>5303</v>
      </c>
      <c r="S148" s="238">
        <v>850</v>
      </c>
      <c r="T148" s="238">
        <v>6153</v>
      </c>
    </row>
    <row r="149" spans="1:20">
      <c r="A149" s="231">
        <v>91301</v>
      </c>
      <c r="B149" s="232" t="s">
        <v>862</v>
      </c>
      <c r="C149" s="92">
        <v>7.6985999999999999E-3</v>
      </c>
      <c r="D149" s="92">
        <v>7.7765000000000004E-3</v>
      </c>
      <c r="E149" s="236">
        <v>11761328</v>
      </c>
      <c r="F149" s="236"/>
      <c r="G149" s="237">
        <v>677561</v>
      </c>
      <c r="H149" s="225">
        <v>2855665</v>
      </c>
      <c r="I149" s="237">
        <v>1679681</v>
      </c>
      <c r="J149" s="236">
        <v>19915</v>
      </c>
      <c r="K149" s="225">
        <f t="shared" si="4"/>
        <v>5232822</v>
      </c>
      <c r="L149" s="236"/>
      <c r="M149" s="237">
        <v>332926</v>
      </c>
      <c r="N149" s="237">
        <v>0</v>
      </c>
      <c r="O149" s="236">
        <v>249856</v>
      </c>
      <c r="P149" s="225">
        <f t="shared" si="5"/>
        <v>582782</v>
      </c>
      <c r="Q149" s="236"/>
      <c r="R149" s="237">
        <v>3963578</v>
      </c>
      <c r="S149" s="238">
        <v>-98741</v>
      </c>
      <c r="T149" s="238">
        <v>3864837</v>
      </c>
    </row>
    <row r="150" spans="1:20">
      <c r="A150" s="53">
        <v>91302</v>
      </c>
      <c r="B150" s="232" t="s">
        <v>863</v>
      </c>
      <c r="C150" s="92">
        <v>6.0300000000000002E-4</v>
      </c>
      <c r="D150" s="92">
        <v>5.9190000000000002E-4</v>
      </c>
      <c r="E150" s="236">
        <v>921217</v>
      </c>
      <c r="F150" s="236"/>
      <c r="G150" s="237">
        <v>53071</v>
      </c>
      <c r="H150" s="225">
        <v>223673</v>
      </c>
      <c r="I150" s="237">
        <v>131563</v>
      </c>
      <c r="J150" s="236">
        <v>32897</v>
      </c>
      <c r="K150" s="225">
        <f t="shared" si="4"/>
        <v>441204</v>
      </c>
      <c r="L150" s="236"/>
      <c r="M150" s="237">
        <v>26077</v>
      </c>
      <c r="N150" s="237">
        <v>0</v>
      </c>
      <c r="O150" s="236">
        <v>6670</v>
      </c>
      <c r="P150" s="225">
        <f t="shared" si="5"/>
        <v>32747</v>
      </c>
      <c r="Q150" s="236"/>
      <c r="R150" s="237">
        <v>310451</v>
      </c>
      <c r="S150" s="238">
        <v>18435</v>
      </c>
      <c r="T150" s="238">
        <v>328886</v>
      </c>
    </row>
    <row r="151" spans="1:20">
      <c r="A151" s="53">
        <v>91306</v>
      </c>
      <c r="B151" s="232" t="s">
        <v>864</v>
      </c>
      <c r="C151" s="92">
        <v>1.6412E-3</v>
      </c>
      <c r="D151" s="92">
        <v>1.6676E-3</v>
      </c>
      <c r="E151" s="236">
        <v>2507299</v>
      </c>
      <c r="F151" s="236"/>
      <c r="G151" s="237">
        <v>144444</v>
      </c>
      <c r="H151" s="225">
        <v>608776</v>
      </c>
      <c r="I151" s="237">
        <v>358077</v>
      </c>
      <c r="J151" s="236">
        <v>113707</v>
      </c>
      <c r="K151" s="225">
        <f t="shared" si="4"/>
        <v>1225004</v>
      </c>
      <c r="L151" s="236"/>
      <c r="M151" s="237">
        <v>70974</v>
      </c>
      <c r="N151" s="237">
        <v>0</v>
      </c>
      <c r="O151" s="236">
        <v>7101</v>
      </c>
      <c r="P151" s="225">
        <f t="shared" si="5"/>
        <v>78075</v>
      </c>
      <c r="Q151" s="236"/>
      <c r="R151" s="237">
        <v>844962</v>
      </c>
      <c r="S151" s="238">
        <v>59215</v>
      </c>
      <c r="T151" s="238">
        <v>904177</v>
      </c>
    </row>
    <row r="152" spans="1:20">
      <c r="A152" s="53">
        <v>91308</v>
      </c>
      <c r="B152" s="232" t="s">
        <v>865</v>
      </c>
      <c r="C152" s="92">
        <v>1.8009999999999999E-4</v>
      </c>
      <c r="D152" s="92">
        <v>2.05E-4</v>
      </c>
      <c r="E152" s="236">
        <v>275143</v>
      </c>
      <c r="F152" s="236"/>
      <c r="G152" s="237">
        <v>15851</v>
      </c>
      <c r="H152" s="225">
        <v>66805</v>
      </c>
      <c r="I152" s="237">
        <v>39294</v>
      </c>
      <c r="J152" s="236">
        <v>2442</v>
      </c>
      <c r="K152" s="225">
        <f t="shared" si="4"/>
        <v>124392</v>
      </c>
      <c r="L152" s="236"/>
      <c r="M152" s="237">
        <v>7788</v>
      </c>
      <c r="N152" s="237">
        <v>0</v>
      </c>
      <c r="O152" s="236">
        <v>21144</v>
      </c>
      <c r="P152" s="225">
        <f t="shared" si="5"/>
        <v>28932</v>
      </c>
      <c r="Q152" s="236"/>
      <c r="R152" s="237">
        <v>92723</v>
      </c>
      <c r="S152" s="238">
        <v>-3684</v>
      </c>
      <c r="T152" s="238">
        <f>89040-1</f>
        <v>89039</v>
      </c>
    </row>
    <row r="153" spans="1:20">
      <c r="A153" s="231">
        <v>91311</v>
      </c>
      <c r="B153" s="232" t="s">
        <v>866</v>
      </c>
      <c r="C153" s="92">
        <v>7.6685E-3</v>
      </c>
      <c r="D153" s="92">
        <v>7.6649999999999999E-3</v>
      </c>
      <c r="E153" s="236">
        <v>11715344</v>
      </c>
      <c r="F153" s="236"/>
      <c r="G153" s="237">
        <v>674912</v>
      </c>
      <c r="H153" s="225">
        <v>2844500</v>
      </c>
      <c r="I153" s="237">
        <v>1673113</v>
      </c>
      <c r="J153" s="236">
        <v>78345</v>
      </c>
      <c r="K153" s="225">
        <f t="shared" si="4"/>
        <v>5270870</v>
      </c>
      <c r="L153" s="236"/>
      <c r="M153" s="237">
        <v>331624</v>
      </c>
      <c r="N153" s="237">
        <v>0</v>
      </c>
      <c r="O153" s="236">
        <v>516736</v>
      </c>
      <c r="P153" s="225">
        <f t="shared" si="5"/>
        <v>848360</v>
      </c>
      <c r="Q153" s="236"/>
      <c r="R153" s="237">
        <v>3948081</v>
      </c>
      <c r="S153" s="238">
        <v>-187514</v>
      </c>
      <c r="T153" s="238">
        <v>3760567</v>
      </c>
    </row>
    <row r="154" spans="1:20">
      <c r="A154" s="231">
        <v>91317</v>
      </c>
      <c r="B154" s="232" t="s">
        <v>867</v>
      </c>
      <c r="C154" s="92">
        <v>1.016E-4</v>
      </c>
      <c r="D154" s="92">
        <v>9.0500000000000004E-5</v>
      </c>
      <c r="E154" s="236">
        <v>155217</v>
      </c>
      <c r="F154" s="236"/>
      <c r="G154" s="237">
        <v>8942</v>
      </c>
      <c r="H154" s="225">
        <v>37687</v>
      </c>
      <c r="I154" s="237">
        <v>22167</v>
      </c>
      <c r="J154" s="236">
        <v>13159</v>
      </c>
      <c r="K154" s="225">
        <f t="shared" si="4"/>
        <v>81955</v>
      </c>
      <c r="L154" s="236"/>
      <c r="M154" s="237">
        <v>4394</v>
      </c>
      <c r="N154" s="237">
        <v>0</v>
      </c>
      <c r="O154" s="236">
        <v>1760</v>
      </c>
      <c r="P154" s="225">
        <f t="shared" si="5"/>
        <v>6154</v>
      </c>
      <c r="Q154" s="236"/>
      <c r="R154" s="237">
        <v>52308</v>
      </c>
      <c r="S154" s="238">
        <v>2823</v>
      </c>
      <c r="T154" s="238">
        <f>55132-1</f>
        <v>55131</v>
      </c>
    </row>
    <row r="155" spans="1:20">
      <c r="A155" s="231">
        <v>91321</v>
      </c>
      <c r="B155" s="232" t="s">
        <v>868</v>
      </c>
      <c r="C155" s="92">
        <v>4.2799999999999997E-5</v>
      </c>
      <c r="D155" s="92">
        <v>4.1999999999999998E-5</v>
      </c>
      <c r="E155" s="236">
        <v>65387</v>
      </c>
      <c r="F155" s="236"/>
      <c r="G155" s="237">
        <v>3767</v>
      </c>
      <c r="H155" s="225">
        <v>15876</v>
      </c>
      <c r="I155" s="237">
        <v>9338</v>
      </c>
      <c r="J155" s="236">
        <v>18992</v>
      </c>
      <c r="K155" s="225">
        <f t="shared" si="4"/>
        <v>47973</v>
      </c>
      <c r="L155" s="236"/>
      <c r="M155" s="237">
        <v>1851</v>
      </c>
      <c r="N155" s="237">
        <v>0</v>
      </c>
      <c r="O155" s="236">
        <v>3760</v>
      </c>
      <c r="P155" s="225">
        <f t="shared" si="5"/>
        <v>5611</v>
      </c>
      <c r="Q155" s="236"/>
      <c r="R155" s="237">
        <v>22035</v>
      </c>
      <c r="S155" s="238">
        <v>3437</v>
      </c>
      <c r="T155" s="238">
        <v>25472</v>
      </c>
    </row>
    <row r="156" spans="1:20">
      <c r="A156" s="231">
        <v>91327</v>
      </c>
      <c r="B156" s="232" t="s">
        <v>869</v>
      </c>
      <c r="C156" s="92">
        <v>8.1999999999999994E-6</v>
      </c>
      <c r="D156" s="92">
        <v>1.03E-5</v>
      </c>
      <c r="E156" s="236">
        <v>12527</v>
      </c>
      <c r="F156" s="236"/>
      <c r="G156" s="237">
        <v>722</v>
      </c>
      <c r="H156" s="225">
        <v>3042</v>
      </c>
      <c r="I156" s="237">
        <v>1789</v>
      </c>
      <c r="J156" s="236">
        <v>36</v>
      </c>
      <c r="K156" s="225">
        <f t="shared" si="4"/>
        <v>5589</v>
      </c>
      <c r="L156" s="236"/>
      <c r="M156" s="237">
        <v>355</v>
      </c>
      <c r="N156" s="237">
        <v>0</v>
      </c>
      <c r="O156" s="236">
        <v>1563</v>
      </c>
      <c r="P156" s="225">
        <f t="shared" si="5"/>
        <v>1918</v>
      </c>
      <c r="Q156" s="236"/>
      <c r="R156" s="237">
        <v>4222</v>
      </c>
      <c r="S156" s="238">
        <v>-481</v>
      </c>
      <c r="T156" s="238">
        <v>3741</v>
      </c>
    </row>
    <row r="157" spans="1:20">
      <c r="A157" s="231">
        <v>91331</v>
      </c>
      <c r="B157" s="232" t="s">
        <v>870</v>
      </c>
      <c r="C157" s="92">
        <v>3.0033E-3</v>
      </c>
      <c r="D157" s="92">
        <v>2.8509999999999998E-3</v>
      </c>
      <c r="E157" s="236">
        <v>4588210</v>
      </c>
      <c r="F157" s="236"/>
      <c r="G157" s="237">
        <v>264323</v>
      </c>
      <c r="H157" s="225">
        <v>1114023</v>
      </c>
      <c r="I157" s="237">
        <v>655260</v>
      </c>
      <c r="J157" s="236">
        <v>0</v>
      </c>
      <c r="K157" s="225">
        <f t="shared" si="4"/>
        <v>2033606</v>
      </c>
      <c r="L157" s="236"/>
      <c r="M157" s="237">
        <v>129878</v>
      </c>
      <c r="N157" s="237">
        <v>0</v>
      </c>
      <c r="O157" s="236">
        <v>342951</v>
      </c>
      <c r="P157" s="225">
        <f t="shared" si="5"/>
        <v>472829</v>
      </c>
      <c r="Q157" s="236"/>
      <c r="R157" s="237">
        <v>1546231</v>
      </c>
      <c r="S157" s="238">
        <v>-176510</v>
      </c>
      <c r="T157" s="238">
        <v>1369721</v>
      </c>
    </row>
    <row r="158" spans="1:20">
      <c r="A158" s="231">
        <v>91341</v>
      </c>
      <c r="B158" s="232" t="s">
        <v>871</v>
      </c>
      <c r="C158" s="92">
        <v>2.51E-5</v>
      </c>
      <c r="D158" s="92">
        <v>1.4399999999999999E-5</v>
      </c>
      <c r="E158" s="236">
        <v>38346</v>
      </c>
      <c r="F158" s="236"/>
      <c r="G158" s="237">
        <v>2209</v>
      </c>
      <c r="H158" s="225">
        <v>9311</v>
      </c>
      <c r="I158" s="237">
        <v>5476</v>
      </c>
      <c r="J158" s="236">
        <v>5566</v>
      </c>
      <c r="K158" s="225">
        <f t="shared" si="4"/>
        <v>22562</v>
      </c>
      <c r="L158" s="236"/>
      <c r="M158" s="237">
        <v>1085</v>
      </c>
      <c r="N158" s="237">
        <v>0</v>
      </c>
      <c r="O158" s="236">
        <v>1759</v>
      </c>
      <c r="P158" s="225">
        <f t="shared" si="5"/>
        <v>2844</v>
      </c>
      <c r="Q158" s="236"/>
      <c r="R158" s="237">
        <v>12923</v>
      </c>
      <c r="S158" s="238">
        <v>939</v>
      </c>
      <c r="T158" s="238">
        <f>13861+1</f>
        <v>13862</v>
      </c>
    </row>
    <row r="159" spans="1:20">
      <c r="A159" s="231">
        <v>91401</v>
      </c>
      <c r="B159" s="232" t="s">
        <v>872</v>
      </c>
      <c r="C159" s="92">
        <v>3.5885000000000001E-3</v>
      </c>
      <c r="D159" s="92">
        <v>3.6841E-3</v>
      </c>
      <c r="E159" s="236">
        <v>5482234</v>
      </c>
      <c r="F159" s="236"/>
      <c r="G159" s="237">
        <v>315827</v>
      </c>
      <c r="H159" s="225">
        <v>1331093</v>
      </c>
      <c r="I159" s="237">
        <v>782939</v>
      </c>
      <c r="J159" s="236">
        <v>17446</v>
      </c>
      <c r="K159" s="225">
        <f t="shared" si="4"/>
        <v>2447305</v>
      </c>
      <c r="L159" s="236"/>
      <c r="M159" s="237">
        <v>155185</v>
      </c>
      <c r="N159" s="237">
        <v>0</v>
      </c>
      <c r="O159" s="236">
        <v>142927</v>
      </c>
      <c r="P159" s="225">
        <f t="shared" si="5"/>
        <v>298112</v>
      </c>
      <c r="Q159" s="236"/>
      <c r="R159" s="237">
        <v>1847518</v>
      </c>
      <c r="S159" s="238">
        <v>-23160</v>
      </c>
      <c r="T159" s="238">
        <v>1824358</v>
      </c>
    </row>
    <row r="160" spans="1:20">
      <c r="A160" s="231">
        <v>91411</v>
      </c>
      <c r="B160" s="232" t="s">
        <v>873</v>
      </c>
      <c r="C160" s="92">
        <v>3.7829999999999998E-4</v>
      </c>
      <c r="D160" s="92">
        <v>3.5379999999999998E-4</v>
      </c>
      <c r="E160" s="236">
        <v>577938</v>
      </c>
      <c r="F160" s="236"/>
      <c r="G160" s="237">
        <v>33295</v>
      </c>
      <c r="H160" s="225">
        <v>140324</v>
      </c>
      <c r="I160" s="237">
        <v>82537</v>
      </c>
      <c r="J160" s="236">
        <v>28581</v>
      </c>
      <c r="K160" s="225">
        <f t="shared" si="4"/>
        <v>284737</v>
      </c>
      <c r="L160" s="236"/>
      <c r="M160" s="237">
        <v>16360</v>
      </c>
      <c r="N160" s="237">
        <v>0</v>
      </c>
      <c r="O160" s="236">
        <v>1394</v>
      </c>
      <c r="P160" s="225">
        <f t="shared" si="5"/>
        <v>17754</v>
      </c>
      <c r="Q160" s="236"/>
      <c r="R160" s="237">
        <v>194765</v>
      </c>
      <c r="S160" s="238">
        <v>7766</v>
      </c>
      <c r="T160" s="238">
        <v>202531</v>
      </c>
    </row>
    <row r="161" spans="1:20">
      <c r="A161" s="231">
        <v>91417</v>
      </c>
      <c r="B161" s="232" t="s">
        <v>874</v>
      </c>
      <c r="C161" s="92">
        <v>9.3000000000000007E-6</v>
      </c>
      <c r="D161" s="92">
        <v>9.9000000000000001E-6</v>
      </c>
      <c r="E161" s="236">
        <v>14208</v>
      </c>
      <c r="F161" s="236"/>
      <c r="G161" s="237">
        <v>819</v>
      </c>
      <c r="H161" s="225">
        <v>3450</v>
      </c>
      <c r="I161" s="237">
        <v>2029</v>
      </c>
      <c r="J161" s="236">
        <v>2388</v>
      </c>
      <c r="K161" s="225">
        <f t="shared" si="4"/>
        <v>8686</v>
      </c>
      <c r="L161" s="236"/>
      <c r="M161" s="237">
        <v>402</v>
      </c>
      <c r="N161" s="237">
        <v>0</v>
      </c>
      <c r="O161" s="236">
        <v>0</v>
      </c>
      <c r="P161" s="225">
        <f t="shared" si="5"/>
        <v>402</v>
      </c>
      <c r="Q161" s="236"/>
      <c r="R161" s="237">
        <v>4788</v>
      </c>
      <c r="S161" s="238">
        <v>1814</v>
      </c>
      <c r="T161" s="238">
        <v>6602</v>
      </c>
    </row>
    <row r="162" spans="1:20">
      <c r="A162" s="231">
        <v>91421</v>
      </c>
      <c r="B162" s="232" t="s">
        <v>875</v>
      </c>
      <c r="C162" s="92">
        <v>6.9499999999999995E-5</v>
      </c>
      <c r="D162" s="92">
        <v>7.0400000000000004E-5</v>
      </c>
      <c r="E162" s="236">
        <v>106177</v>
      </c>
      <c r="F162" s="236"/>
      <c r="G162" s="237">
        <v>6117</v>
      </c>
      <c r="H162" s="225">
        <v>25779</v>
      </c>
      <c r="I162" s="237">
        <v>15164</v>
      </c>
      <c r="J162" s="236">
        <v>4339</v>
      </c>
      <c r="K162" s="225">
        <f t="shared" si="4"/>
        <v>51399</v>
      </c>
      <c r="L162" s="236"/>
      <c r="M162" s="237">
        <v>3006</v>
      </c>
      <c r="N162" s="237">
        <v>0</v>
      </c>
      <c r="O162" s="236">
        <v>3143</v>
      </c>
      <c r="P162" s="225">
        <f t="shared" si="5"/>
        <v>6149</v>
      </c>
      <c r="Q162" s="236"/>
      <c r="R162" s="237">
        <v>35782</v>
      </c>
      <c r="S162" s="238">
        <v>365</v>
      </c>
      <c r="T162" s="238">
        <v>36147</v>
      </c>
    </row>
    <row r="163" spans="1:20">
      <c r="A163" s="231">
        <v>91423</v>
      </c>
      <c r="B163" s="232" t="s">
        <v>876</v>
      </c>
      <c r="C163" s="92">
        <v>5.38E-5</v>
      </c>
      <c r="D163" s="92">
        <v>3.8699999999999999E-5</v>
      </c>
      <c r="E163" s="236">
        <v>82191</v>
      </c>
      <c r="F163" s="236"/>
      <c r="G163" s="237">
        <v>4735</v>
      </c>
      <c r="H163" s="225">
        <v>19956</v>
      </c>
      <c r="I163" s="237">
        <v>11738</v>
      </c>
      <c r="J163" s="236">
        <v>13454</v>
      </c>
      <c r="K163" s="225">
        <f t="shared" si="4"/>
        <v>49883</v>
      </c>
      <c r="L163" s="236"/>
      <c r="M163" s="237">
        <v>2327</v>
      </c>
      <c r="N163" s="237">
        <v>0</v>
      </c>
      <c r="O163" s="236">
        <v>2026</v>
      </c>
      <c r="P163" s="225">
        <f t="shared" si="5"/>
        <v>4353</v>
      </c>
      <c r="Q163" s="236"/>
      <c r="R163" s="237">
        <v>27699</v>
      </c>
      <c r="S163" s="238">
        <v>3208</v>
      </c>
      <c r="T163" s="238">
        <f>30906+1</f>
        <v>30907</v>
      </c>
    </row>
    <row r="164" spans="1:20">
      <c r="A164" s="231">
        <v>91431</v>
      </c>
      <c r="B164" s="232" t="s">
        <v>877</v>
      </c>
      <c r="C164" s="92">
        <v>1.562E-4</v>
      </c>
      <c r="D164" s="92">
        <v>1.417E-4</v>
      </c>
      <c r="E164" s="236">
        <v>238630</v>
      </c>
      <c r="F164" s="236"/>
      <c r="G164" s="237">
        <v>13747</v>
      </c>
      <c r="H164" s="225">
        <v>57939</v>
      </c>
      <c r="I164" s="237">
        <v>34080</v>
      </c>
      <c r="J164" s="236">
        <v>17694</v>
      </c>
      <c r="K164" s="225">
        <f t="shared" si="4"/>
        <v>123460</v>
      </c>
      <c r="L164" s="236"/>
      <c r="M164" s="237">
        <v>6755</v>
      </c>
      <c r="N164" s="237">
        <v>0</v>
      </c>
      <c r="O164" s="236">
        <v>1767</v>
      </c>
      <c r="P164" s="225">
        <f t="shared" si="5"/>
        <v>8522</v>
      </c>
      <c r="Q164" s="236"/>
      <c r="R164" s="237">
        <v>80419</v>
      </c>
      <c r="S164" s="238">
        <v>4026</v>
      </c>
      <c r="T164" s="238">
        <v>84445</v>
      </c>
    </row>
    <row r="165" spans="1:20">
      <c r="A165" s="231">
        <v>91441</v>
      </c>
      <c r="B165" s="232" t="s">
        <v>878</v>
      </c>
      <c r="C165" s="92">
        <v>9.5140000000000003E-4</v>
      </c>
      <c r="D165" s="92">
        <v>7.3800000000000005E-4</v>
      </c>
      <c r="E165" s="236">
        <v>1453476</v>
      </c>
      <c r="F165" s="236"/>
      <c r="G165" s="237">
        <v>83734</v>
      </c>
      <c r="H165" s="225">
        <v>352905</v>
      </c>
      <c r="I165" s="237">
        <v>207576</v>
      </c>
      <c r="J165" s="236">
        <v>46954</v>
      </c>
      <c r="K165" s="225">
        <f t="shared" si="4"/>
        <v>691169</v>
      </c>
      <c r="L165" s="236"/>
      <c r="M165" s="237">
        <v>41143</v>
      </c>
      <c r="N165" s="237">
        <v>0</v>
      </c>
      <c r="O165" s="236">
        <v>103301</v>
      </c>
      <c r="P165" s="225">
        <f t="shared" si="5"/>
        <v>144444</v>
      </c>
      <c r="Q165" s="236"/>
      <c r="R165" s="237">
        <v>489823</v>
      </c>
      <c r="S165" s="238">
        <v>-39929</v>
      </c>
      <c r="T165" s="238">
        <v>449894</v>
      </c>
    </row>
    <row r="166" spans="1:20">
      <c r="A166" s="231">
        <v>91451</v>
      </c>
      <c r="B166" s="232" t="s">
        <v>879</v>
      </c>
      <c r="C166" s="92">
        <v>1.4760000000000001E-3</v>
      </c>
      <c r="D166" s="92">
        <v>1.5629000000000001E-3</v>
      </c>
      <c r="E166" s="236">
        <v>2254919</v>
      </c>
      <c r="F166" s="236"/>
      <c r="G166" s="237">
        <v>129904</v>
      </c>
      <c r="H166" s="225">
        <v>547497</v>
      </c>
      <c r="I166" s="237">
        <v>322034</v>
      </c>
      <c r="J166" s="236">
        <v>0</v>
      </c>
      <c r="K166" s="225">
        <f t="shared" si="4"/>
        <v>999435</v>
      </c>
      <c r="L166" s="236"/>
      <c r="M166" s="237">
        <v>63830</v>
      </c>
      <c r="N166" s="237">
        <v>0</v>
      </c>
      <c r="O166" s="236">
        <v>199933</v>
      </c>
      <c r="P166" s="225">
        <f t="shared" si="5"/>
        <v>263763</v>
      </c>
      <c r="Q166" s="236"/>
      <c r="R166" s="237">
        <v>759910</v>
      </c>
      <c r="S166" s="238">
        <v>-85072</v>
      </c>
      <c r="T166" s="238">
        <v>674838</v>
      </c>
    </row>
    <row r="167" spans="1:20">
      <c r="A167" s="231">
        <v>91457</v>
      </c>
      <c r="B167" s="232" t="s">
        <v>880</v>
      </c>
      <c r="C167" s="92">
        <v>2.23E-5</v>
      </c>
      <c r="D167" s="92">
        <v>2.58E-5</v>
      </c>
      <c r="E167" s="236">
        <v>34068</v>
      </c>
      <c r="F167" s="236"/>
      <c r="G167" s="237">
        <v>1963</v>
      </c>
      <c r="H167" s="225">
        <v>8272</v>
      </c>
      <c r="I167" s="237">
        <v>4865</v>
      </c>
      <c r="J167" s="236">
        <v>30858</v>
      </c>
      <c r="K167" s="225">
        <f t="shared" si="4"/>
        <v>45958</v>
      </c>
      <c r="L167" s="236"/>
      <c r="M167" s="237">
        <v>964</v>
      </c>
      <c r="N167" s="237">
        <v>0</v>
      </c>
      <c r="O167" s="236">
        <v>0</v>
      </c>
      <c r="P167" s="225">
        <f t="shared" si="5"/>
        <v>964</v>
      </c>
      <c r="Q167" s="236"/>
      <c r="R167" s="237">
        <v>11481</v>
      </c>
      <c r="S167" s="238">
        <v>10929</v>
      </c>
      <c r="T167" s="238">
        <v>22410</v>
      </c>
    </row>
    <row r="168" spans="1:20">
      <c r="A168" s="231">
        <v>91461</v>
      </c>
      <c r="B168" s="232" t="s">
        <v>881</v>
      </c>
      <c r="C168" s="92">
        <v>9.3999999999999998E-6</v>
      </c>
      <c r="D168" s="92">
        <v>8.6999999999999997E-6</v>
      </c>
      <c r="E168" s="236">
        <v>14361</v>
      </c>
      <c r="F168" s="236"/>
      <c r="G168" s="237">
        <v>827</v>
      </c>
      <c r="H168" s="225">
        <v>3487</v>
      </c>
      <c r="I168" s="237">
        <v>2051</v>
      </c>
      <c r="J168" s="236">
        <v>2052</v>
      </c>
      <c r="K168" s="225">
        <f t="shared" si="4"/>
        <v>8417</v>
      </c>
      <c r="L168" s="236"/>
      <c r="M168" s="237">
        <v>407</v>
      </c>
      <c r="N168" s="237">
        <v>0</v>
      </c>
      <c r="O168" s="236">
        <v>637</v>
      </c>
      <c r="P168" s="225">
        <f t="shared" si="5"/>
        <v>1044</v>
      </c>
      <c r="Q168" s="236"/>
      <c r="R168" s="237">
        <v>4840</v>
      </c>
      <c r="S168" s="238">
        <v>945</v>
      </c>
      <c r="T168" s="238">
        <f>5784+1</f>
        <v>5785</v>
      </c>
    </row>
    <row r="169" spans="1:20">
      <c r="A169" s="231">
        <v>91501</v>
      </c>
      <c r="B169" s="232" t="s">
        <v>882</v>
      </c>
      <c r="C169" s="92">
        <v>4.9700000000000005E-4</v>
      </c>
      <c r="D169" s="92">
        <v>5.1099999999999995E-4</v>
      </c>
      <c r="E169" s="236">
        <v>759278</v>
      </c>
      <c r="F169" s="236"/>
      <c r="G169" s="237">
        <v>43741</v>
      </c>
      <c r="H169" s="225">
        <v>184353</v>
      </c>
      <c r="I169" s="237">
        <v>108435</v>
      </c>
      <c r="J169" s="236">
        <v>24430</v>
      </c>
      <c r="K169" s="225">
        <f t="shared" si="4"/>
        <v>360959</v>
      </c>
      <c r="L169" s="236"/>
      <c r="M169" s="237">
        <v>21493</v>
      </c>
      <c r="N169" s="237">
        <v>0</v>
      </c>
      <c r="O169" s="236">
        <v>6922</v>
      </c>
      <c r="P169" s="225">
        <f t="shared" si="5"/>
        <v>28415</v>
      </c>
      <c r="Q169" s="236"/>
      <c r="R169" s="237">
        <v>255877</v>
      </c>
      <c r="S169" s="238">
        <v>15592</v>
      </c>
      <c r="T169" s="238">
        <v>271469</v>
      </c>
    </row>
    <row r="170" spans="1:20">
      <c r="A170" s="231">
        <v>91504</v>
      </c>
      <c r="B170" s="232" t="s">
        <v>883</v>
      </c>
      <c r="C170" s="92">
        <v>9.7000000000000003E-6</v>
      </c>
      <c r="D170" s="92">
        <v>1.0200000000000001E-5</v>
      </c>
      <c r="E170" s="236">
        <v>14819</v>
      </c>
      <c r="F170" s="236"/>
      <c r="G170" s="237">
        <v>854</v>
      </c>
      <c r="H170" s="225">
        <v>3599</v>
      </c>
      <c r="I170" s="237">
        <v>2116</v>
      </c>
      <c r="J170" s="236">
        <v>5620</v>
      </c>
      <c r="K170" s="225">
        <f t="shared" si="4"/>
        <v>12189</v>
      </c>
      <c r="L170" s="236"/>
      <c r="M170" s="237">
        <v>419</v>
      </c>
      <c r="N170" s="237">
        <v>0</v>
      </c>
      <c r="O170" s="236">
        <v>0</v>
      </c>
      <c r="P170" s="225">
        <f t="shared" si="5"/>
        <v>419</v>
      </c>
      <c r="Q170" s="236"/>
      <c r="R170" s="237">
        <v>4994</v>
      </c>
      <c r="S170" s="238">
        <v>2602</v>
      </c>
      <c r="T170" s="238">
        <v>7596</v>
      </c>
    </row>
    <row r="171" spans="1:20">
      <c r="A171" s="231">
        <v>91601</v>
      </c>
      <c r="B171" s="232" t="s">
        <v>884</v>
      </c>
      <c r="C171" s="92">
        <v>2.8040000000000001E-3</v>
      </c>
      <c r="D171" s="92">
        <v>2.9077999999999999E-3</v>
      </c>
      <c r="E171" s="236">
        <v>4283735</v>
      </c>
      <c r="F171" s="236"/>
      <c r="G171" s="237">
        <v>246783</v>
      </c>
      <c r="H171" s="225">
        <v>1040096</v>
      </c>
      <c r="I171" s="237">
        <v>611777</v>
      </c>
      <c r="J171" s="236">
        <v>168530</v>
      </c>
      <c r="K171" s="225">
        <f t="shared" si="4"/>
        <v>2067186</v>
      </c>
      <c r="L171" s="236"/>
      <c r="M171" s="237">
        <v>121259</v>
      </c>
      <c r="N171" s="237">
        <v>0</v>
      </c>
      <c r="O171" s="236">
        <v>40367</v>
      </c>
      <c r="P171" s="225">
        <f t="shared" si="5"/>
        <v>161626</v>
      </c>
      <c r="Q171" s="236"/>
      <c r="R171" s="237">
        <v>1443623</v>
      </c>
      <c r="S171" s="238">
        <v>76132</v>
      </c>
      <c r="T171" s="238">
        <v>1519755</v>
      </c>
    </row>
    <row r="172" spans="1:20">
      <c r="A172" s="231">
        <v>91604</v>
      </c>
      <c r="B172" s="232" t="s">
        <v>885</v>
      </c>
      <c r="C172" s="92">
        <v>8.8499999999999996E-5</v>
      </c>
      <c r="D172" s="92">
        <v>8.6799999999999996E-5</v>
      </c>
      <c r="E172" s="236">
        <v>135203</v>
      </c>
      <c r="F172" s="236"/>
      <c r="G172" s="237">
        <v>7789</v>
      </c>
      <c r="H172" s="225">
        <v>32827</v>
      </c>
      <c r="I172" s="237">
        <v>19309</v>
      </c>
      <c r="J172" s="236">
        <v>20977</v>
      </c>
      <c r="K172" s="225">
        <f t="shared" si="4"/>
        <v>80902</v>
      </c>
      <c r="L172" s="236"/>
      <c r="M172" s="237">
        <v>3827</v>
      </c>
      <c r="N172" s="237">
        <v>0</v>
      </c>
      <c r="O172" s="236">
        <v>0</v>
      </c>
      <c r="P172" s="225">
        <f t="shared" si="5"/>
        <v>3827</v>
      </c>
      <c r="Q172" s="236"/>
      <c r="R172" s="237">
        <v>45564</v>
      </c>
      <c r="S172" s="238">
        <v>7680</v>
      </c>
      <c r="T172" s="238">
        <v>53244</v>
      </c>
    </row>
    <row r="173" spans="1:20">
      <c r="A173" s="231">
        <v>91608</v>
      </c>
      <c r="B173" s="232" t="s">
        <v>886</v>
      </c>
      <c r="C173" s="92">
        <v>1.5349999999999999E-4</v>
      </c>
      <c r="D173" s="92">
        <v>1.208E-4</v>
      </c>
      <c r="E173" s="236">
        <v>234505</v>
      </c>
      <c r="F173" s="236"/>
      <c r="G173" s="237">
        <v>13510</v>
      </c>
      <c r="H173" s="225">
        <v>56938</v>
      </c>
      <c r="I173" s="237">
        <v>33491</v>
      </c>
      <c r="J173" s="236">
        <v>2430</v>
      </c>
      <c r="K173" s="225">
        <f t="shared" si="4"/>
        <v>106369</v>
      </c>
      <c r="L173" s="236"/>
      <c r="M173" s="237">
        <v>6638</v>
      </c>
      <c r="N173" s="237">
        <v>0</v>
      </c>
      <c r="O173" s="236">
        <v>28763</v>
      </c>
      <c r="P173" s="225">
        <f t="shared" si="5"/>
        <v>35401</v>
      </c>
      <c r="Q173" s="236"/>
      <c r="R173" s="237">
        <v>79029</v>
      </c>
      <c r="S173" s="238">
        <v>-12888</v>
      </c>
      <c r="T173" s="238">
        <f>66140+1</f>
        <v>66141</v>
      </c>
    </row>
    <row r="174" spans="1:20">
      <c r="A174" s="231">
        <v>91611</v>
      </c>
      <c r="B174" s="232" t="s">
        <v>887</v>
      </c>
      <c r="C174" s="92">
        <v>1.4708E-3</v>
      </c>
      <c r="D174" s="92">
        <v>1.4345E-3</v>
      </c>
      <c r="E174" s="236">
        <v>2246975</v>
      </c>
      <c r="F174" s="236"/>
      <c r="G174" s="237">
        <v>129447</v>
      </c>
      <c r="H174" s="225">
        <v>545569</v>
      </c>
      <c r="I174" s="237">
        <v>320899</v>
      </c>
      <c r="J174" s="236">
        <v>19333</v>
      </c>
      <c r="K174" s="225">
        <f t="shared" si="4"/>
        <v>1015248</v>
      </c>
      <c r="L174" s="236"/>
      <c r="M174" s="237">
        <v>63605</v>
      </c>
      <c r="N174" s="237">
        <v>0</v>
      </c>
      <c r="O174" s="236">
        <v>53335</v>
      </c>
      <c r="P174" s="225">
        <f t="shared" si="5"/>
        <v>116940</v>
      </c>
      <c r="Q174" s="236"/>
      <c r="R174" s="237">
        <v>757233</v>
      </c>
      <c r="S174" s="238">
        <v>2483</v>
      </c>
      <c r="T174" s="238">
        <f>759715+1</f>
        <v>759716</v>
      </c>
    </row>
    <row r="175" spans="1:20">
      <c r="A175" s="231">
        <v>91621</v>
      </c>
      <c r="B175" s="232" t="s">
        <v>888</v>
      </c>
      <c r="C175" s="92">
        <v>2.7050000000000002E-4</v>
      </c>
      <c r="D175" s="92">
        <v>2.5240000000000001E-4</v>
      </c>
      <c r="E175" s="236">
        <v>413249</v>
      </c>
      <c r="F175" s="236"/>
      <c r="G175" s="237">
        <v>23807</v>
      </c>
      <c r="H175" s="225">
        <v>100337</v>
      </c>
      <c r="I175" s="237">
        <v>59018</v>
      </c>
      <c r="J175" s="236">
        <v>13260</v>
      </c>
      <c r="K175" s="225">
        <f t="shared" si="4"/>
        <v>196422</v>
      </c>
      <c r="L175" s="236"/>
      <c r="M175" s="237">
        <v>11698</v>
      </c>
      <c r="N175" s="237">
        <v>0</v>
      </c>
      <c r="O175" s="236">
        <v>14620</v>
      </c>
      <c r="P175" s="225">
        <f t="shared" si="5"/>
        <v>26318</v>
      </c>
      <c r="Q175" s="236"/>
      <c r="R175" s="237">
        <v>139265</v>
      </c>
      <c r="S175" s="238">
        <v>-4185</v>
      </c>
      <c r="T175" s="238">
        <v>135080</v>
      </c>
    </row>
    <row r="176" spans="1:20">
      <c r="A176" s="231">
        <v>91631</v>
      </c>
      <c r="B176" s="232" t="s">
        <v>889</v>
      </c>
      <c r="C176" s="92">
        <v>5.2249999999999996E-4</v>
      </c>
      <c r="D176" s="92">
        <v>5.3870000000000003E-4</v>
      </c>
      <c r="E176" s="236">
        <v>798235</v>
      </c>
      <c r="F176" s="236"/>
      <c r="G176" s="237">
        <v>45986</v>
      </c>
      <c r="H176" s="225">
        <v>193812</v>
      </c>
      <c r="I176" s="237">
        <v>113999</v>
      </c>
      <c r="J176" s="236">
        <v>0</v>
      </c>
      <c r="K176" s="225">
        <f t="shared" si="4"/>
        <v>353797</v>
      </c>
      <c r="L176" s="236"/>
      <c r="M176" s="237">
        <v>22596</v>
      </c>
      <c r="N176" s="237">
        <v>0</v>
      </c>
      <c r="O176" s="236">
        <v>52272</v>
      </c>
      <c r="P176" s="225">
        <f t="shared" si="5"/>
        <v>74868</v>
      </c>
      <c r="Q176" s="236"/>
      <c r="R176" s="237">
        <v>269006</v>
      </c>
      <c r="S176" s="238">
        <v>-16747</v>
      </c>
      <c r="T176" s="238">
        <v>252259</v>
      </c>
    </row>
    <row r="177" spans="1:20">
      <c r="A177" s="231">
        <v>91633</v>
      </c>
      <c r="B177" s="232" t="s">
        <v>890</v>
      </c>
      <c r="C177" s="92">
        <v>2.51E-5</v>
      </c>
      <c r="D177" s="92">
        <v>2.3799999999999999E-5</v>
      </c>
      <c r="E177" s="236">
        <v>38346</v>
      </c>
      <c r="F177" s="236"/>
      <c r="G177" s="237">
        <v>2209</v>
      </c>
      <c r="H177" s="225">
        <v>9311</v>
      </c>
      <c r="I177" s="237">
        <v>5476</v>
      </c>
      <c r="J177" s="236">
        <v>1513</v>
      </c>
      <c r="K177" s="225">
        <f t="shared" si="4"/>
        <v>18509</v>
      </c>
      <c r="L177" s="236"/>
      <c r="M177" s="237">
        <v>1085</v>
      </c>
      <c r="N177" s="237">
        <v>0</v>
      </c>
      <c r="O177" s="236">
        <v>3215</v>
      </c>
      <c r="P177" s="225">
        <f t="shared" si="5"/>
        <v>4300</v>
      </c>
      <c r="Q177" s="236"/>
      <c r="R177" s="237">
        <v>12923</v>
      </c>
      <c r="S177" s="238">
        <v>-1367</v>
      </c>
      <c r="T177" s="238">
        <f>11555+1</f>
        <v>11556</v>
      </c>
    </row>
    <row r="178" spans="1:20">
      <c r="A178" s="231">
        <v>91641</v>
      </c>
      <c r="B178" s="232" t="s">
        <v>891</v>
      </c>
      <c r="C178" s="92">
        <v>3.1139999999999998E-4</v>
      </c>
      <c r="D178" s="92">
        <v>2.742E-4</v>
      </c>
      <c r="E178" s="236">
        <v>475733</v>
      </c>
      <c r="F178" s="236"/>
      <c r="G178" s="237">
        <v>27407</v>
      </c>
      <c r="H178" s="225">
        <v>115509</v>
      </c>
      <c r="I178" s="237">
        <v>67941</v>
      </c>
      <c r="J178" s="236">
        <v>0</v>
      </c>
      <c r="K178" s="225">
        <f t="shared" si="4"/>
        <v>210857</v>
      </c>
      <c r="L178" s="236"/>
      <c r="M178" s="237">
        <v>13466</v>
      </c>
      <c r="N178" s="237">
        <v>0</v>
      </c>
      <c r="O178" s="236">
        <v>55139</v>
      </c>
      <c r="P178" s="225">
        <f t="shared" si="5"/>
        <v>68605</v>
      </c>
      <c r="Q178" s="236"/>
      <c r="R178" s="237">
        <v>160322</v>
      </c>
      <c r="S178" s="238">
        <v>-25877</v>
      </c>
      <c r="T178" s="238">
        <v>134445</v>
      </c>
    </row>
    <row r="179" spans="1:20">
      <c r="A179" s="231">
        <v>91651</v>
      </c>
      <c r="B179" s="232" t="s">
        <v>892</v>
      </c>
      <c r="C179" s="92">
        <v>4.4440000000000001E-4</v>
      </c>
      <c r="D179" s="92">
        <v>4.6099999999999998E-4</v>
      </c>
      <c r="E179" s="236">
        <v>678920</v>
      </c>
      <c r="F179" s="236"/>
      <c r="G179" s="237">
        <v>39112</v>
      </c>
      <c r="H179" s="225">
        <v>164843</v>
      </c>
      <c r="I179" s="237">
        <v>96959</v>
      </c>
      <c r="J179" s="236">
        <v>0</v>
      </c>
      <c r="K179" s="225">
        <f t="shared" si="4"/>
        <v>300914</v>
      </c>
      <c r="L179" s="236"/>
      <c r="M179" s="237">
        <v>19218</v>
      </c>
      <c r="N179" s="237">
        <v>0</v>
      </c>
      <c r="O179" s="236">
        <v>30696</v>
      </c>
      <c r="P179" s="225">
        <f t="shared" si="5"/>
        <v>49914</v>
      </c>
      <c r="Q179" s="236"/>
      <c r="R179" s="237">
        <v>228797</v>
      </c>
      <c r="S179" s="238">
        <v>-12407</v>
      </c>
      <c r="T179" s="238">
        <v>216390</v>
      </c>
    </row>
    <row r="180" spans="1:20">
      <c r="A180" s="231">
        <v>91661</v>
      </c>
      <c r="B180" s="232" t="s">
        <v>893</v>
      </c>
      <c r="C180" s="92">
        <v>1.673E-4</v>
      </c>
      <c r="D180" s="92">
        <v>1.6750000000000001E-4</v>
      </c>
      <c r="E180" s="236">
        <v>255588</v>
      </c>
      <c r="F180" s="236"/>
      <c r="G180" s="237">
        <v>14724</v>
      </c>
      <c r="H180" s="225">
        <v>62057</v>
      </c>
      <c r="I180" s="237">
        <v>36502</v>
      </c>
      <c r="J180" s="236">
        <v>0</v>
      </c>
      <c r="K180" s="225">
        <f t="shared" si="4"/>
        <v>113283</v>
      </c>
      <c r="L180" s="236"/>
      <c r="M180" s="237">
        <v>7235</v>
      </c>
      <c r="N180" s="237">
        <v>0</v>
      </c>
      <c r="O180" s="236">
        <v>45519</v>
      </c>
      <c r="P180" s="225">
        <f t="shared" si="5"/>
        <v>52754</v>
      </c>
      <c r="Q180" s="236"/>
      <c r="R180" s="237">
        <v>86133</v>
      </c>
      <c r="S180" s="238">
        <v>-16188</v>
      </c>
      <c r="T180" s="238">
        <v>69945</v>
      </c>
    </row>
    <row r="181" spans="1:20">
      <c r="A181" s="231">
        <v>91671</v>
      </c>
      <c r="B181" s="232" t="s">
        <v>894</v>
      </c>
      <c r="C181" s="92">
        <v>9.6700000000000006E-5</v>
      </c>
      <c r="D181" s="92">
        <v>9.7600000000000001E-5</v>
      </c>
      <c r="E181" s="236">
        <v>147731</v>
      </c>
      <c r="F181" s="236"/>
      <c r="G181" s="237">
        <v>8511</v>
      </c>
      <c r="H181" s="225">
        <v>35869</v>
      </c>
      <c r="I181" s="237">
        <v>21098</v>
      </c>
      <c r="J181" s="236">
        <v>11497</v>
      </c>
      <c r="K181" s="225">
        <f t="shared" si="4"/>
        <v>76975</v>
      </c>
      <c r="L181" s="236"/>
      <c r="M181" s="237">
        <v>4182</v>
      </c>
      <c r="N181" s="237">
        <v>0</v>
      </c>
      <c r="O181" s="236">
        <v>1197</v>
      </c>
      <c r="P181" s="225">
        <f t="shared" si="5"/>
        <v>5379</v>
      </c>
      <c r="Q181" s="236"/>
      <c r="R181" s="237">
        <v>49785</v>
      </c>
      <c r="S181" s="238">
        <v>5725</v>
      </c>
      <c r="T181" s="238">
        <v>55510</v>
      </c>
    </row>
    <row r="182" spans="1:20">
      <c r="A182" s="231">
        <v>91681</v>
      </c>
      <c r="B182" s="232" t="s">
        <v>895</v>
      </c>
      <c r="C182" s="92">
        <v>4.728E-4</v>
      </c>
      <c r="D182" s="92">
        <v>4.7130000000000002E-4</v>
      </c>
      <c r="E182" s="236">
        <v>722307</v>
      </c>
      <c r="F182" s="236"/>
      <c r="G182" s="237">
        <v>41612</v>
      </c>
      <c r="H182" s="225">
        <v>175378</v>
      </c>
      <c r="I182" s="237">
        <v>103156</v>
      </c>
      <c r="J182" s="236">
        <v>274278</v>
      </c>
      <c r="K182" s="225">
        <f t="shared" si="4"/>
        <v>594424</v>
      </c>
      <c r="L182" s="236"/>
      <c r="M182" s="237">
        <v>20446</v>
      </c>
      <c r="N182" s="237">
        <v>0</v>
      </c>
      <c r="O182" s="236">
        <v>4516</v>
      </c>
      <c r="P182" s="225">
        <f t="shared" si="5"/>
        <v>24962</v>
      </c>
      <c r="Q182" s="236"/>
      <c r="R182" s="237">
        <v>243418</v>
      </c>
      <c r="S182" s="238">
        <v>89641</v>
      </c>
      <c r="T182" s="238">
        <v>333059</v>
      </c>
    </row>
    <row r="183" spans="1:20">
      <c r="A183" s="231">
        <v>91691</v>
      </c>
      <c r="B183" s="232" t="s">
        <v>896</v>
      </c>
      <c r="C183" s="92">
        <v>2.3200000000000001E-5</v>
      </c>
      <c r="D183" s="92">
        <v>2.4199999999999999E-5</v>
      </c>
      <c r="E183" s="236">
        <v>35443</v>
      </c>
      <c r="F183" s="236"/>
      <c r="G183" s="237">
        <v>2042</v>
      </c>
      <c r="H183" s="225">
        <v>8605</v>
      </c>
      <c r="I183" s="237">
        <v>5062</v>
      </c>
      <c r="J183" s="236">
        <v>1782</v>
      </c>
      <c r="K183" s="225">
        <f t="shared" si="4"/>
        <v>17491</v>
      </c>
      <c r="L183" s="236"/>
      <c r="M183" s="237">
        <v>1003</v>
      </c>
      <c r="N183" s="237">
        <v>0</v>
      </c>
      <c r="O183" s="236">
        <v>1533</v>
      </c>
      <c r="P183" s="225">
        <f t="shared" si="5"/>
        <v>2536</v>
      </c>
      <c r="Q183" s="236"/>
      <c r="R183" s="237">
        <v>11944</v>
      </c>
      <c r="S183" s="238">
        <v>129</v>
      </c>
      <c r="T183" s="238">
        <f>12074-1</f>
        <v>12073</v>
      </c>
    </row>
    <row r="184" spans="1:20">
      <c r="A184" s="231">
        <v>91701</v>
      </c>
      <c r="B184" s="232" t="s">
        <v>897</v>
      </c>
      <c r="C184" s="92">
        <v>1.2451999999999999E-3</v>
      </c>
      <c r="D184" s="92">
        <v>1.0897000000000001E-3</v>
      </c>
      <c r="E184" s="236">
        <v>1902321</v>
      </c>
      <c r="F184" s="236"/>
      <c r="G184" s="237">
        <v>109591</v>
      </c>
      <c r="H184" s="225">
        <v>461886</v>
      </c>
      <c r="I184" s="237">
        <v>271678</v>
      </c>
      <c r="J184" s="236">
        <v>95964</v>
      </c>
      <c r="K184" s="225">
        <f t="shared" si="4"/>
        <v>939119</v>
      </c>
      <c r="L184" s="236"/>
      <c r="M184" s="237">
        <v>53849</v>
      </c>
      <c r="N184" s="237">
        <v>0</v>
      </c>
      <c r="O184" s="236">
        <v>6949</v>
      </c>
      <c r="P184" s="225">
        <f t="shared" si="5"/>
        <v>60798</v>
      </c>
      <c r="Q184" s="236"/>
      <c r="R184" s="237">
        <v>641084</v>
      </c>
      <c r="S184" s="238">
        <v>18725</v>
      </c>
      <c r="T184" s="238">
        <v>659809</v>
      </c>
    </row>
    <row r="185" spans="1:20">
      <c r="A185" s="231">
        <v>91704</v>
      </c>
      <c r="B185" s="232" t="s">
        <v>898</v>
      </c>
      <c r="C185" s="92">
        <v>1.73E-5</v>
      </c>
      <c r="D185" s="92">
        <v>1.6699999999999999E-5</v>
      </c>
      <c r="E185" s="236">
        <v>26430</v>
      </c>
      <c r="F185" s="236"/>
      <c r="G185" s="237">
        <v>1523</v>
      </c>
      <c r="H185" s="225">
        <v>6417</v>
      </c>
      <c r="I185" s="237">
        <v>3775</v>
      </c>
      <c r="J185" s="236">
        <v>1084</v>
      </c>
      <c r="K185" s="225">
        <f t="shared" si="4"/>
        <v>12799</v>
      </c>
      <c r="L185" s="236"/>
      <c r="M185" s="237">
        <v>748</v>
      </c>
      <c r="N185" s="237">
        <v>0</v>
      </c>
      <c r="O185" s="236">
        <v>0</v>
      </c>
      <c r="P185" s="225">
        <f t="shared" si="5"/>
        <v>748</v>
      </c>
      <c r="Q185" s="236"/>
      <c r="R185" s="237">
        <v>8907</v>
      </c>
      <c r="S185" s="238">
        <v>641</v>
      </c>
      <c r="T185" s="238">
        <v>9548</v>
      </c>
    </row>
    <row r="186" spans="1:20">
      <c r="A186" s="231">
        <v>91706</v>
      </c>
      <c r="B186" s="232" t="s">
        <v>899</v>
      </c>
      <c r="C186" s="92">
        <v>2.4340000000000001E-4</v>
      </c>
      <c r="D186" s="92">
        <v>2.4279999999999999E-4</v>
      </c>
      <c r="E186" s="236">
        <v>371848</v>
      </c>
      <c r="F186" s="236"/>
      <c r="G186" s="237">
        <v>21422</v>
      </c>
      <c r="H186" s="225">
        <v>90285</v>
      </c>
      <c r="I186" s="237">
        <v>53105</v>
      </c>
      <c r="J186" s="236">
        <v>9101</v>
      </c>
      <c r="K186" s="225">
        <f t="shared" si="4"/>
        <v>173913</v>
      </c>
      <c r="L186" s="236"/>
      <c r="M186" s="237">
        <v>10526</v>
      </c>
      <c r="N186" s="237">
        <v>0</v>
      </c>
      <c r="O186" s="236">
        <v>8271</v>
      </c>
      <c r="P186" s="225">
        <f t="shared" si="5"/>
        <v>18797</v>
      </c>
      <c r="Q186" s="236"/>
      <c r="R186" s="237">
        <v>125313</v>
      </c>
      <c r="S186" s="238">
        <v>-4120</v>
      </c>
      <c r="T186" s="238">
        <v>121193</v>
      </c>
    </row>
    <row r="187" spans="1:20">
      <c r="A187" s="231">
        <v>91719</v>
      </c>
      <c r="B187" s="232" t="s">
        <v>900</v>
      </c>
      <c r="C187" s="92">
        <v>4.9700000000000002E-5</v>
      </c>
      <c r="D187" s="92">
        <v>4.9299999999999999E-5</v>
      </c>
      <c r="E187" s="236">
        <v>75928</v>
      </c>
      <c r="F187" s="236"/>
      <c r="G187" s="237">
        <v>4374</v>
      </c>
      <c r="H187" s="225">
        <v>18435</v>
      </c>
      <c r="I187" s="237">
        <v>10844</v>
      </c>
      <c r="J187" s="236">
        <v>4395</v>
      </c>
      <c r="K187" s="225">
        <f t="shared" si="4"/>
        <v>38048</v>
      </c>
      <c r="L187" s="236"/>
      <c r="M187" s="237">
        <v>2149</v>
      </c>
      <c r="N187" s="237">
        <v>0</v>
      </c>
      <c r="O187" s="236">
        <v>4419</v>
      </c>
      <c r="P187" s="225">
        <f t="shared" si="5"/>
        <v>6568</v>
      </c>
      <c r="Q187" s="236"/>
      <c r="R187" s="237">
        <v>25588</v>
      </c>
      <c r="S187" s="238">
        <v>37</v>
      </c>
      <c r="T187" s="238">
        <v>25625</v>
      </c>
    </row>
    <row r="188" spans="1:20">
      <c r="A188" s="231">
        <v>91801</v>
      </c>
      <c r="B188" s="232" t="s">
        <v>901</v>
      </c>
      <c r="C188" s="92">
        <v>8.0961000000000002E-3</v>
      </c>
      <c r="D188" s="92">
        <v>8.3853999999999995E-3</v>
      </c>
      <c r="E188" s="236">
        <v>12368598</v>
      </c>
      <c r="F188" s="236"/>
      <c r="G188" s="237">
        <v>712546</v>
      </c>
      <c r="H188" s="225">
        <v>3003111</v>
      </c>
      <c r="I188" s="237">
        <v>1766407</v>
      </c>
      <c r="J188" s="236">
        <v>0</v>
      </c>
      <c r="K188" s="225">
        <f t="shared" si="4"/>
        <v>5482064</v>
      </c>
      <c r="L188" s="236"/>
      <c r="M188" s="237">
        <v>350116</v>
      </c>
      <c r="N188" s="237">
        <v>0</v>
      </c>
      <c r="O188" s="236">
        <v>242225</v>
      </c>
      <c r="P188" s="225">
        <f t="shared" si="5"/>
        <v>592341</v>
      </c>
      <c r="Q188" s="236"/>
      <c r="R188" s="237">
        <v>4168229</v>
      </c>
      <c r="S188" s="238">
        <v>-87031</v>
      </c>
      <c r="T188" s="238">
        <f>4081197+1</f>
        <v>4081198</v>
      </c>
    </row>
    <row r="189" spans="1:20">
      <c r="A189" s="231">
        <v>91804</v>
      </c>
      <c r="B189" s="232" t="s">
        <v>902</v>
      </c>
      <c r="C189" s="92">
        <v>1.3439999999999999E-4</v>
      </c>
      <c r="D189" s="92">
        <v>1.462E-4</v>
      </c>
      <c r="E189" s="236">
        <v>205326</v>
      </c>
      <c r="F189" s="236"/>
      <c r="G189" s="237">
        <v>11829</v>
      </c>
      <c r="H189" s="225">
        <v>49854</v>
      </c>
      <c r="I189" s="237">
        <v>29323</v>
      </c>
      <c r="J189" s="236">
        <v>55699</v>
      </c>
      <c r="K189" s="225">
        <f t="shared" si="4"/>
        <v>146705</v>
      </c>
      <c r="L189" s="236"/>
      <c r="M189" s="237">
        <v>5812</v>
      </c>
      <c r="N189" s="237">
        <v>0</v>
      </c>
      <c r="O189" s="236">
        <v>0</v>
      </c>
      <c r="P189" s="225">
        <f t="shared" si="5"/>
        <v>5812</v>
      </c>
      <c r="Q189" s="236"/>
      <c r="R189" s="237">
        <v>69195</v>
      </c>
      <c r="S189" s="238">
        <v>23621</v>
      </c>
      <c r="T189" s="238">
        <v>92816</v>
      </c>
    </row>
    <row r="190" spans="1:20">
      <c r="A190" s="231">
        <v>91811</v>
      </c>
      <c r="B190" s="232" t="s">
        <v>903</v>
      </c>
      <c r="C190" s="92">
        <v>4.5555999999999999E-3</v>
      </c>
      <c r="D190" s="92">
        <v>4.6454000000000001E-3</v>
      </c>
      <c r="E190" s="236">
        <v>6959695</v>
      </c>
      <c r="F190" s="236"/>
      <c r="G190" s="237">
        <v>400943</v>
      </c>
      <c r="H190" s="225">
        <v>1689822</v>
      </c>
      <c r="I190" s="237">
        <v>993941</v>
      </c>
      <c r="J190" s="236">
        <v>0</v>
      </c>
      <c r="K190" s="225">
        <f t="shared" si="4"/>
        <v>3084706</v>
      </c>
      <c r="L190" s="236"/>
      <c r="M190" s="237">
        <v>197007</v>
      </c>
      <c r="N190" s="237">
        <v>0</v>
      </c>
      <c r="O190" s="236">
        <v>519421</v>
      </c>
      <c r="P190" s="225">
        <f t="shared" si="5"/>
        <v>716428</v>
      </c>
      <c r="Q190" s="236"/>
      <c r="R190" s="237">
        <v>2345423</v>
      </c>
      <c r="S190" s="238">
        <v>-197590</v>
      </c>
      <c r="T190" s="238">
        <v>2147833</v>
      </c>
    </row>
    <row r="191" spans="1:20">
      <c r="A191" s="231">
        <v>91812</v>
      </c>
      <c r="B191" s="232" t="s">
        <v>904</v>
      </c>
      <c r="C191" s="92">
        <v>5.0800000000000002E-5</v>
      </c>
      <c r="D191" s="92">
        <v>5.8199999999999998E-5</v>
      </c>
      <c r="E191" s="236">
        <v>77608</v>
      </c>
      <c r="F191" s="236"/>
      <c r="G191" s="237">
        <v>4471</v>
      </c>
      <c r="H191" s="225">
        <v>18843</v>
      </c>
      <c r="I191" s="237">
        <v>11084</v>
      </c>
      <c r="J191" s="236">
        <v>11326</v>
      </c>
      <c r="K191" s="225">
        <f t="shared" si="4"/>
        <v>45724</v>
      </c>
      <c r="L191" s="236"/>
      <c r="M191" s="237">
        <v>2197</v>
      </c>
      <c r="N191" s="237">
        <v>0</v>
      </c>
      <c r="O191" s="236">
        <v>2710</v>
      </c>
      <c r="P191" s="225">
        <f t="shared" si="5"/>
        <v>4907</v>
      </c>
      <c r="Q191" s="236"/>
      <c r="R191" s="237">
        <v>26154</v>
      </c>
      <c r="S191" s="238">
        <v>4584</v>
      </c>
      <c r="T191" s="238">
        <v>30738</v>
      </c>
    </row>
    <row r="192" spans="1:20">
      <c r="A192" s="231">
        <v>91813</v>
      </c>
      <c r="B192" s="232" t="s">
        <v>905</v>
      </c>
      <c r="C192" s="92">
        <v>8.6100000000000006E-5</v>
      </c>
      <c r="D192" s="92">
        <v>1.083E-4</v>
      </c>
      <c r="E192" s="236">
        <v>131537</v>
      </c>
      <c r="F192" s="236"/>
      <c r="G192" s="237">
        <v>7578</v>
      </c>
      <c r="H192" s="225">
        <v>31938</v>
      </c>
      <c r="I192" s="237">
        <v>18785</v>
      </c>
      <c r="J192" s="236">
        <v>10986</v>
      </c>
      <c r="K192" s="225">
        <f t="shared" si="4"/>
        <v>69287</v>
      </c>
      <c r="L192" s="236"/>
      <c r="M192" s="237">
        <v>3723</v>
      </c>
      <c r="N192" s="237">
        <v>0</v>
      </c>
      <c r="O192" s="236">
        <v>13565</v>
      </c>
      <c r="P192" s="225">
        <f t="shared" si="5"/>
        <v>17288</v>
      </c>
      <c r="Q192" s="236"/>
      <c r="R192" s="237">
        <v>44328</v>
      </c>
      <c r="S192" s="238">
        <v>-155</v>
      </c>
      <c r="T192" s="238">
        <v>44173</v>
      </c>
    </row>
    <row r="193" spans="1:20">
      <c r="A193" s="231">
        <v>91818</v>
      </c>
      <c r="B193" s="232" t="s">
        <v>906</v>
      </c>
      <c r="C193" s="92">
        <v>4.0079999999999998E-4</v>
      </c>
      <c r="D193" s="92">
        <v>3.8559999999999999E-4</v>
      </c>
      <c r="E193" s="236">
        <v>612311</v>
      </c>
      <c r="F193" s="236"/>
      <c r="G193" s="237">
        <v>35275</v>
      </c>
      <c r="H193" s="225">
        <v>148670</v>
      </c>
      <c r="I193" s="237">
        <v>87447</v>
      </c>
      <c r="J193" s="236">
        <v>469231</v>
      </c>
      <c r="K193" s="225">
        <f t="shared" si="4"/>
        <v>740623</v>
      </c>
      <c r="L193" s="236"/>
      <c r="M193" s="237">
        <v>17333</v>
      </c>
      <c r="N193" s="237">
        <v>0</v>
      </c>
      <c r="O193" s="236">
        <v>5024</v>
      </c>
      <c r="P193" s="225">
        <f t="shared" si="5"/>
        <v>22357</v>
      </c>
      <c r="Q193" s="236"/>
      <c r="R193" s="237">
        <v>206349</v>
      </c>
      <c r="S193" s="238">
        <v>155106</v>
      </c>
      <c r="T193" s="238">
        <f>361456-1</f>
        <v>361455</v>
      </c>
    </row>
    <row r="194" spans="1:20">
      <c r="A194" s="231">
        <v>91819</v>
      </c>
      <c r="B194" s="232" t="s">
        <v>907</v>
      </c>
      <c r="C194" s="92">
        <v>2.8489999999999999E-4</v>
      </c>
      <c r="D194" s="92">
        <v>2.8200000000000002E-4</v>
      </c>
      <c r="E194" s="236">
        <v>435248</v>
      </c>
      <c r="F194" s="236"/>
      <c r="G194" s="237">
        <v>25074</v>
      </c>
      <c r="H194" s="225">
        <v>105678</v>
      </c>
      <c r="I194" s="237">
        <v>62159</v>
      </c>
      <c r="J194" s="236">
        <v>15073</v>
      </c>
      <c r="K194" s="225">
        <f t="shared" si="4"/>
        <v>207984</v>
      </c>
      <c r="L194" s="236"/>
      <c r="M194" s="237">
        <v>12321</v>
      </c>
      <c r="N194" s="237">
        <v>0</v>
      </c>
      <c r="O194" s="236">
        <v>8276</v>
      </c>
      <c r="P194" s="225">
        <f t="shared" si="5"/>
        <v>20597</v>
      </c>
      <c r="Q194" s="236"/>
      <c r="R194" s="237">
        <v>146679</v>
      </c>
      <c r="S194" s="238">
        <v>5278</v>
      </c>
      <c r="T194" s="238">
        <v>151957</v>
      </c>
    </row>
    <row r="195" spans="1:20">
      <c r="A195" s="231">
        <v>91821</v>
      </c>
      <c r="B195" s="232" t="s">
        <v>908</v>
      </c>
      <c r="C195" s="92">
        <v>1.7330000000000001E-4</v>
      </c>
      <c r="D195" s="92">
        <v>1.63E-4</v>
      </c>
      <c r="E195" s="236">
        <v>264754</v>
      </c>
      <c r="F195" s="236"/>
      <c r="G195" s="237">
        <v>15252</v>
      </c>
      <c r="H195" s="225">
        <v>64283</v>
      </c>
      <c r="I195" s="237">
        <v>37811</v>
      </c>
      <c r="J195" s="236">
        <v>2434</v>
      </c>
      <c r="K195" s="225">
        <f t="shared" si="4"/>
        <v>119780</v>
      </c>
      <c r="L195" s="236"/>
      <c r="M195" s="237">
        <v>7494</v>
      </c>
      <c r="N195" s="237">
        <v>0</v>
      </c>
      <c r="O195" s="236">
        <v>1112</v>
      </c>
      <c r="P195" s="225">
        <f t="shared" si="5"/>
        <v>8606</v>
      </c>
      <c r="Q195" s="236"/>
      <c r="R195" s="237">
        <v>89222</v>
      </c>
      <c r="S195" s="238">
        <v>1572</v>
      </c>
      <c r="T195" s="238">
        <f>90795-1</f>
        <v>90794</v>
      </c>
    </row>
    <row r="196" spans="1:20">
      <c r="A196" s="231">
        <v>91831</v>
      </c>
      <c r="B196" s="232" t="s">
        <v>909</v>
      </c>
      <c r="C196" s="92">
        <v>3.366E-4</v>
      </c>
      <c r="D196" s="92">
        <v>3.414E-4</v>
      </c>
      <c r="E196" s="236">
        <v>514232</v>
      </c>
      <c r="F196" s="236"/>
      <c r="G196" s="237">
        <v>29625</v>
      </c>
      <c r="H196" s="225">
        <v>124856</v>
      </c>
      <c r="I196" s="237">
        <v>73439</v>
      </c>
      <c r="J196" s="236">
        <v>7847</v>
      </c>
      <c r="K196" s="225">
        <f t="shared" si="4"/>
        <v>235767</v>
      </c>
      <c r="L196" s="236"/>
      <c r="M196" s="237">
        <v>14556</v>
      </c>
      <c r="N196" s="237">
        <v>0</v>
      </c>
      <c r="O196" s="236">
        <v>13475</v>
      </c>
      <c r="P196" s="225">
        <f t="shared" si="5"/>
        <v>28031</v>
      </c>
      <c r="Q196" s="236"/>
      <c r="R196" s="237">
        <v>173296</v>
      </c>
      <c r="S196" s="238">
        <v>520</v>
      </c>
      <c r="T196" s="238">
        <v>173816</v>
      </c>
    </row>
    <row r="197" spans="1:20">
      <c r="A197" s="231">
        <v>91841</v>
      </c>
      <c r="B197" s="232" t="s">
        <v>910</v>
      </c>
      <c r="C197" s="92">
        <v>2.5339999999999998E-4</v>
      </c>
      <c r="D197" s="92">
        <v>2.63E-4</v>
      </c>
      <c r="E197" s="236">
        <v>387125</v>
      </c>
      <c r="F197" s="236"/>
      <c r="G197" s="237">
        <v>22302</v>
      </c>
      <c r="H197" s="225">
        <v>93994</v>
      </c>
      <c r="I197" s="237">
        <v>55287</v>
      </c>
      <c r="J197" s="236">
        <v>1681</v>
      </c>
      <c r="K197" s="225">
        <f t="shared" si="4"/>
        <v>173264</v>
      </c>
      <c r="L197" s="236"/>
      <c r="M197" s="237">
        <v>10958</v>
      </c>
      <c r="N197" s="237">
        <v>0</v>
      </c>
      <c r="O197" s="236">
        <v>14711</v>
      </c>
      <c r="P197" s="225">
        <f t="shared" si="5"/>
        <v>25669</v>
      </c>
      <c r="Q197" s="236"/>
      <c r="R197" s="237">
        <v>130461</v>
      </c>
      <c r="S197" s="238">
        <v>-9727</v>
      </c>
      <c r="T197" s="238">
        <v>120734</v>
      </c>
    </row>
    <row r="198" spans="1:20">
      <c r="A198" s="231">
        <v>91851</v>
      </c>
      <c r="B198" s="232" t="s">
        <v>911</v>
      </c>
      <c r="C198" s="92">
        <v>7.4910000000000005E-4</v>
      </c>
      <c r="D198" s="92">
        <v>7.2059999999999995E-4</v>
      </c>
      <c r="E198" s="236">
        <v>1144417</v>
      </c>
      <c r="F198" s="236"/>
      <c r="G198" s="237">
        <v>65929</v>
      </c>
      <c r="H198" s="225">
        <v>277866</v>
      </c>
      <c r="I198" s="237">
        <v>163439</v>
      </c>
      <c r="J198" s="236">
        <v>9030</v>
      </c>
      <c r="K198" s="225">
        <f t="shared" si="4"/>
        <v>516264</v>
      </c>
      <c r="L198" s="236"/>
      <c r="M198" s="237">
        <v>32395</v>
      </c>
      <c r="N198" s="237">
        <v>0</v>
      </c>
      <c r="O198" s="236">
        <v>44287</v>
      </c>
      <c r="P198" s="225">
        <f t="shared" si="5"/>
        <v>76682</v>
      </c>
      <c r="Q198" s="236"/>
      <c r="R198" s="237">
        <v>385670</v>
      </c>
      <c r="S198" s="238">
        <v>-13424</v>
      </c>
      <c r="T198" s="238">
        <v>372246</v>
      </c>
    </row>
    <row r="199" spans="1:20">
      <c r="A199" s="231">
        <v>91861</v>
      </c>
      <c r="B199" s="232" t="s">
        <v>912</v>
      </c>
      <c r="C199" s="92">
        <v>1.9700000000000001E-5</v>
      </c>
      <c r="D199" s="92">
        <v>1.9899999999999999E-5</v>
      </c>
      <c r="E199" s="236">
        <v>30096</v>
      </c>
      <c r="F199" s="236"/>
      <c r="G199" s="237">
        <v>1734</v>
      </c>
      <c r="H199" s="225">
        <v>7308</v>
      </c>
      <c r="I199" s="237">
        <v>4298</v>
      </c>
      <c r="J199" s="236">
        <v>2050</v>
      </c>
      <c r="K199" s="225">
        <f t="shared" si="4"/>
        <v>15390</v>
      </c>
      <c r="L199" s="236"/>
      <c r="M199" s="237">
        <v>852</v>
      </c>
      <c r="N199" s="237">
        <v>0</v>
      </c>
      <c r="O199" s="236">
        <v>1061</v>
      </c>
      <c r="P199" s="225">
        <f t="shared" si="5"/>
        <v>1913</v>
      </c>
      <c r="Q199" s="236"/>
      <c r="R199" s="237">
        <v>10142</v>
      </c>
      <c r="S199" s="238">
        <v>692</v>
      </c>
      <c r="T199" s="238">
        <f>10835-1</f>
        <v>10834</v>
      </c>
    </row>
    <row r="200" spans="1:20">
      <c r="A200" s="231">
        <v>91871</v>
      </c>
      <c r="B200" s="232" t="s">
        <v>913</v>
      </c>
      <c r="C200" s="92">
        <v>1.3319E-3</v>
      </c>
      <c r="D200" s="92">
        <v>1.2712000000000001E-3</v>
      </c>
      <c r="E200" s="236">
        <v>2034774</v>
      </c>
      <c r="F200" s="236"/>
      <c r="G200" s="237">
        <v>117222</v>
      </c>
      <c r="H200" s="225">
        <v>494045</v>
      </c>
      <c r="I200" s="237">
        <v>290594</v>
      </c>
      <c r="J200" s="236">
        <v>22538</v>
      </c>
      <c r="K200" s="225">
        <f t="shared" si="4"/>
        <v>924399</v>
      </c>
      <c r="L200" s="236"/>
      <c r="M200" s="237">
        <v>57598</v>
      </c>
      <c r="N200" s="237">
        <v>0</v>
      </c>
      <c r="O200" s="236">
        <v>73797</v>
      </c>
      <c r="P200" s="225">
        <f t="shared" si="5"/>
        <v>131395</v>
      </c>
      <c r="Q200" s="236"/>
      <c r="R200" s="237">
        <v>685721</v>
      </c>
      <c r="S200" s="238">
        <v>-28802</v>
      </c>
      <c r="T200" s="238">
        <v>656919</v>
      </c>
    </row>
    <row r="201" spans="1:20">
      <c r="A201" s="231">
        <v>91881</v>
      </c>
      <c r="B201" s="232" t="s">
        <v>914</v>
      </c>
      <c r="C201" s="92">
        <v>9.3000000000000007E-6</v>
      </c>
      <c r="D201" s="92">
        <v>1.01E-5</v>
      </c>
      <c r="E201" s="236">
        <v>14208</v>
      </c>
      <c r="F201" s="236"/>
      <c r="G201" s="237">
        <v>819</v>
      </c>
      <c r="H201" s="225">
        <v>3450</v>
      </c>
      <c r="I201" s="237">
        <v>2029</v>
      </c>
      <c r="J201" s="236">
        <v>1155</v>
      </c>
      <c r="K201" s="225">
        <f t="shared" si="4"/>
        <v>7453</v>
      </c>
      <c r="L201" s="236"/>
      <c r="M201" s="237">
        <v>402</v>
      </c>
      <c r="N201" s="237">
        <v>0</v>
      </c>
      <c r="O201" s="236">
        <v>8809</v>
      </c>
      <c r="P201" s="225">
        <f t="shared" si="5"/>
        <v>9211</v>
      </c>
      <c r="Q201" s="236"/>
      <c r="R201" s="237">
        <v>4788</v>
      </c>
      <c r="S201" s="238">
        <v>-5615</v>
      </c>
      <c r="T201" s="238">
        <v>-827</v>
      </c>
    </row>
    <row r="202" spans="1:20">
      <c r="A202" s="231">
        <v>91901</v>
      </c>
      <c r="B202" s="232" t="s">
        <v>915</v>
      </c>
      <c r="C202" s="92">
        <v>3.6706999999999998E-3</v>
      </c>
      <c r="D202" s="92">
        <v>3.6564000000000002E-3</v>
      </c>
      <c r="E202" s="236">
        <v>5607813</v>
      </c>
      <c r="F202" s="236"/>
      <c r="G202" s="237">
        <v>323062</v>
      </c>
      <c r="H202" s="225">
        <v>1361584</v>
      </c>
      <c r="I202" s="237">
        <v>800873</v>
      </c>
      <c r="J202" s="236">
        <v>89719</v>
      </c>
      <c r="K202" s="225">
        <f t="shared" ref="K202:K265" si="6">G202+H202+I202+J202</f>
        <v>2575238</v>
      </c>
      <c r="L202" s="236"/>
      <c r="M202" s="237">
        <v>158739</v>
      </c>
      <c r="N202" s="237">
        <v>0</v>
      </c>
      <c r="O202" s="236">
        <v>16546</v>
      </c>
      <c r="P202" s="225">
        <f t="shared" ref="P202:P265" si="7">M202+N202+O202</f>
        <v>175285</v>
      </c>
      <c r="Q202" s="236"/>
      <c r="R202" s="237">
        <v>1889838</v>
      </c>
      <c r="S202" s="238">
        <v>53714</v>
      </c>
      <c r="T202" s="238">
        <v>1943552</v>
      </c>
    </row>
    <row r="203" spans="1:20">
      <c r="A203" s="231">
        <v>91903</v>
      </c>
      <c r="B203" s="232" t="s">
        <v>916</v>
      </c>
      <c r="C203" s="92">
        <v>8.6999999999999997E-6</v>
      </c>
      <c r="D203" s="92">
        <v>8.3999999999999992E-6</v>
      </c>
      <c r="E203" s="236">
        <v>13291</v>
      </c>
      <c r="F203" s="236"/>
      <c r="G203" s="237">
        <v>766</v>
      </c>
      <c r="H203" s="225">
        <v>3227</v>
      </c>
      <c r="I203" s="237">
        <v>1898</v>
      </c>
      <c r="J203" s="236">
        <v>2037</v>
      </c>
      <c r="K203" s="225">
        <f t="shared" si="6"/>
        <v>7928</v>
      </c>
      <c r="L203" s="236"/>
      <c r="M203" s="237">
        <v>376</v>
      </c>
      <c r="N203" s="237">
        <v>0</v>
      </c>
      <c r="O203" s="236">
        <v>3011</v>
      </c>
      <c r="P203" s="225">
        <f t="shared" si="7"/>
        <v>3387</v>
      </c>
      <c r="Q203" s="236"/>
      <c r="R203" s="237">
        <v>4479</v>
      </c>
      <c r="S203" s="238">
        <v>-2426</v>
      </c>
      <c r="T203" s="238">
        <v>2053</v>
      </c>
    </row>
    <row r="204" spans="1:20">
      <c r="A204" s="231">
        <v>91904</v>
      </c>
      <c r="B204" s="232" t="s">
        <v>917</v>
      </c>
      <c r="C204" s="92">
        <v>3.3399999999999999E-5</v>
      </c>
      <c r="D204" s="92">
        <v>2.3300000000000001E-5</v>
      </c>
      <c r="E204" s="236">
        <v>51026</v>
      </c>
      <c r="F204" s="236"/>
      <c r="G204" s="237">
        <v>2940</v>
      </c>
      <c r="H204" s="225">
        <v>12389</v>
      </c>
      <c r="I204" s="237">
        <v>7287</v>
      </c>
      <c r="J204" s="236">
        <v>11190</v>
      </c>
      <c r="K204" s="225">
        <f t="shared" si="6"/>
        <v>33806</v>
      </c>
      <c r="L204" s="236"/>
      <c r="M204" s="237">
        <v>1444</v>
      </c>
      <c r="N204" s="237">
        <v>0</v>
      </c>
      <c r="O204" s="236">
        <v>0</v>
      </c>
      <c r="P204" s="225">
        <f t="shared" si="7"/>
        <v>1444</v>
      </c>
      <c r="Q204" s="236"/>
      <c r="R204" s="237">
        <v>17196</v>
      </c>
      <c r="S204" s="238">
        <v>4334</v>
      </c>
      <c r="T204" s="238">
        <v>21530</v>
      </c>
    </row>
    <row r="205" spans="1:20">
      <c r="A205" s="231">
        <v>91908</v>
      </c>
      <c r="B205" s="232" t="s">
        <v>918</v>
      </c>
      <c r="C205" s="92">
        <v>1.6900000000000001E-5</v>
      </c>
      <c r="D205" s="92">
        <v>1.3699999999999999E-5</v>
      </c>
      <c r="E205" s="236">
        <v>25819</v>
      </c>
      <c r="F205" s="236"/>
      <c r="G205" s="237">
        <v>1487</v>
      </c>
      <c r="H205" s="225">
        <v>6269</v>
      </c>
      <c r="I205" s="237">
        <v>3687</v>
      </c>
      <c r="J205" s="236">
        <v>935</v>
      </c>
      <c r="K205" s="225">
        <f t="shared" si="6"/>
        <v>12378</v>
      </c>
      <c r="L205" s="236"/>
      <c r="M205" s="237">
        <v>731</v>
      </c>
      <c r="N205" s="237">
        <v>0</v>
      </c>
      <c r="O205" s="236">
        <v>2553</v>
      </c>
      <c r="P205" s="225">
        <f t="shared" si="7"/>
        <v>3284</v>
      </c>
      <c r="Q205" s="236"/>
      <c r="R205" s="237">
        <v>8701</v>
      </c>
      <c r="S205" s="238">
        <v>-56</v>
      </c>
      <c r="T205" s="238">
        <v>8645</v>
      </c>
    </row>
    <row r="206" spans="1:20">
      <c r="A206" s="231">
        <v>91911</v>
      </c>
      <c r="B206" s="232" t="s">
        <v>919</v>
      </c>
      <c r="C206" s="92">
        <v>4.5580000000000002E-4</v>
      </c>
      <c r="D206" s="92">
        <v>4.639E-4</v>
      </c>
      <c r="E206" s="236">
        <v>696336</v>
      </c>
      <c r="F206" s="236"/>
      <c r="G206" s="237">
        <v>40115</v>
      </c>
      <c r="H206" s="225">
        <v>169071</v>
      </c>
      <c r="I206" s="237">
        <v>99446</v>
      </c>
      <c r="J206" s="236">
        <v>13510</v>
      </c>
      <c r="K206" s="225">
        <f t="shared" si="6"/>
        <v>322142</v>
      </c>
      <c r="L206" s="236"/>
      <c r="M206" s="237">
        <v>19711</v>
      </c>
      <c r="N206" s="237">
        <v>0</v>
      </c>
      <c r="O206" s="236">
        <v>5011</v>
      </c>
      <c r="P206" s="225">
        <f t="shared" si="7"/>
        <v>24722</v>
      </c>
      <c r="Q206" s="236"/>
      <c r="R206" s="237">
        <v>234666</v>
      </c>
      <c r="S206" s="238">
        <v>598</v>
      </c>
      <c r="T206" s="238">
        <v>235264</v>
      </c>
    </row>
    <row r="207" spans="1:20">
      <c r="A207" s="231">
        <v>91917</v>
      </c>
      <c r="B207" s="232" t="s">
        <v>920</v>
      </c>
      <c r="C207" s="92">
        <v>1.22E-5</v>
      </c>
      <c r="D207" s="92">
        <v>1.36E-5</v>
      </c>
      <c r="E207" s="236">
        <v>18638</v>
      </c>
      <c r="F207" s="236"/>
      <c r="G207" s="237">
        <v>1074</v>
      </c>
      <c r="H207" s="225">
        <v>4526</v>
      </c>
      <c r="I207" s="237">
        <v>2662</v>
      </c>
      <c r="J207" s="236">
        <v>527</v>
      </c>
      <c r="K207" s="225">
        <f t="shared" si="6"/>
        <v>8789</v>
      </c>
      <c r="L207" s="236"/>
      <c r="M207" s="237">
        <v>528</v>
      </c>
      <c r="N207" s="237">
        <v>0</v>
      </c>
      <c r="O207" s="236">
        <v>310</v>
      </c>
      <c r="P207" s="225">
        <f t="shared" si="7"/>
        <v>838</v>
      </c>
      <c r="Q207" s="236"/>
      <c r="R207" s="237">
        <v>6281</v>
      </c>
      <c r="S207" s="238">
        <v>126</v>
      </c>
      <c r="T207" s="238">
        <v>6407</v>
      </c>
    </row>
    <row r="208" spans="1:20">
      <c r="A208" s="231">
        <v>91921</v>
      </c>
      <c r="B208" s="232" t="s">
        <v>921</v>
      </c>
      <c r="C208" s="92">
        <v>3.769E-4</v>
      </c>
      <c r="D208" s="92">
        <v>3.6600000000000001E-4</v>
      </c>
      <c r="E208" s="236">
        <v>575799</v>
      </c>
      <c r="F208" s="236"/>
      <c r="G208" s="237">
        <v>33171</v>
      </c>
      <c r="H208" s="225">
        <v>139804</v>
      </c>
      <c r="I208" s="237">
        <v>82232</v>
      </c>
      <c r="J208" s="236">
        <v>0</v>
      </c>
      <c r="K208" s="225">
        <f t="shared" si="6"/>
        <v>255207</v>
      </c>
      <c r="L208" s="236"/>
      <c r="M208" s="237">
        <v>16299</v>
      </c>
      <c r="N208" s="237">
        <v>0</v>
      </c>
      <c r="O208" s="236">
        <v>10651</v>
      </c>
      <c r="P208" s="225">
        <f t="shared" si="7"/>
        <v>26950</v>
      </c>
      <c r="Q208" s="236"/>
      <c r="R208" s="237">
        <v>194045</v>
      </c>
      <c r="S208" s="238">
        <v>-5316</v>
      </c>
      <c r="T208" s="238">
        <v>188729</v>
      </c>
    </row>
    <row r="209" spans="1:20">
      <c r="A209" s="231">
        <v>92001</v>
      </c>
      <c r="B209" s="232" t="s">
        <v>922</v>
      </c>
      <c r="C209" s="92">
        <v>1.8143E-3</v>
      </c>
      <c r="D209" s="92">
        <v>1.9604000000000002E-3</v>
      </c>
      <c r="E209" s="236">
        <v>2771748</v>
      </c>
      <c r="F209" s="236"/>
      <c r="G209" s="237">
        <v>159678</v>
      </c>
      <c r="H209" s="225">
        <v>672984</v>
      </c>
      <c r="I209" s="237">
        <v>395844</v>
      </c>
      <c r="J209" s="236">
        <v>48219</v>
      </c>
      <c r="K209" s="225">
        <f t="shared" si="6"/>
        <v>1276725</v>
      </c>
      <c r="L209" s="236"/>
      <c r="M209" s="237">
        <v>78459</v>
      </c>
      <c r="N209" s="237">
        <v>0</v>
      </c>
      <c r="O209" s="236">
        <v>157894</v>
      </c>
      <c r="P209" s="225">
        <f t="shared" si="7"/>
        <v>236353</v>
      </c>
      <c r="Q209" s="236"/>
      <c r="R209" s="237">
        <v>934081</v>
      </c>
      <c r="S209" s="238">
        <v>-42009</v>
      </c>
      <c r="T209" s="238">
        <f>892073-1</f>
        <v>892072</v>
      </c>
    </row>
    <row r="210" spans="1:20">
      <c r="A210" s="231">
        <v>92005</v>
      </c>
      <c r="B210" s="232" t="s">
        <v>923</v>
      </c>
      <c r="C210" s="92">
        <v>4.1399999999999997E-5</v>
      </c>
      <c r="D210" s="92">
        <v>4.6499999999999999E-5</v>
      </c>
      <c r="E210" s="236">
        <v>63248</v>
      </c>
      <c r="F210" s="236"/>
      <c r="G210" s="237">
        <v>3644</v>
      </c>
      <c r="H210" s="225">
        <v>15356</v>
      </c>
      <c r="I210" s="237">
        <v>9033</v>
      </c>
      <c r="J210" s="236">
        <v>1741</v>
      </c>
      <c r="K210" s="225">
        <f t="shared" si="6"/>
        <v>29774</v>
      </c>
      <c r="L210" s="236"/>
      <c r="M210" s="237">
        <v>1790</v>
      </c>
      <c r="N210" s="237">
        <v>0</v>
      </c>
      <c r="O210" s="236">
        <v>2252</v>
      </c>
      <c r="P210" s="225">
        <f t="shared" si="7"/>
        <v>4042</v>
      </c>
      <c r="Q210" s="236"/>
      <c r="R210" s="237">
        <v>21315</v>
      </c>
      <c r="S210" s="238">
        <v>208</v>
      </c>
      <c r="T210" s="238">
        <f>21522+1</f>
        <v>21523</v>
      </c>
    </row>
    <row r="211" spans="1:20">
      <c r="A211" s="231">
        <v>92011</v>
      </c>
      <c r="B211" s="232" t="s">
        <v>924</v>
      </c>
      <c r="C211" s="92">
        <v>2.0049999999999999E-4</v>
      </c>
      <c r="D211" s="92">
        <v>1.8660000000000001E-4</v>
      </c>
      <c r="E211" s="236">
        <v>306308</v>
      </c>
      <c r="F211" s="236"/>
      <c r="G211" s="237">
        <v>17646</v>
      </c>
      <c r="H211" s="225">
        <v>74372</v>
      </c>
      <c r="I211" s="237">
        <v>43745</v>
      </c>
      <c r="J211" s="236">
        <v>17614</v>
      </c>
      <c r="K211" s="225">
        <f t="shared" si="6"/>
        <v>153377</v>
      </c>
      <c r="L211" s="236"/>
      <c r="M211" s="237">
        <v>8671</v>
      </c>
      <c r="N211" s="237">
        <v>0</v>
      </c>
      <c r="O211" s="236">
        <v>0</v>
      </c>
      <c r="P211" s="225">
        <f t="shared" si="7"/>
        <v>8671</v>
      </c>
      <c r="Q211" s="236"/>
      <c r="R211" s="237">
        <v>103226</v>
      </c>
      <c r="S211" s="238">
        <v>9780</v>
      </c>
      <c r="T211" s="238">
        <v>113006</v>
      </c>
    </row>
    <row r="212" spans="1:20">
      <c r="A212" s="231">
        <v>92017</v>
      </c>
      <c r="B212" s="232" t="s">
        <v>925</v>
      </c>
      <c r="C212" s="92">
        <v>3.4199999999999998E-5</v>
      </c>
      <c r="D212" s="92">
        <v>3.5099999999999999E-5</v>
      </c>
      <c r="E212" s="236">
        <v>52248</v>
      </c>
      <c r="F212" s="236"/>
      <c r="G212" s="237">
        <v>3010</v>
      </c>
      <c r="H212" s="225">
        <v>12686</v>
      </c>
      <c r="I212" s="237">
        <v>7462</v>
      </c>
      <c r="J212" s="236">
        <v>639</v>
      </c>
      <c r="K212" s="225">
        <f t="shared" si="6"/>
        <v>23797</v>
      </c>
      <c r="L212" s="236"/>
      <c r="M212" s="237">
        <v>1479</v>
      </c>
      <c r="N212" s="237">
        <v>0</v>
      </c>
      <c r="O212" s="236">
        <v>1257</v>
      </c>
      <c r="P212" s="225">
        <f t="shared" si="7"/>
        <v>2736</v>
      </c>
      <c r="Q212" s="236"/>
      <c r="R212" s="237">
        <v>17608</v>
      </c>
      <c r="S212" s="238">
        <v>-668</v>
      </c>
      <c r="T212" s="238">
        <f>16939+1</f>
        <v>16940</v>
      </c>
    </row>
    <row r="213" spans="1:20">
      <c r="A213" s="231">
        <v>92021</v>
      </c>
      <c r="B213" s="232" t="s">
        <v>926</v>
      </c>
      <c r="C213" s="92">
        <v>1.5779999999999999E-4</v>
      </c>
      <c r="D213" s="92">
        <v>1.4249999999999999E-4</v>
      </c>
      <c r="E213" s="236">
        <v>241075</v>
      </c>
      <c r="F213" s="236"/>
      <c r="G213" s="237">
        <v>13888</v>
      </c>
      <c r="H213" s="225">
        <v>58533</v>
      </c>
      <c r="I213" s="237">
        <v>34429</v>
      </c>
      <c r="J213" s="236">
        <v>30504</v>
      </c>
      <c r="K213" s="225">
        <f t="shared" si="6"/>
        <v>137354</v>
      </c>
      <c r="L213" s="236"/>
      <c r="M213" s="237">
        <v>6824</v>
      </c>
      <c r="N213" s="237">
        <v>0</v>
      </c>
      <c r="O213" s="236">
        <v>11142</v>
      </c>
      <c r="P213" s="225">
        <f t="shared" si="7"/>
        <v>17966</v>
      </c>
      <c r="Q213" s="236"/>
      <c r="R213" s="237">
        <v>81242</v>
      </c>
      <c r="S213" s="238">
        <v>1771</v>
      </c>
      <c r="T213" s="238">
        <f>83014-1</f>
        <v>83013</v>
      </c>
    </row>
    <row r="214" spans="1:20">
      <c r="A214" s="231">
        <v>92101</v>
      </c>
      <c r="B214" s="232" t="s">
        <v>927</v>
      </c>
      <c r="C214" s="92">
        <v>8.5209999999999995E-4</v>
      </c>
      <c r="D214" s="92">
        <v>8.6870000000000003E-4</v>
      </c>
      <c r="E214" s="236">
        <v>1301773</v>
      </c>
      <c r="F214" s="236"/>
      <c r="G214" s="237">
        <v>74994</v>
      </c>
      <c r="H214" s="225">
        <v>316072</v>
      </c>
      <c r="I214" s="237">
        <v>185911</v>
      </c>
      <c r="J214" s="236">
        <v>9505</v>
      </c>
      <c r="K214" s="225">
        <f t="shared" si="6"/>
        <v>586482</v>
      </c>
      <c r="L214" s="236"/>
      <c r="M214" s="237">
        <v>36849</v>
      </c>
      <c r="N214" s="237">
        <v>0</v>
      </c>
      <c r="O214" s="236">
        <v>63189</v>
      </c>
      <c r="P214" s="225">
        <f t="shared" si="7"/>
        <v>100038</v>
      </c>
      <c r="Q214" s="236"/>
      <c r="R214" s="237">
        <v>438699</v>
      </c>
      <c r="S214" s="238">
        <v>-10164</v>
      </c>
      <c r="T214" s="238">
        <v>428535</v>
      </c>
    </row>
    <row r="215" spans="1:20">
      <c r="A215" s="231">
        <v>92104</v>
      </c>
      <c r="B215" s="232" t="s">
        <v>928</v>
      </c>
      <c r="C215" s="92">
        <v>8.6000000000000007E-6</v>
      </c>
      <c r="D215" s="92">
        <v>8.8000000000000004E-6</v>
      </c>
      <c r="E215" s="236">
        <v>13138</v>
      </c>
      <c r="F215" s="236"/>
      <c r="G215" s="237">
        <v>757</v>
      </c>
      <c r="H215" s="225">
        <v>3190</v>
      </c>
      <c r="I215" s="237">
        <v>1876</v>
      </c>
      <c r="J215" s="236">
        <v>3377</v>
      </c>
      <c r="K215" s="225">
        <f t="shared" si="6"/>
        <v>9200</v>
      </c>
      <c r="L215" s="236"/>
      <c r="M215" s="237">
        <v>372</v>
      </c>
      <c r="N215" s="237">
        <v>0</v>
      </c>
      <c r="O215" s="236">
        <v>0</v>
      </c>
      <c r="P215" s="225">
        <f t="shared" si="7"/>
        <v>372</v>
      </c>
      <c r="Q215" s="236"/>
      <c r="R215" s="237">
        <v>4428</v>
      </c>
      <c r="S215" s="238">
        <v>1850</v>
      </c>
      <c r="T215" s="238">
        <f>6277+1</f>
        <v>6278</v>
      </c>
    </row>
    <row r="216" spans="1:20">
      <c r="A216" s="231">
        <v>92109</v>
      </c>
      <c r="B216" s="232" t="s">
        <v>929</v>
      </c>
      <c r="C216" s="92">
        <v>1.8809999999999999E-4</v>
      </c>
      <c r="D216" s="92">
        <v>1.7909999999999999E-4</v>
      </c>
      <c r="E216" s="236">
        <v>287365</v>
      </c>
      <c r="F216" s="236"/>
      <c r="G216" s="237">
        <v>16555</v>
      </c>
      <c r="H216" s="225">
        <v>69773</v>
      </c>
      <c r="I216" s="237">
        <v>41040</v>
      </c>
      <c r="J216" s="236">
        <v>2067</v>
      </c>
      <c r="K216" s="225">
        <f t="shared" si="6"/>
        <v>129435</v>
      </c>
      <c r="L216" s="236"/>
      <c r="M216" s="237">
        <v>8134</v>
      </c>
      <c r="N216" s="237">
        <v>0</v>
      </c>
      <c r="O216" s="236">
        <v>12612</v>
      </c>
      <c r="P216" s="225">
        <f t="shared" si="7"/>
        <v>20746</v>
      </c>
      <c r="Q216" s="236"/>
      <c r="R216" s="237">
        <v>96842</v>
      </c>
      <c r="S216" s="238">
        <v>-5396</v>
      </c>
      <c r="T216" s="238">
        <v>91446</v>
      </c>
    </row>
    <row r="217" spans="1:20">
      <c r="A217" s="231">
        <v>92111</v>
      </c>
      <c r="B217" s="232" t="s">
        <v>930</v>
      </c>
      <c r="C217" s="92">
        <v>5.0460000000000001E-4</v>
      </c>
      <c r="D217" s="92">
        <v>5.0009999999999996E-4</v>
      </c>
      <c r="E217" s="236">
        <v>770889</v>
      </c>
      <c r="F217" s="236"/>
      <c r="G217" s="237">
        <v>44410</v>
      </c>
      <c r="H217" s="225">
        <v>187173</v>
      </c>
      <c r="I217" s="237">
        <v>110094</v>
      </c>
      <c r="J217" s="236">
        <v>10602</v>
      </c>
      <c r="K217" s="225">
        <f t="shared" si="6"/>
        <v>352279</v>
      </c>
      <c r="L217" s="236"/>
      <c r="M217" s="237">
        <v>21821</v>
      </c>
      <c r="N217" s="237">
        <v>0</v>
      </c>
      <c r="O217" s="236">
        <v>13269</v>
      </c>
      <c r="P217" s="225">
        <f t="shared" si="7"/>
        <v>35090</v>
      </c>
      <c r="Q217" s="236"/>
      <c r="R217" s="237">
        <v>259790</v>
      </c>
      <c r="S217" s="238">
        <v>2449</v>
      </c>
      <c r="T217" s="238">
        <v>262239</v>
      </c>
    </row>
    <row r="218" spans="1:20">
      <c r="A218" s="231">
        <v>92113</v>
      </c>
      <c r="B218" s="232" t="s">
        <v>931</v>
      </c>
      <c r="C218" s="92">
        <v>1.4399999999999999E-5</v>
      </c>
      <c r="D218" s="92">
        <v>2.2099999999999998E-5</v>
      </c>
      <c r="E218" s="236">
        <v>21999</v>
      </c>
      <c r="F218" s="236"/>
      <c r="G218" s="237">
        <v>1267</v>
      </c>
      <c r="H218" s="225">
        <v>5342</v>
      </c>
      <c r="I218" s="237">
        <v>3142</v>
      </c>
      <c r="J218" s="236">
        <v>17604</v>
      </c>
      <c r="K218" s="225">
        <f t="shared" si="6"/>
        <v>27355</v>
      </c>
      <c r="L218" s="236"/>
      <c r="M218" s="237">
        <v>623</v>
      </c>
      <c r="N218" s="237">
        <v>0</v>
      </c>
      <c r="O218" s="236">
        <v>2179</v>
      </c>
      <c r="P218" s="225">
        <f t="shared" si="7"/>
        <v>2802</v>
      </c>
      <c r="Q218" s="236"/>
      <c r="R218" s="237">
        <v>7414</v>
      </c>
      <c r="S218" s="238">
        <v>7173</v>
      </c>
      <c r="T218" s="238">
        <v>14587</v>
      </c>
    </row>
    <row r="219" spans="1:20">
      <c r="A219" s="231">
        <v>92201</v>
      </c>
      <c r="B219" s="232" t="s">
        <v>932</v>
      </c>
      <c r="C219" s="92">
        <v>9.3389999999999999E-4</v>
      </c>
      <c r="D219" s="92">
        <v>1.0267E-3</v>
      </c>
      <c r="E219" s="236">
        <v>1426741</v>
      </c>
      <c r="F219" s="236"/>
      <c r="G219" s="237">
        <v>82193</v>
      </c>
      <c r="H219" s="225">
        <v>346414</v>
      </c>
      <c r="I219" s="237">
        <v>203758</v>
      </c>
      <c r="J219" s="236">
        <v>36804</v>
      </c>
      <c r="K219" s="225">
        <f t="shared" si="6"/>
        <v>669169</v>
      </c>
      <c r="L219" s="236"/>
      <c r="M219" s="237">
        <v>40387</v>
      </c>
      <c r="N219" s="237">
        <v>0</v>
      </c>
      <c r="O219" s="236">
        <v>43356</v>
      </c>
      <c r="P219" s="225">
        <f t="shared" si="7"/>
        <v>83743</v>
      </c>
      <c r="Q219" s="236"/>
      <c r="R219" s="237">
        <v>480813</v>
      </c>
      <c r="S219" s="238">
        <v>13056</v>
      </c>
      <c r="T219" s="238">
        <v>493869</v>
      </c>
    </row>
    <row r="220" spans="1:20">
      <c r="A220" s="231">
        <v>92301</v>
      </c>
      <c r="B220" s="232" t="s">
        <v>933</v>
      </c>
      <c r="C220" s="92">
        <v>5.2129999999999998E-3</v>
      </c>
      <c r="D220" s="92">
        <v>5.2411000000000003E-3</v>
      </c>
      <c r="E220" s="236">
        <v>7964020</v>
      </c>
      <c r="F220" s="236"/>
      <c r="G220" s="237">
        <v>458801</v>
      </c>
      <c r="H220" s="225">
        <v>1933674</v>
      </c>
      <c r="I220" s="237">
        <v>1137372</v>
      </c>
      <c r="J220" s="236">
        <v>53669</v>
      </c>
      <c r="K220" s="225">
        <f t="shared" si="6"/>
        <v>3583516</v>
      </c>
      <c r="L220" s="236"/>
      <c r="M220" s="237">
        <v>225436</v>
      </c>
      <c r="N220" s="237">
        <v>0</v>
      </c>
      <c r="O220" s="236">
        <v>40357</v>
      </c>
      <c r="P220" s="225">
        <f t="shared" si="7"/>
        <v>265793</v>
      </c>
      <c r="Q220" s="236"/>
      <c r="R220" s="237">
        <v>2683882</v>
      </c>
      <c r="S220" s="238">
        <v>7360</v>
      </c>
      <c r="T220" s="238">
        <v>2691242</v>
      </c>
    </row>
    <row r="221" spans="1:20">
      <c r="A221" s="231">
        <v>92302</v>
      </c>
      <c r="B221" s="232" t="s">
        <v>934</v>
      </c>
      <c r="C221" s="92">
        <v>2.9740000000000002E-4</v>
      </c>
      <c r="D221" s="92">
        <v>3.168E-4</v>
      </c>
      <c r="E221" s="236">
        <v>454345</v>
      </c>
      <c r="F221" s="236"/>
      <c r="G221" s="237">
        <v>26174</v>
      </c>
      <c r="H221" s="225">
        <v>110316</v>
      </c>
      <c r="I221" s="237">
        <v>64887</v>
      </c>
      <c r="J221" s="236">
        <v>0</v>
      </c>
      <c r="K221" s="225">
        <f t="shared" si="6"/>
        <v>201377</v>
      </c>
      <c r="L221" s="236"/>
      <c r="M221" s="237">
        <v>12861</v>
      </c>
      <c r="N221" s="237">
        <v>0</v>
      </c>
      <c r="O221" s="236">
        <v>28639</v>
      </c>
      <c r="P221" s="225">
        <f t="shared" si="7"/>
        <v>41500</v>
      </c>
      <c r="Q221" s="236"/>
      <c r="R221" s="237">
        <v>153115</v>
      </c>
      <c r="S221" s="238">
        <v>-9739</v>
      </c>
      <c r="T221" s="238">
        <v>143376</v>
      </c>
    </row>
    <row r="222" spans="1:20">
      <c r="A222" s="231">
        <v>92311</v>
      </c>
      <c r="B222" s="232" t="s">
        <v>935</v>
      </c>
      <c r="C222" s="92">
        <v>2.2504999999999999E-3</v>
      </c>
      <c r="D222" s="92">
        <v>2.1857000000000001E-3</v>
      </c>
      <c r="E222" s="236">
        <v>3438141</v>
      </c>
      <c r="F222" s="236"/>
      <c r="G222" s="237">
        <v>198069</v>
      </c>
      <c r="H222" s="225">
        <v>834785</v>
      </c>
      <c r="I222" s="237">
        <v>491014</v>
      </c>
      <c r="J222" s="236">
        <v>8358</v>
      </c>
      <c r="K222" s="225">
        <f t="shared" si="6"/>
        <v>1532226</v>
      </c>
      <c r="L222" s="236"/>
      <c r="M222" s="237">
        <v>97323</v>
      </c>
      <c r="N222" s="237">
        <v>0</v>
      </c>
      <c r="O222" s="236">
        <v>54246</v>
      </c>
      <c r="P222" s="225">
        <f t="shared" si="7"/>
        <v>151569</v>
      </c>
      <c r="Q222" s="236"/>
      <c r="R222" s="237">
        <v>1158656</v>
      </c>
      <c r="S222" s="238">
        <v>-36529</v>
      </c>
      <c r="T222" s="238">
        <v>1122127</v>
      </c>
    </row>
    <row r="223" spans="1:20">
      <c r="A223" s="231">
        <v>92317</v>
      </c>
      <c r="B223" s="232" t="s">
        <v>936</v>
      </c>
      <c r="C223" s="92">
        <v>2.94E-5</v>
      </c>
      <c r="D223" s="92">
        <v>2.9600000000000001E-5</v>
      </c>
      <c r="E223" s="236">
        <v>44915</v>
      </c>
      <c r="F223" s="236"/>
      <c r="G223" s="237">
        <v>2588</v>
      </c>
      <c r="H223" s="225">
        <v>10905</v>
      </c>
      <c r="I223" s="237">
        <v>6414</v>
      </c>
      <c r="J223" s="236">
        <v>15615</v>
      </c>
      <c r="K223" s="225">
        <f t="shared" si="6"/>
        <v>35522</v>
      </c>
      <c r="L223" s="236"/>
      <c r="M223" s="237">
        <v>1271</v>
      </c>
      <c r="N223" s="237">
        <v>0</v>
      </c>
      <c r="O223" s="236">
        <v>0</v>
      </c>
      <c r="P223" s="225">
        <f t="shared" si="7"/>
        <v>1271</v>
      </c>
      <c r="Q223" s="236"/>
      <c r="R223" s="237">
        <v>15136</v>
      </c>
      <c r="S223" s="238">
        <v>6218</v>
      </c>
      <c r="T223" s="238">
        <v>21354</v>
      </c>
    </row>
    <row r="224" spans="1:20">
      <c r="A224" s="231">
        <v>92321</v>
      </c>
      <c r="B224" s="232" t="s">
        <v>937</v>
      </c>
      <c r="C224" s="92">
        <v>1.1773E-3</v>
      </c>
      <c r="D224" s="92">
        <v>1.2218999999999999E-3</v>
      </c>
      <c r="E224" s="236">
        <v>1798588</v>
      </c>
      <c r="F224" s="236"/>
      <c r="G224" s="237">
        <v>103615</v>
      </c>
      <c r="H224" s="225">
        <v>436700</v>
      </c>
      <c r="I224" s="237">
        <v>256863</v>
      </c>
      <c r="J224" s="236">
        <v>35464</v>
      </c>
      <c r="K224" s="225">
        <f t="shared" si="6"/>
        <v>832642</v>
      </c>
      <c r="L224" s="236"/>
      <c r="M224" s="237">
        <v>50912</v>
      </c>
      <c r="N224" s="237">
        <v>0</v>
      </c>
      <c r="O224" s="236">
        <v>20669</v>
      </c>
      <c r="P224" s="225">
        <f t="shared" si="7"/>
        <v>71581</v>
      </c>
      <c r="Q224" s="236"/>
      <c r="R224" s="237">
        <v>606126</v>
      </c>
      <c r="S224" s="238">
        <v>20498</v>
      </c>
      <c r="T224" s="238">
        <v>626624</v>
      </c>
    </row>
    <row r="225" spans="1:20">
      <c r="A225" s="231">
        <v>92327</v>
      </c>
      <c r="B225" s="232" t="s">
        <v>938</v>
      </c>
      <c r="C225" s="92">
        <v>5.6999999999999996E-6</v>
      </c>
      <c r="D225" s="92">
        <v>7.6000000000000001E-6</v>
      </c>
      <c r="E225" s="236">
        <v>8708</v>
      </c>
      <c r="F225" s="236"/>
      <c r="G225" s="237">
        <v>502</v>
      </c>
      <c r="H225" s="225">
        <v>2115</v>
      </c>
      <c r="I225" s="237">
        <v>1244</v>
      </c>
      <c r="J225" s="236">
        <v>2932</v>
      </c>
      <c r="K225" s="225">
        <f t="shared" si="6"/>
        <v>6793</v>
      </c>
      <c r="L225" s="236"/>
      <c r="M225" s="237">
        <v>246</v>
      </c>
      <c r="N225" s="237">
        <v>0</v>
      </c>
      <c r="O225" s="236">
        <v>0</v>
      </c>
      <c r="P225" s="225">
        <f t="shared" si="7"/>
        <v>246</v>
      </c>
      <c r="Q225" s="236"/>
      <c r="R225" s="237">
        <v>2935</v>
      </c>
      <c r="S225" s="238">
        <v>1142</v>
      </c>
      <c r="T225" s="238">
        <v>4077</v>
      </c>
    </row>
    <row r="226" spans="1:20">
      <c r="A226" s="231">
        <v>92331</v>
      </c>
      <c r="B226" s="232" t="s">
        <v>939</v>
      </c>
      <c r="C226" s="92">
        <v>1.3970000000000001E-4</v>
      </c>
      <c r="D226" s="92">
        <v>1.393E-4</v>
      </c>
      <c r="E226" s="236">
        <v>213423</v>
      </c>
      <c r="F226" s="236"/>
      <c r="G226" s="237">
        <v>12295</v>
      </c>
      <c r="H226" s="225">
        <v>51819</v>
      </c>
      <c r="I226" s="237">
        <v>30480</v>
      </c>
      <c r="J226" s="236">
        <v>2070</v>
      </c>
      <c r="K226" s="225">
        <f t="shared" si="6"/>
        <v>96664</v>
      </c>
      <c r="L226" s="236"/>
      <c r="M226" s="237">
        <v>6041</v>
      </c>
      <c r="N226" s="237">
        <v>0</v>
      </c>
      <c r="O226" s="236">
        <v>7559</v>
      </c>
      <c r="P226" s="225">
        <f t="shared" si="7"/>
        <v>13600</v>
      </c>
      <c r="Q226" s="236"/>
      <c r="R226" s="237">
        <v>71924</v>
      </c>
      <c r="S226" s="238">
        <v>-755</v>
      </c>
      <c r="T226" s="238">
        <v>71169</v>
      </c>
    </row>
    <row r="227" spans="1:20">
      <c r="A227" s="231">
        <v>92341</v>
      </c>
      <c r="B227" s="232" t="s">
        <v>940</v>
      </c>
      <c r="C227" s="92">
        <v>9.7999999999999993E-6</v>
      </c>
      <c r="D227" s="92">
        <v>7.9000000000000006E-6</v>
      </c>
      <c r="E227" s="236">
        <v>14972</v>
      </c>
      <c r="F227" s="236"/>
      <c r="G227" s="237">
        <v>863</v>
      </c>
      <c r="H227" s="225">
        <v>3635</v>
      </c>
      <c r="I227" s="237">
        <v>2138</v>
      </c>
      <c r="J227" s="236">
        <v>523</v>
      </c>
      <c r="K227" s="225">
        <f t="shared" si="6"/>
        <v>7159</v>
      </c>
      <c r="L227" s="236"/>
      <c r="M227" s="237">
        <v>424</v>
      </c>
      <c r="N227" s="237">
        <v>0</v>
      </c>
      <c r="O227" s="236">
        <v>1977</v>
      </c>
      <c r="P227" s="225">
        <f t="shared" si="7"/>
        <v>2401</v>
      </c>
      <c r="Q227" s="236"/>
      <c r="R227" s="237">
        <v>5045</v>
      </c>
      <c r="S227" s="238">
        <v>-859</v>
      </c>
      <c r="T227" s="238">
        <f>4187-1</f>
        <v>4186</v>
      </c>
    </row>
    <row r="228" spans="1:20">
      <c r="A228" s="231">
        <v>92351</v>
      </c>
      <c r="B228" s="232" t="s">
        <v>941</v>
      </c>
      <c r="C228" s="92">
        <v>1.8600000000000001E-5</v>
      </c>
      <c r="D228" s="92">
        <v>1.95E-5</v>
      </c>
      <c r="E228" s="236">
        <v>28416</v>
      </c>
      <c r="F228" s="236"/>
      <c r="G228" s="237">
        <v>1637</v>
      </c>
      <c r="H228" s="225">
        <v>6899</v>
      </c>
      <c r="I228" s="237">
        <v>4058</v>
      </c>
      <c r="J228" s="236">
        <v>746</v>
      </c>
      <c r="K228" s="225">
        <f t="shared" si="6"/>
        <v>13340</v>
      </c>
      <c r="L228" s="236"/>
      <c r="M228" s="237">
        <v>804</v>
      </c>
      <c r="N228" s="237">
        <v>0</v>
      </c>
      <c r="O228" s="236">
        <v>4166</v>
      </c>
      <c r="P228" s="225">
        <f t="shared" si="7"/>
        <v>4970</v>
      </c>
      <c r="Q228" s="236"/>
      <c r="R228" s="237">
        <v>9576</v>
      </c>
      <c r="S228" s="238">
        <v>-1010</v>
      </c>
      <c r="T228" s="238">
        <f>8567-1</f>
        <v>8566</v>
      </c>
    </row>
    <row r="229" spans="1:20">
      <c r="A229" s="231">
        <v>92401</v>
      </c>
      <c r="B229" s="232" t="s">
        <v>942</v>
      </c>
      <c r="C229" s="92">
        <v>2.6890999999999998E-3</v>
      </c>
      <c r="D229" s="92">
        <v>2.7449000000000002E-3</v>
      </c>
      <c r="E229" s="236">
        <v>4108200</v>
      </c>
      <c r="F229" s="236"/>
      <c r="G229" s="237">
        <v>236670</v>
      </c>
      <c r="H229" s="225">
        <v>997476</v>
      </c>
      <c r="I229" s="237">
        <v>586708</v>
      </c>
      <c r="J229" s="236">
        <v>34938</v>
      </c>
      <c r="K229" s="225">
        <f t="shared" si="6"/>
        <v>1855792</v>
      </c>
      <c r="L229" s="236"/>
      <c r="M229" s="237">
        <v>116290</v>
      </c>
      <c r="N229" s="237">
        <v>0</v>
      </c>
      <c r="O229" s="236">
        <v>3448</v>
      </c>
      <c r="P229" s="225">
        <f t="shared" si="7"/>
        <v>119738</v>
      </c>
      <c r="Q229" s="236"/>
      <c r="R229" s="237">
        <v>1384467</v>
      </c>
      <c r="S229" s="238">
        <v>19009</v>
      </c>
      <c r="T229" s="238">
        <v>1403476</v>
      </c>
    </row>
    <row r="230" spans="1:20">
      <c r="A230" s="231">
        <v>92403</v>
      </c>
      <c r="B230" s="232" t="s">
        <v>943</v>
      </c>
      <c r="C230" s="92">
        <v>1.11E-5</v>
      </c>
      <c r="D230" s="92">
        <v>9.7999999999999993E-6</v>
      </c>
      <c r="E230" s="236">
        <v>16958</v>
      </c>
      <c r="F230" s="236"/>
      <c r="G230" s="237">
        <v>977</v>
      </c>
      <c r="H230" s="225">
        <v>4117</v>
      </c>
      <c r="I230" s="237">
        <v>2422</v>
      </c>
      <c r="J230" s="236">
        <v>1858</v>
      </c>
      <c r="K230" s="225">
        <f t="shared" si="6"/>
        <v>9374</v>
      </c>
      <c r="L230" s="236"/>
      <c r="M230" s="237">
        <v>480</v>
      </c>
      <c r="N230" s="237">
        <v>0</v>
      </c>
      <c r="O230" s="236">
        <v>1307</v>
      </c>
      <c r="P230" s="225">
        <f t="shared" si="7"/>
        <v>1787</v>
      </c>
      <c r="Q230" s="236"/>
      <c r="R230" s="237">
        <v>5715</v>
      </c>
      <c r="S230" s="238">
        <v>135</v>
      </c>
      <c r="T230" s="238">
        <f>5849+1</f>
        <v>5850</v>
      </c>
    </row>
    <row r="231" spans="1:20">
      <c r="A231" s="231">
        <v>92411</v>
      </c>
      <c r="B231" s="232" t="s">
        <v>944</v>
      </c>
      <c r="C231" s="92">
        <v>5.0469999999999996E-4</v>
      </c>
      <c r="D231" s="92">
        <v>4.8030000000000002E-4</v>
      </c>
      <c r="E231" s="236">
        <v>771042</v>
      </c>
      <c r="F231" s="236"/>
      <c r="G231" s="237">
        <v>44419</v>
      </c>
      <c r="H231" s="225">
        <v>187210</v>
      </c>
      <c r="I231" s="237">
        <v>110115</v>
      </c>
      <c r="J231" s="236">
        <v>369</v>
      </c>
      <c r="K231" s="225">
        <f t="shared" si="6"/>
        <v>342113</v>
      </c>
      <c r="L231" s="236"/>
      <c r="M231" s="237">
        <v>21826</v>
      </c>
      <c r="N231" s="237">
        <v>0</v>
      </c>
      <c r="O231" s="236">
        <v>44165</v>
      </c>
      <c r="P231" s="225">
        <f t="shared" si="7"/>
        <v>65991</v>
      </c>
      <c r="Q231" s="236"/>
      <c r="R231" s="237">
        <v>259842</v>
      </c>
      <c r="S231" s="238">
        <v>-17900</v>
      </c>
      <c r="T231" s="238">
        <v>241942</v>
      </c>
    </row>
    <row r="232" spans="1:20">
      <c r="A232" s="231">
        <v>92414</v>
      </c>
      <c r="B232" s="232" t="s">
        <v>70</v>
      </c>
      <c r="C232" s="92">
        <v>0</v>
      </c>
      <c r="D232" s="92">
        <v>0</v>
      </c>
      <c r="E232" s="236">
        <v>0</v>
      </c>
      <c r="F232" s="236"/>
      <c r="G232" s="237">
        <v>0</v>
      </c>
      <c r="H232" s="225">
        <v>0</v>
      </c>
      <c r="I232" s="237">
        <v>0</v>
      </c>
      <c r="J232" s="236">
        <v>0</v>
      </c>
      <c r="K232" s="225">
        <f t="shared" si="6"/>
        <v>0</v>
      </c>
      <c r="L232" s="236"/>
      <c r="M232" s="237">
        <v>0</v>
      </c>
      <c r="N232" s="237">
        <v>0</v>
      </c>
      <c r="O232" s="236">
        <v>5712</v>
      </c>
      <c r="P232" s="225">
        <f t="shared" si="7"/>
        <v>5712</v>
      </c>
      <c r="Q232" s="236"/>
      <c r="R232" s="237">
        <v>0</v>
      </c>
      <c r="S232" s="238">
        <v>-2445</v>
      </c>
      <c r="T232" s="238">
        <v>-2445</v>
      </c>
    </row>
    <row r="233" spans="1:20">
      <c r="A233" s="231">
        <v>92417</v>
      </c>
      <c r="B233" s="232" t="s">
        <v>945</v>
      </c>
      <c r="C233" s="92">
        <v>1.8300000000000001E-5</v>
      </c>
      <c r="D233" s="92">
        <v>1.77E-5</v>
      </c>
      <c r="E233" s="236">
        <v>27957</v>
      </c>
      <c r="F233" s="236"/>
      <c r="G233" s="237">
        <v>1611</v>
      </c>
      <c r="H233" s="225">
        <v>6788</v>
      </c>
      <c r="I233" s="237">
        <v>3993</v>
      </c>
      <c r="J233" s="236">
        <v>0</v>
      </c>
      <c r="K233" s="225">
        <f t="shared" si="6"/>
        <v>12392</v>
      </c>
      <c r="L233" s="236"/>
      <c r="M233" s="237">
        <v>791</v>
      </c>
      <c r="N233" s="237">
        <v>0</v>
      </c>
      <c r="O233" s="236">
        <v>2726</v>
      </c>
      <c r="P233" s="225">
        <f t="shared" si="7"/>
        <v>3517</v>
      </c>
      <c r="Q233" s="236"/>
      <c r="R233" s="237">
        <v>9422</v>
      </c>
      <c r="S233" s="238">
        <v>-895</v>
      </c>
      <c r="T233" s="238">
        <v>8527</v>
      </c>
    </row>
    <row r="234" spans="1:20">
      <c r="A234" s="231">
        <v>92421</v>
      </c>
      <c r="B234" s="232" t="s">
        <v>946</v>
      </c>
      <c r="C234" s="92">
        <v>8.8000000000000004E-6</v>
      </c>
      <c r="D234" s="92">
        <v>9.0000000000000002E-6</v>
      </c>
      <c r="E234" s="236">
        <v>13444</v>
      </c>
      <c r="F234" s="236"/>
      <c r="G234" s="237">
        <v>774</v>
      </c>
      <c r="H234" s="225">
        <v>3264</v>
      </c>
      <c r="I234" s="237">
        <v>1920</v>
      </c>
      <c r="J234" s="236">
        <v>3546</v>
      </c>
      <c r="K234" s="225">
        <f t="shared" si="6"/>
        <v>9504</v>
      </c>
      <c r="L234" s="236"/>
      <c r="M234" s="237">
        <v>381</v>
      </c>
      <c r="N234" s="237">
        <v>0</v>
      </c>
      <c r="O234" s="236">
        <v>1149</v>
      </c>
      <c r="P234" s="225">
        <f t="shared" si="7"/>
        <v>1530</v>
      </c>
      <c r="Q234" s="236"/>
      <c r="R234" s="237">
        <v>4531</v>
      </c>
      <c r="S234" s="238">
        <v>935</v>
      </c>
      <c r="T234" s="238">
        <v>5466</v>
      </c>
    </row>
    <row r="235" spans="1:20">
      <c r="A235" s="231">
        <v>92427</v>
      </c>
      <c r="B235" s="232" t="s">
        <v>947</v>
      </c>
      <c r="C235" s="92">
        <v>3.9999999999999998E-7</v>
      </c>
      <c r="D235" s="92">
        <v>6.9999999999999997E-7</v>
      </c>
      <c r="E235" s="236">
        <v>611</v>
      </c>
      <c r="F235" s="236"/>
      <c r="G235" s="237">
        <v>35</v>
      </c>
      <c r="H235" s="225">
        <v>148</v>
      </c>
      <c r="I235" s="237">
        <v>87</v>
      </c>
      <c r="J235" s="236">
        <v>1998</v>
      </c>
      <c r="K235" s="225">
        <f t="shared" si="6"/>
        <v>2268</v>
      </c>
      <c r="L235" s="236"/>
      <c r="M235" s="237">
        <v>17</v>
      </c>
      <c r="N235" s="237">
        <v>0</v>
      </c>
      <c r="O235" s="236">
        <v>0</v>
      </c>
      <c r="P235" s="225">
        <f t="shared" si="7"/>
        <v>17</v>
      </c>
      <c r="Q235" s="236"/>
      <c r="R235" s="237">
        <v>206</v>
      </c>
      <c r="S235" s="238">
        <v>841</v>
      </c>
      <c r="T235" s="238">
        <v>1047</v>
      </c>
    </row>
    <row r="236" spans="1:20">
      <c r="A236" s="231">
        <v>92431</v>
      </c>
      <c r="B236" s="232" t="s">
        <v>948</v>
      </c>
      <c r="C236" s="92">
        <v>3.0800000000000003E-5</v>
      </c>
      <c r="D236" s="92">
        <v>1.8499999999999999E-5</v>
      </c>
      <c r="E236" s="236">
        <v>47054</v>
      </c>
      <c r="F236" s="236"/>
      <c r="G236" s="237">
        <v>2711</v>
      </c>
      <c r="H236" s="225">
        <v>11425</v>
      </c>
      <c r="I236" s="237">
        <v>6720</v>
      </c>
      <c r="J236" s="236">
        <v>18832</v>
      </c>
      <c r="K236" s="225">
        <f t="shared" si="6"/>
        <v>39688</v>
      </c>
      <c r="L236" s="236"/>
      <c r="M236" s="237">
        <v>1332</v>
      </c>
      <c r="N236" s="237">
        <v>0</v>
      </c>
      <c r="O236" s="236">
        <v>3766</v>
      </c>
      <c r="P236" s="225">
        <f t="shared" si="7"/>
        <v>5098</v>
      </c>
      <c r="Q236" s="236"/>
      <c r="R236" s="237">
        <v>15857</v>
      </c>
      <c r="S236" s="238">
        <v>4147</v>
      </c>
      <c r="T236" s="238">
        <v>20004</v>
      </c>
    </row>
    <row r="237" spans="1:20">
      <c r="A237" s="231">
        <v>92441</v>
      </c>
      <c r="B237" s="232" t="s">
        <v>949</v>
      </c>
      <c r="C237" s="92">
        <v>7.7999999999999999E-5</v>
      </c>
      <c r="D237" s="92">
        <v>9.2299999999999994E-5</v>
      </c>
      <c r="E237" s="236">
        <v>119162</v>
      </c>
      <c r="F237" s="236"/>
      <c r="G237" s="237">
        <v>6865</v>
      </c>
      <c r="H237" s="225">
        <v>28933</v>
      </c>
      <c r="I237" s="237">
        <v>17018</v>
      </c>
      <c r="J237" s="236">
        <v>0</v>
      </c>
      <c r="K237" s="225">
        <f t="shared" si="6"/>
        <v>52816</v>
      </c>
      <c r="L237" s="236"/>
      <c r="M237" s="237">
        <v>3373</v>
      </c>
      <c r="N237" s="237">
        <v>0</v>
      </c>
      <c r="O237" s="236">
        <v>15306</v>
      </c>
      <c r="P237" s="225">
        <f t="shared" si="7"/>
        <v>18679</v>
      </c>
      <c r="Q237" s="236"/>
      <c r="R237" s="237">
        <v>40158</v>
      </c>
      <c r="S237" s="238">
        <v>-6990</v>
      </c>
      <c r="T237" s="238">
        <f>33167+1</f>
        <v>33168</v>
      </c>
    </row>
    <row r="238" spans="1:20">
      <c r="A238" s="231">
        <v>92444</v>
      </c>
      <c r="B238" s="232" t="s">
        <v>950</v>
      </c>
      <c r="C238" s="92">
        <v>1.7999999999999999E-6</v>
      </c>
      <c r="D238" s="92">
        <v>1.9999999999999999E-6</v>
      </c>
      <c r="E238" s="236">
        <v>2750</v>
      </c>
      <c r="F238" s="236"/>
      <c r="G238" s="237">
        <v>158</v>
      </c>
      <c r="H238" s="225">
        <v>667</v>
      </c>
      <c r="I238" s="237">
        <v>393</v>
      </c>
      <c r="J238" s="236">
        <v>2573</v>
      </c>
      <c r="K238" s="225">
        <f t="shared" si="6"/>
        <v>3791</v>
      </c>
      <c r="L238" s="236"/>
      <c r="M238" s="237">
        <v>78</v>
      </c>
      <c r="N238" s="237">
        <v>0</v>
      </c>
      <c r="O238" s="236">
        <v>0</v>
      </c>
      <c r="P238" s="225">
        <f t="shared" si="7"/>
        <v>78</v>
      </c>
      <c r="Q238" s="236"/>
      <c r="R238" s="237">
        <v>927</v>
      </c>
      <c r="S238" s="238">
        <v>1194</v>
      </c>
      <c r="T238" s="238">
        <v>2121</v>
      </c>
    </row>
    <row r="239" spans="1:20">
      <c r="A239" s="231">
        <v>92451</v>
      </c>
      <c r="B239" s="232" t="s">
        <v>951</v>
      </c>
      <c r="C239" s="92">
        <v>1.3070000000000001E-4</v>
      </c>
      <c r="D239" s="92">
        <v>1.4559999999999999E-4</v>
      </c>
      <c r="E239" s="236">
        <v>199673</v>
      </c>
      <c r="F239" s="236"/>
      <c r="G239" s="237">
        <v>11503</v>
      </c>
      <c r="H239" s="225">
        <v>48481</v>
      </c>
      <c r="I239" s="237">
        <v>28516</v>
      </c>
      <c r="J239" s="236">
        <v>29255</v>
      </c>
      <c r="K239" s="225">
        <f t="shared" si="6"/>
        <v>117755</v>
      </c>
      <c r="L239" s="236"/>
      <c r="M239" s="237">
        <v>5652</v>
      </c>
      <c r="N239" s="237">
        <v>0</v>
      </c>
      <c r="O239" s="236">
        <v>0</v>
      </c>
      <c r="P239" s="225">
        <f t="shared" si="7"/>
        <v>5652</v>
      </c>
      <c r="Q239" s="236"/>
      <c r="R239" s="237">
        <v>67290</v>
      </c>
      <c r="S239" s="238">
        <v>12363</v>
      </c>
      <c r="T239" s="238">
        <v>79653</v>
      </c>
    </row>
    <row r="240" spans="1:20">
      <c r="A240" s="231">
        <v>92461</v>
      </c>
      <c r="B240" s="232" t="s">
        <v>952</v>
      </c>
      <c r="C240" s="92">
        <v>7.1099999999999994E-5</v>
      </c>
      <c r="D240" s="92">
        <v>7.2999999999999999E-5</v>
      </c>
      <c r="E240" s="236">
        <v>108621</v>
      </c>
      <c r="F240" s="236"/>
      <c r="G240" s="237">
        <v>6258</v>
      </c>
      <c r="H240" s="225">
        <v>26373</v>
      </c>
      <c r="I240" s="237">
        <v>15513</v>
      </c>
      <c r="J240" s="236">
        <v>12982</v>
      </c>
      <c r="K240" s="225">
        <f t="shared" si="6"/>
        <v>61126</v>
      </c>
      <c r="L240" s="236"/>
      <c r="M240" s="237">
        <v>3075</v>
      </c>
      <c r="N240" s="237">
        <v>0</v>
      </c>
      <c r="O240" s="236">
        <v>4965</v>
      </c>
      <c r="P240" s="225">
        <f t="shared" si="7"/>
        <v>8040</v>
      </c>
      <c r="Q240" s="236"/>
      <c r="R240" s="237">
        <v>36605</v>
      </c>
      <c r="S240" s="238">
        <v>1157</v>
      </c>
      <c r="T240" s="238">
        <f>37763-1</f>
        <v>37762</v>
      </c>
    </row>
    <row r="241" spans="1:20">
      <c r="A241" s="231">
        <v>92501</v>
      </c>
      <c r="B241" s="232" t="s">
        <v>953</v>
      </c>
      <c r="C241" s="92">
        <v>3.8252E-3</v>
      </c>
      <c r="D241" s="92">
        <v>3.8141E-3</v>
      </c>
      <c r="E241" s="236">
        <v>5843846</v>
      </c>
      <c r="F241" s="236"/>
      <c r="G241" s="237">
        <v>336660</v>
      </c>
      <c r="H241" s="225">
        <v>1418892</v>
      </c>
      <c r="I241" s="237">
        <v>834582</v>
      </c>
      <c r="J241" s="236">
        <v>137822</v>
      </c>
      <c r="K241" s="225">
        <f t="shared" si="6"/>
        <v>2727956</v>
      </c>
      <c r="L241" s="236"/>
      <c r="M241" s="237">
        <v>165421</v>
      </c>
      <c r="N241" s="237">
        <v>0</v>
      </c>
      <c r="O241" s="236">
        <v>9032</v>
      </c>
      <c r="P241" s="225">
        <f t="shared" si="7"/>
        <v>174453</v>
      </c>
      <c r="Q241" s="236"/>
      <c r="R241" s="237">
        <v>1969381</v>
      </c>
      <c r="S241" s="238">
        <v>45362</v>
      </c>
      <c r="T241" s="238">
        <v>2014743</v>
      </c>
    </row>
    <row r="242" spans="1:20">
      <c r="A242" s="231">
        <v>92502</v>
      </c>
      <c r="B242" s="232" t="s">
        <v>954</v>
      </c>
      <c r="C242" s="92">
        <v>2.7500000000000001E-5</v>
      </c>
      <c r="D242" s="92">
        <v>2.8799999999999999E-5</v>
      </c>
      <c r="E242" s="236">
        <v>42012</v>
      </c>
      <c r="F242" s="236"/>
      <c r="G242" s="237">
        <v>2420</v>
      </c>
      <c r="H242" s="225">
        <v>10201</v>
      </c>
      <c r="I242" s="237">
        <v>6000</v>
      </c>
      <c r="J242" s="236">
        <v>3940</v>
      </c>
      <c r="K242" s="225">
        <f t="shared" si="6"/>
        <v>22561</v>
      </c>
      <c r="L242" s="236"/>
      <c r="M242" s="237">
        <v>1189</v>
      </c>
      <c r="N242" s="237">
        <v>0</v>
      </c>
      <c r="O242" s="236">
        <v>2154</v>
      </c>
      <c r="P242" s="225">
        <f t="shared" si="7"/>
        <v>3343</v>
      </c>
      <c r="Q242" s="236"/>
      <c r="R242" s="237">
        <v>14158</v>
      </c>
      <c r="S242" s="238">
        <v>-13</v>
      </c>
      <c r="T242" s="238">
        <v>14145</v>
      </c>
    </row>
    <row r="243" spans="1:20">
      <c r="A243" s="231">
        <v>92504</v>
      </c>
      <c r="B243" s="232" t="s">
        <v>955</v>
      </c>
      <c r="C243" s="92">
        <v>8.4300000000000003E-5</v>
      </c>
      <c r="D243" s="92">
        <v>7.2799999999999994E-5</v>
      </c>
      <c r="E243" s="236">
        <v>128787</v>
      </c>
      <c r="F243" s="236"/>
      <c r="G243" s="237">
        <v>7419</v>
      </c>
      <c r="H243" s="225">
        <v>31269</v>
      </c>
      <c r="I243" s="237">
        <v>18393</v>
      </c>
      <c r="J243" s="236">
        <v>29049</v>
      </c>
      <c r="K243" s="225">
        <f t="shared" si="6"/>
        <v>86130</v>
      </c>
      <c r="L243" s="236"/>
      <c r="M243" s="237">
        <v>3646</v>
      </c>
      <c r="N243" s="237">
        <v>0</v>
      </c>
      <c r="O243" s="236">
        <v>27</v>
      </c>
      <c r="P243" s="225">
        <f t="shared" si="7"/>
        <v>3673</v>
      </c>
      <c r="Q243" s="236"/>
      <c r="R243" s="237">
        <v>43401</v>
      </c>
      <c r="S243" s="238">
        <v>10026</v>
      </c>
      <c r="T243" s="238">
        <v>53427</v>
      </c>
    </row>
    <row r="244" spans="1:20">
      <c r="A244" s="231">
        <v>92505</v>
      </c>
      <c r="B244" s="232" t="s">
        <v>956</v>
      </c>
      <c r="C244" s="92">
        <v>1.9239999999999999E-4</v>
      </c>
      <c r="D244" s="92">
        <v>1.8709999999999999E-4</v>
      </c>
      <c r="E244" s="236">
        <v>293934</v>
      </c>
      <c r="F244" s="236"/>
      <c r="G244" s="237">
        <v>16933</v>
      </c>
      <c r="H244" s="225">
        <v>71367</v>
      </c>
      <c r="I244" s="237">
        <v>41978</v>
      </c>
      <c r="J244" s="236">
        <v>59108</v>
      </c>
      <c r="K244" s="225">
        <f t="shared" si="6"/>
        <v>189386</v>
      </c>
      <c r="L244" s="236"/>
      <c r="M244" s="237">
        <v>8320</v>
      </c>
      <c r="N244" s="237">
        <v>0</v>
      </c>
      <c r="O244" s="236">
        <v>0</v>
      </c>
      <c r="P244" s="225">
        <f t="shared" si="7"/>
        <v>8320</v>
      </c>
      <c r="Q244" s="236"/>
      <c r="R244" s="237">
        <v>99056</v>
      </c>
      <c r="S244" s="238">
        <v>23320</v>
      </c>
      <c r="T244" s="238">
        <v>122376</v>
      </c>
    </row>
    <row r="245" spans="1:20">
      <c r="A245" s="231">
        <v>92506</v>
      </c>
      <c r="B245" s="232" t="s">
        <v>957</v>
      </c>
      <c r="C245" s="92">
        <v>4.7500000000000003E-5</v>
      </c>
      <c r="D245" s="92">
        <v>4.3699999999999998E-5</v>
      </c>
      <c r="E245" s="236">
        <v>72567</v>
      </c>
      <c r="F245" s="236"/>
      <c r="G245" s="237">
        <v>4181</v>
      </c>
      <c r="H245" s="225">
        <v>17619</v>
      </c>
      <c r="I245" s="237">
        <v>10364</v>
      </c>
      <c r="J245" s="236">
        <v>17893</v>
      </c>
      <c r="K245" s="225">
        <f t="shared" si="6"/>
        <v>50057</v>
      </c>
      <c r="L245" s="236"/>
      <c r="M245" s="237">
        <v>2054</v>
      </c>
      <c r="N245" s="237">
        <v>0</v>
      </c>
      <c r="O245" s="236">
        <v>0</v>
      </c>
      <c r="P245" s="225">
        <f t="shared" si="7"/>
        <v>2054</v>
      </c>
      <c r="Q245" s="236"/>
      <c r="R245" s="237">
        <v>24455</v>
      </c>
      <c r="S245" s="238">
        <v>7399</v>
      </c>
      <c r="T245" s="238">
        <v>31854</v>
      </c>
    </row>
    <row r="246" spans="1:20">
      <c r="A246" s="231">
        <v>92507</v>
      </c>
      <c r="B246" s="232" t="s">
        <v>958</v>
      </c>
      <c r="C246" s="92">
        <v>9.5699999999999995E-5</v>
      </c>
      <c r="D246" s="92">
        <v>7.6799999999999997E-5</v>
      </c>
      <c r="E246" s="236">
        <v>146203</v>
      </c>
      <c r="F246" s="236"/>
      <c r="G246" s="237">
        <v>8423</v>
      </c>
      <c r="H246" s="225">
        <v>35498</v>
      </c>
      <c r="I246" s="237">
        <v>20880</v>
      </c>
      <c r="J246" s="236">
        <v>10349</v>
      </c>
      <c r="K246" s="225">
        <f t="shared" si="6"/>
        <v>75150</v>
      </c>
      <c r="L246" s="236"/>
      <c r="M246" s="237">
        <v>4139</v>
      </c>
      <c r="N246" s="237">
        <v>0</v>
      </c>
      <c r="O246" s="236">
        <v>14283</v>
      </c>
      <c r="P246" s="225">
        <f t="shared" si="7"/>
        <v>18422</v>
      </c>
      <c r="Q246" s="236"/>
      <c r="R246" s="237">
        <v>49271</v>
      </c>
      <c r="S246" s="238">
        <v>-5512</v>
      </c>
      <c r="T246" s="238">
        <f>43758+1</f>
        <v>43759</v>
      </c>
    </row>
    <row r="247" spans="1:20">
      <c r="A247" s="231">
        <v>92508</v>
      </c>
      <c r="B247" s="232" t="s">
        <v>959</v>
      </c>
      <c r="C247" s="92">
        <v>3.1E-4</v>
      </c>
      <c r="D247" s="92">
        <v>3.1930000000000001E-4</v>
      </c>
      <c r="E247" s="236">
        <v>473594</v>
      </c>
      <c r="F247" s="236"/>
      <c r="G247" s="237">
        <v>27283</v>
      </c>
      <c r="H247" s="225">
        <v>114989</v>
      </c>
      <c r="I247" s="237">
        <v>67636</v>
      </c>
      <c r="J247" s="236">
        <v>5884</v>
      </c>
      <c r="K247" s="225">
        <f t="shared" si="6"/>
        <v>215792</v>
      </c>
      <c r="L247" s="236"/>
      <c r="M247" s="237">
        <v>13406</v>
      </c>
      <c r="N247" s="237">
        <v>0</v>
      </c>
      <c r="O247" s="236">
        <v>1407</v>
      </c>
      <c r="P247" s="225">
        <f t="shared" si="7"/>
        <v>14813</v>
      </c>
      <c r="Q247" s="236"/>
      <c r="R247" s="237">
        <v>159602</v>
      </c>
      <c r="S247" s="238">
        <v>3411</v>
      </c>
      <c r="T247" s="238">
        <v>163013</v>
      </c>
    </row>
    <row r="248" spans="1:20">
      <c r="A248" s="231">
        <v>92511</v>
      </c>
      <c r="B248" s="232" t="s">
        <v>960</v>
      </c>
      <c r="C248" s="92">
        <v>3.3240000000000001E-3</v>
      </c>
      <c r="D248" s="92">
        <v>3.4164E-3</v>
      </c>
      <c r="E248" s="236">
        <v>5078151</v>
      </c>
      <c r="F248" s="236"/>
      <c r="G248" s="237">
        <v>292549</v>
      </c>
      <c r="H248" s="225">
        <v>1232981</v>
      </c>
      <c r="I248" s="237">
        <v>725230</v>
      </c>
      <c r="J248" s="236">
        <v>12146</v>
      </c>
      <c r="K248" s="225">
        <f t="shared" si="6"/>
        <v>2262906</v>
      </c>
      <c r="L248" s="236"/>
      <c r="M248" s="237">
        <v>143746</v>
      </c>
      <c r="N248" s="237">
        <v>0</v>
      </c>
      <c r="O248" s="236">
        <v>237633</v>
      </c>
      <c r="P248" s="225">
        <f t="shared" si="7"/>
        <v>381379</v>
      </c>
      <c r="Q248" s="236"/>
      <c r="R248" s="237">
        <v>1711341</v>
      </c>
      <c r="S248" s="238">
        <v>-72839</v>
      </c>
      <c r="T248" s="238">
        <f>1638503-1</f>
        <v>1638502</v>
      </c>
    </row>
    <row r="249" spans="1:20">
      <c r="A249" s="231">
        <v>92513</v>
      </c>
      <c r="B249" s="232" t="s">
        <v>961</v>
      </c>
      <c r="C249" s="92">
        <v>4.0328999999999999E-3</v>
      </c>
      <c r="D249" s="92">
        <v>3.9753000000000002E-3</v>
      </c>
      <c r="E249" s="236">
        <v>6161154</v>
      </c>
      <c r="F249" s="236"/>
      <c r="G249" s="237">
        <v>354940</v>
      </c>
      <c r="H249" s="225">
        <v>1495936</v>
      </c>
      <c r="I249" s="237">
        <v>879898</v>
      </c>
      <c r="J249" s="236">
        <f>1481541+87063+162533</f>
        <v>1731137</v>
      </c>
      <c r="K249" s="225">
        <f t="shared" si="6"/>
        <v>4461911</v>
      </c>
      <c r="L249" s="236"/>
      <c r="M249" s="237">
        <v>174403</v>
      </c>
      <c r="N249" s="237">
        <v>0</v>
      </c>
      <c r="O249" s="236">
        <f>106570+867533+690246</f>
        <v>1664349</v>
      </c>
      <c r="P249" s="225">
        <f t="shared" si="7"/>
        <v>1838752</v>
      </c>
      <c r="Q249" s="236"/>
      <c r="R249" s="237">
        <v>2076314</v>
      </c>
      <c r="S249" s="238">
        <f>491379-223763-102954</f>
        <v>164662</v>
      </c>
      <c r="T249" s="238">
        <f>2567693-223763-102954</f>
        <v>2240976</v>
      </c>
    </row>
    <row r="250" spans="1:20">
      <c r="A250" s="231">
        <v>92521</v>
      </c>
      <c r="B250" s="232" t="s">
        <v>962</v>
      </c>
      <c r="C250" s="92">
        <v>8.6899999999999998E-5</v>
      </c>
      <c r="D250" s="92">
        <v>8.9800000000000001E-5</v>
      </c>
      <c r="E250" s="236">
        <v>132759</v>
      </c>
      <c r="F250" s="236"/>
      <c r="G250" s="237">
        <v>7648</v>
      </c>
      <c r="H250" s="225">
        <v>32235</v>
      </c>
      <c r="I250" s="237">
        <v>18960</v>
      </c>
      <c r="J250" s="236">
        <v>3168</v>
      </c>
      <c r="K250" s="225">
        <f t="shared" si="6"/>
        <v>62011</v>
      </c>
      <c r="L250" s="236"/>
      <c r="M250" s="237">
        <v>3758</v>
      </c>
      <c r="N250" s="237">
        <v>0</v>
      </c>
      <c r="O250" s="236">
        <v>10611</v>
      </c>
      <c r="P250" s="225">
        <f t="shared" si="7"/>
        <v>14369</v>
      </c>
      <c r="Q250" s="236"/>
      <c r="R250" s="237">
        <v>44740</v>
      </c>
      <c r="S250" s="238">
        <v>-2554</v>
      </c>
      <c r="T250" s="238">
        <v>42186</v>
      </c>
    </row>
    <row r="251" spans="1:20">
      <c r="A251" s="231">
        <v>92531</v>
      </c>
      <c r="B251" s="232" t="s">
        <v>963</v>
      </c>
      <c r="C251" s="92">
        <v>8.6490000000000004E-4</v>
      </c>
      <c r="D251" s="92">
        <v>8.3779999999999998E-4</v>
      </c>
      <c r="E251" s="236">
        <v>1321328</v>
      </c>
      <c r="F251" s="236"/>
      <c r="G251" s="237">
        <v>76121</v>
      </c>
      <c r="H251" s="225">
        <v>320820</v>
      </c>
      <c r="I251" s="237">
        <v>188704</v>
      </c>
      <c r="J251" s="236">
        <v>0</v>
      </c>
      <c r="K251" s="225">
        <f t="shared" si="6"/>
        <v>585645</v>
      </c>
      <c r="L251" s="236"/>
      <c r="M251" s="237">
        <v>37403</v>
      </c>
      <c r="N251" s="237">
        <v>0</v>
      </c>
      <c r="O251" s="236">
        <v>124043</v>
      </c>
      <c r="P251" s="225">
        <f t="shared" si="7"/>
        <v>161446</v>
      </c>
      <c r="Q251" s="236"/>
      <c r="R251" s="237">
        <v>445289</v>
      </c>
      <c r="S251" s="238">
        <v>-61397</v>
      </c>
      <c r="T251" s="238">
        <v>383892</v>
      </c>
    </row>
    <row r="252" spans="1:20">
      <c r="A252" s="231">
        <v>92541</v>
      </c>
      <c r="B252" s="232" t="s">
        <v>964</v>
      </c>
      <c r="C252" s="92">
        <v>1.4469999999999999E-4</v>
      </c>
      <c r="D252" s="92">
        <v>1.4300000000000001E-4</v>
      </c>
      <c r="E252" s="236">
        <v>221062</v>
      </c>
      <c r="F252" s="236"/>
      <c r="G252" s="237">
        <v>12735</v>
      </c>
      <c r="H252" s="225">
        <v>53674</v>
      </c>
      <c r="I252" s="237">
        <v>31571</v>
      </c>
      <c r="J252" s="236">
        <v>7292</v>
      </c>
      <c r="K252" s="225">
        <f t="shared" si="6"/>
        <v>105272</v>
      </c>
      <c r="L252" s="236"/>
      <c r="M252" s="237">
        <v>6258</v>
      </c>
      <c r="N252" s="237">
        <v>0</v>
      </c>
      <c r="O252" s="236">
        <v>7300</v>
      </c>
      <c r="P252" s="225">
        <f t="shared" si="7"/>
        <v>13558</v>
      </c>
      <c r="Q252" s="236"/>
      <c r="R252" s="237">
        <v>74498</v>
      </c>
      <c r="S252" s="238">
        <v>2019</v>
      </c>
      <c r="T252" s="238">
        <v>76517</v>
      </c>
    </row>
    <row r="253" spans="1:20">
      <c r="A253" s="231">
        <v>92551</v>
      </c>
      <c r="B253" s="232" t="s">
        <v>965</v>
      </c>
      <c r="C253" s="92">
        <v>5.3300000000000001E-5</v>
      </c>
      <c r="D253" s="92">
        <v>4.18E-5</v>
      </c>
      <c r="E253" s="236">
        <v>81428</v>
      </c>
      <c r="F253" s="236"/>
      <c r="G253" s="237">
        <v>4691</v>
      </c>
      <c r="H253" s="225">
        <v>19771</v>
      </c>
      <c r="I253" s="237">
        <v>11629</v>
      </c>
      <c r="J253" s="236">
        <v>7529</v>
      </c>
      <c r="K253" s="225">
        <f t="shared" si="6"/>
        <v>43620</v>
      </c>
      <c r="L253" s="236"/>
      <c r="M253" s="237">
        <v>2305</v>
      </c>
      <c r="N253" s="237">
        <v>0</v>
      </c>
      <c r="O253" s="236">
        <v>8359</v>
      </c>
      <c r="P253" s="225">
        <f t="shared" si="7"/>
        <v>10664</v>
      </c>
      <c r="Q253" s="236"/>
      <c r="R253" s="237">
        <v>27441</v>
      </c>
      <c r="S253" s="238">
        <v>961</v>
      </c>
      <c r="T253" s="238">
        <v>28402</v>
      </c>
    </row>
    <row r="254" spans="1:20">
      <c r="A254" s="231">
        <v>92561</v>
      </c>
      <c r="B254" s="232" t="s">
        <v>966</v>
      </c>
      <c r="C254" s="92">
        <v>2.2200000000000001E-5</v>
      </c>
      <c r="D254" s="92">
        <v>2.2900000000000001E-5</v>
      </c>
      <c r="E254" s="236">
        <v>33915</v>
      </c>
      <c r="F254" s="236"/>
      <c r="G254" s="237">
        <v>1954</v>
      </c>
      <c r="H254" s="225">
        <v>8235</v>
      </c>
      <c r="I254" s="237">
        <v>4844</v>
      </c>
      <c r="J254" s="236">
        <v>5369</v>
      </c>
      <c r="K254" s="225">
        <f t="shared" si="6"/>
        <v>20402</v>
      </c>
      <c r="L254" s="236"/>
      <c r="M254" s="237">
        <v>960</v>
      </c>
      <c r="N254" s="237">
        <v>0</v>
      </c>
      <c r="O254" s="236">
        <v>0</v>
      </c>
      <c r="P254" s="225">
        <f t="shared" si="7"/>
        <v>960</v>
      </c>
      <c r="Q254" s="236"/>
      <c r="R254" s="237">
        <v>11430</v>
      </c>
      <c r="S254" s="238">
        <v>2639</v>
      </c>
      <c r="T254" s="238">
        <f>14068+1</f>
        <v>14069</v>
      </c>
    </row>
    <row r="255" spans="1:20">
      <c r="A255" s="231">
        <v>92571</v>
      </c>
      <c r="B255" s="232" t="s">
        <v>967</v>
      </c>
      <c r="C255" s="92">
        <v>1.01E-5</v>
      </c>
      <c r="D255" s="92">
        <v>3.1E-6</v>
      </c>
      <c r="E255" s="236">
        <v>15430</v>
      </c>
      <c r="F255" s="236"/>
      <c r="G255" s="237">
        <v>889</v>
      </c>
      <c r="H255" s="225">
        <v>3746</v>
      </c>
      <c r="I255" s="237">
        <v>2204</v>
      </c>
      <c r="J255" s="236">
        <v>9367</v>
      </c>
      <c r="K255" s="225">
        <f t="shared" si="6"/>
        <v>16206</v>
      </c>
      <c r="L255" s="236"/>
      <c r="M255" s="237">
        <v>437</v>
      </c>
      <c r="N255" s="237">
        <v>0</v>
      </c>
      <c r="O255" s="236">
        <v>100</v>
      </c>
      <c r="P255" s="225">
        <f t="shared" si="7"/>
        <v>537</v>
      </c>
      <c r="Q255" s="236"/>
      <c r="R255" s="237">
        <v>5200</v>
      </c>
      <c r="S255" s="238">
        <v>2687</v>
      </c>
      <c r="T255" s="238">
        <v>7887</v>
      </c>
    </row>
    <row r="256" spans="1:20">
      <c r="A256" s="231">
        <v>92601</v>
      </c>
      <c r="B256" s="232" t="s">
        <v>968</v>
      </c>
      <c r="C256" s="92">
        <v>1.51874E-2</v>
      </c>
      <c r="D256" s="92">
        <v>1.54185E-2</v>
      </c>
      <c r="E256" s="236">
        <v>23202140</v>
      </c>
      <c r="F256" s="236"/>
      <c r="G256" s="237">
        <v>1336658</v>
      </c>
      <c r="H256" s="225">
        <v>5633508</v>
      </c>
      <c r="I256" s="237">
        <v>3313587</v>
      </c>
      <c r="J256" s="236">
        <v>134811</v>
      </c>
      <c r="K256" s="225">
        <f t="shared" si="6"/>
        <v>10418564</v>
      </c>
      <c r="L256" s="236"/>
      <c r="M256" s="237">
        <v>656779</v>
      </c>
      <c r="N256" s="237">
        <v>0</v>
      </c>
      <c r="O256" s="236">
        <v>46060</v>
      </c>
      <c r="P256" s="225">
        <f t="shared" si="7"/>
        <v>702839</v>
      </c>
      <c r="Q256" s="236"/>
      <c r="R256" s="237">
        <v>7819142</v>
      </c>
      <c r="S256" s="238">
        <v>112074</v>
      </c>
      <c r="T256" s="238">
        <f>7931215+1</f>
        <v>7931216</v>
      </c>
    </row>
    <row r="257" spans="1:20">
      <c r="A257" s="231">
        <v>92602</v>
      </c>
      <c r="B257" s="232" t="s">
        <v>969</v>
      </c>
      <c r="C257" s="92">
        <v>8.3000000000000002E-6</v>
      </c>
      <c r="D257" s="92">
        <v>8.1999999999999994E-6</v>
      </c>
      <c r="E257" s="236">
        <v>12680</v>
      </c>
      <c r="F257" s="236"/>
      <c r="G257" s="237">
        <v>730</v>
      </c>
      <c r="H257" s="225">
        <v>3079</v>
      </c>
      <c r="I257" s="237">
        <v>1811</v>
      </c>
      <c r="J257" s="236">
        <v>352</v>
      </c>
      <c r="K257" s="225">
        <f t="shared" si="6"/>
        <v>5972</v>
      </c>
      <c r="L257" s="236"/>
      <c r="M257" s="237">
        <v>359</v>
      </c>
      <c r="N257" s="237">
        <v>0</v>
      </c>
      <c r="O257" s="236">
        <v>927</v>
      </c>
      <c r="P257" s="225">
        <f t="shared" si="7"/>
        <v>1286</v>
      </c>
      <c r="Q257" s="236"/>
      <c r="R257" s="237">
        <v>4273</v>
      </c>
      <c r="S257" s="238">
        <v>-99</v>
      </c>
      <c r="T257" s="238">
        <v>4174</v>
      </c>
    </row>
    <row r="258" spans="1:20">
      <c r="A258" s="231">
        <v>92604</v>
      </c>
      <c r="B258" s="232" t="s">
        <v>970</v>
      </c>
      <c r="C258" s="92">
        <v>3.4099999999999999E-4</v>
      </c>
      <c r="D258" s="92">
        <v>3.4380000000000001E-4</v>
      </c>
      <c r="E258" s="236">
        <v>520954</v>
      </c>
      <c r="F258" s="236"/>
      <c r="G258" s="237">
        <v>30012</v>
      </c>
      <c r="H258" s="225">
        <v>126488</v>
      </c>
      <c r="I258" s="237">
        <v>74399</v>
      </c>
      <c r="J258" s="236">
        <v>52760</v>
      </c>
      <c r="K258" s="225">
        <f t="shared" si="6"/>
        <v>283659</v>
      </c>
      <c r="L258" s="236"/>
      <c r="M258" s="237">
        <v>14747</v>
      </c>
      <c r="N258" s="237">
        <v>0</v>
      </c>
      <c r="O258" s="236">
        <v>0</v>
      </c>
      <c r="P258" s="225">
        <f t="shared" si="7"/>
        <v>14747</v>
      </c>
      <c r="Q258" s="236"/>
      <c r="R258" s="237">
        <v>175562</v>
      </c>
      <c r="S258" s="238">
        <v>23975</v>
      </c>
      <c r="T258" s="238">
        <v>199537</v>
      </c>
    </row>
    <row r="259" spans="1:20">
      <c r="A259" s="231">
        <v>92607</v>
      </c>
      <c r="B259" s="232" t="s">
        <v>971</v>
      </c>
      <c r="C259" s="92">
        <v>6.6400000000000001E-5</v>
      </c>
      <c r="D259" s="92">
        <v>7.0400000000000004E-5</v>
      </c>
      <c r="E259" s="236">
        <v>101441</v>
      </c>
      <c r="F259" s="236"/>
      <c r="G259" s="237">
        <v>5844</v>
      </c>
      <c r="H259" s="225">
        <v>24630</v>
      </c>
      <c r="I259" s="237">
        <v>14487</v>
      </c>
      <c r="J259" s="236">
        <v>9416</v>
      </c>
      <c r="K259" s="225">
        <f t="shared" si="6"/>
        <v>54377</v>
      </c>
      <c r="L259" s="236"/>
      <c r="M259" s="237">
        <v>2871</v>
      </c>
      <c r="N259" s="237">
        <v>0</v>
      </c>
      <c r="O259" s="236">
        <v>0</v>
      </c>
      <c r="P259" s="225">
        <f t="shared" si="7"/>
        <v>2871</v>
      </c>
      <c r="Q259" s="236"/>
      <c r="R259" s="237">
        <v>34186</v>
      </c>
      <c r="S259" s="238">
        <v>4781</v>
      </c>
      <c r="T259" s="238">
        <f>38966+1</f>
        <v>38967</v>
      </c>
    </row>
    <row r="260" spans="1:20">
      <c r="A260" s="231">
        <v>92608</v>
      </c>
      <c r="B260" s="232" t="s">
        <v>972</v>
      </c>
      <c r="C260" s="92">
        <v>0</v>
      </c>
      <c r="D260" s="92">
        <v>0</v>
      </c>
      <c r="E260" s="236">
        <v>0</v>
      </c>
      <c r="F260" s="236"/>
      <c r="G260" s="237">
        <v>0</v>
      </c>
      <c r="H260" s="225">
        <v>0</v>
      </c>
      <c r="I260" s="237">
        <v>0</v>
      </c>
      <c r="J260" s="236">
        <v>0</v>
      </c>
      <c r="K260" s="225">
        <f t="shared" si="6"/>
        <v>0</v>
      </c>
      <c r="L260" s="236"/>
      <c r="M260" s="237">
        <v>0</v>
      </c>
      <c r="N260" s="237">
        <v>0</v>
      </c>
      <c r="O260" s="236">
        <v>69935</v>
      </c>
      <c r="P260" s="225">
        <f t="shared" si="7"/>
        <v>69935</v>
      </c>
      <c r="Q260" s="236"/>
      <c r="R260" s="237">
        <v>0</v>
      </c>
      <c r="S260" s="238">
        <v>-69872</v>
      </c>
      <c r="T260" s="238">
        <v>-69872</v>
      </c>
    </row>
    <row r="261" spans="1:20">
      <c r="A261" s="231">
        <v>92611</v>
      </c>
      <c r="B261" s="232" t="s">
        <v>973</v>
      </c>
      <c r="C261" s="92">
        <v>1.3080899999999999E-2</v>
      </c>
      <c r="D261" s="92">
        <v>1.3650799999999999E-2</v>
      </c>
      <c r="E261" s="236">
        <v>19983992</v>
      </c>
      <c r="F261" s="236"/>
      <c r="G261" s="237">
        <v>1151263</v>
      </c>
      <c r="H261" s="225">
        <v>4852137</v>
      </c>
      <c r="I261" s="237">
        <v>2853991</v>
      </c>
      <c r="J261" s="236">
        <v>10109</v>
      </c>
      <c r="K261" s="225">
        <f t="shared" si="6"/>
        <v>8867500</v>
      </c>
      <c r="L261" s="236"/>
      <c r="M261" s="237">
        <v>565684</v>
      </c>
      <c r="N261" s="237">
        <v>0</v>
      </c>
      <c r="O261" s="236">
        <v>976593</v>
      </c>
      <c r="P261" s="225">
        <f t="shared" si="7"/>
        <v>1542277</v>
      </c>
      <c r="Q261" s="236"/>
      <c r="R261" s="237">
        <v>6734623</v>
      </c>
      <c r="S261" s="238">
        <v>-313138</v>
      </c>
      <c r="T261" s="238">
        <v>6421485</v>
      </c>
    </row>
    <row r="262" spans="1:20">
      <c r="A262" s="231">
        <v>92613</v>
      </c>
      <c r="B262" s="232" t="s">
        <v>974</v>
      </c>
      <c r="C262" s="92">
        <v>2.6439999999999998E-4</v>
      </c>
      <c r="D262" s="92">
        <v>2.81E-4</v>
      </c>
      <c r="E262" s="236">
        <v>403930</v>
      </c>
      <c r="F262" s="236"/>
      <c r="G262" s="237">
        <v>23270</v>
      </c>
      <c r="H262" s="225">
        <v>98075</v>
      </c>
      <c r="I262" s="237">
        <v>57687</v>
      </c>
      <c r="J262" s="236">
        <v>84489</v>
      </c>
      <c r="K262" s="225">
        <f t="shared" si="6"/>
        <v>263521</v>
      </c>
      <c r="L262" s="236"/>
      <c r="M262" s="237">
        <v>11434</v>
      </c>
      <c r="N262" s="237">
        <v>0</v>
      </c>
      <c r="O262" s="236">
        <v>941</v>
      </c>
      <c r="P262" s="225">
        <f t="shared" si="7"/>
        <v>12375</v>
      </c>
      <c r="Q262" s="236"/>
      <c r="R262" s="237">
        <v>136125</v>
      </c>
      <c r="S262" s="238">
        <v>41506</v>
      </c>
      <c r="T262" s="238">
        <v>177631</v>
      </c>
    </row>
    <row r="263" spans="1:20">
      <c r="A263" s="231">
        <v>92614</v>
      </c>
      <c r="B263" s="232" t="s">
        <v>975</v>
      </c>
      <c r="C263" s="92">
        <v>5.7273000000000003E-3</v>
      </c>
      <c r="D263" s="92">
        <v>5.6468000000000004E-3</v>
      </c>
      <c r="E263" s="236">
        <v>8749728</v>
      </c>
      <c r="F263" s="236"/>
      <c r="G263" s="237">
        <v>504065</v>
      </c>
      <c r="H263" s="225">
        <v>2124444</v>
      </c>
      <c r="I263" s="237">
        <v>1249582</v>
      </c>
      <c r="J263" s="236">
        <v>3908054</v>
      </c>
      <c r="K263" s="225">
        <f t="shared" si="6"/>
        <v>7786145</v>
      </c>
      <c r="L263" s="236"/>
      <c r="M263" s="237">
        <v>247677</v>
      </c>
      <c r="N263" s="237">
        <v>0</v>
      </c>
      <c r="O263" s="236">
        <v>0</v>
      </c>
      <c r="P263" s="225">
        <f t="shared" si="7"/>
        <v>247677</v>
      </c>
      <c r="Q263" s="236"/>
      <c r="R263" s="237">
        <v>2948666</v>
      </c>
      <c r="S263" s="238">
        <v>1416067</v>
      </c>
      <c r="T263" s="238">
        <v>4364733</v>
      </c>
    </row>
    <row r="264" spans="1:20">
      <c r="A264" s="231">
        <v>92621</v>
      </c>
      <c r="B264" s="232" t="s">
        <v>976</v>
      </c>
      <c r="C264" s="92">
        <v>2.72E-5</v>
      </c>
      <c r="D264" s="92">
        <v>3.2799999999999998E-5</v>
      </c>
      <c r="E264" s="236">
        <v>41554</v>
      </c>
      <c r="F264" s="236"/>
      <c r="G264" s="237">
        <v>2394</v>
      </c>
      <c r="H264" s="225">
        <v>10089</v>
      </c>
      <c r="I264" s="237">
        <v>5934</v>
      </c>
      <c r="J264" s="236">
        <v>872</v>
      </c>
      <c r="K264" s="225">
        <f t="shared" si="6"/>
        <v>19289</v>
      </c>
      <c r="L264" s="236"/>
      <c r="M264" s="237">
        <v>1176</v>
      </c>
      <c r="N264" s="237">
        <v>0</v>
      </c>
      <c r="O264" s="236">
        <v>6521</v>
      </c>
      <c r="P264" s="225">
        <f t="shared" si="7"/>
        <v>7697</v>
      </c>
      <c r="Q264" s="236"/>
      <c r="R264" s="237">
        <v>14004</v>
      </c>
      <c r="S264" s="238">
        <v>-1988</v>
      </c>
      <c r="T264" s="238">
        <v>12016</v>
      </c>
    </row>
    <row r="265" spans="1:20">
      <c r="A265" s="231">
        <v>92631</v>
      </c>
      <c r="B265" s="232" t="s">
        <v>977</v>
      </c>
      <c r="C265" s="92">
        <v>9.2710000000000004E-4</v>
      </c>
      <c r="D265" s="92">
        <v>1.0068E-3</v>
      </c>
      <c r="E265" s="236">
        <v>1416352</v>
      </c>
      <c r="F265" s="236"/>
      <c r="G265" s="237">
        <v>81595</v>
      </c>
      <c r="H265" s="225">
        <v>343892</v>
      </c>
      <c r="I265" s="237">
        <v>202275</v>
      </c>
      <c r="J265" s="236">
        <v>0</v>
      </c>
      <c r="K265" s="225">
        <f t="shared" si="6"/>
        <v>627762</v>
      </c>
      <c r="L265" s="236"/>
      <c r="M265" s="237">
        <v>40092</v>
      </c>
      <c r="N265" s="237">
        <v>0</v>
      </c>
      <c r="O265" s="236">
        <v>146834</v>
      </c>
      <c r="P265" s="225">
        <f t="shared" si="7"/>
        <v>186926</v>
      </c>
      <c r="Q265" s="236"/>
      <c r="R265" s="237">
        <v>477312</v>
      </c>
      <c r="S265" s="238">
        <v>-49734</v>
      </c>
      <c r="T265" s="238">
        <v>427578</v>
      </c>
    </row>
    <row r="266" spans="1:20">
      <c r="A266" s="231">
        <v>92641</v>
      </c>
      <c r="B266" s="232" t="s">
        <v>978</v>
      </c>
      <c r="C266" s="92">
        <v>1.0200000000000001E-5</v>
      </c>
      <c r="D266" s="92">
        <v>1.03E-5</v>
      </c>
      <c r="E266" s="236">
        <v>15583</v>
      </c>
      <c r="F266" s="236"/>
      <c r="G266" s="237">
        <v>898</v>
      </c>
      <c r="H266" s="225">
        <v>3784</v>
      </c>
      <c r="I266" s="237">
        <v>2225</v>
      </c>
      <c r="J266" s="236">
        <v>2556</v>
      </c>
      <c r="K266" s="225">
        <f t="shared" ref="K266:K329" si="8">G266+H266+I266+J266</f>
        <v>9463</v>
      </c>
      <c r="L266" s="236"/>
      <c r="M266" s="237">
        <v>441</v>
      </c>
      <c r="N266" s="237">
        <v>0</v>
      </c>
      <c r="O266" s="236">
        <v>945</v>
      </c>
      <c r="P266" s="225">
        <f t="shared" ref="P266:P329" si="9">M266+N266+O266</f>
        <v>1386</v>
      </c>
      <c r="Q266" s="236"/>
      <c r="R266" s="237">
        <v>5251</v>
      </c>
      <c r="S266" s="238">
        <v>173</v>
      </c>
      <c r="T266" s="238">
        <v>5424</v>
      </c>
    </row>
    <row r="267" spans="1:20">
      <c r="A267" s="231">
        <v>92651</v>
      </c>
      <c r="B267" s="232" t="s">
        <v>979</v>
      </c>
      <c r="C267" s="92">
        <v>2.6000000000000001E-6</v>
      </c>
      <c r="D267" s="92">
        <v>2.6000000000000001E-6</v>
      </c>
      <c r="E267" s="236">
        <v>3972</v>
      </c>
      <c r="F267" s="236"/>
      <c r="G267" s="237">
        <v>229</v>
      </c>
      <c r="H267" s="225">
        <v>964</v>
      </c>
      <c r="I267" s="237">
        <v>567</v>
      </c>
      <c r="J267" s="236">
        <v>3432</v>
      </c>
      <c r="K267" s="225">
        <f t="shared" si="8"/>
        <v>5192</v>
      </c>
      <c r="L267" s="236"/>
      <c r="M267" s="237">
        <v>112</v>
      </c>
      <c r="N267" s="237">
        <v>0</v>
      </c>
      <c r="O267" s="236">
        <v>0</v>
      </c>
      <c r="P267" s="225">
        <f t="shared" si="9"/>
        <v>112</v>
      </c>
      <c r="Q267" s="236"/>
      <c r="R267" s="237">
        <v>1339</v>
      </c>
      <c r="S267" s="238">
        <v>1345</v>
      </c>
      <c r="T267" s="238">
        <f>2683+1</f>
        <v>2684</v>
      </c>
    </row>
    <row r="268" spans="1:20">
      <c r="A268" s="231">
        <v>92661</v>
      </c>
      <c r="B268" s="232" t="s">
        <v>980</v>
      </c>
      <c r="C268" s="92">
        <v>6.9999999999999999E-4</v>
      </c>
      <c r="D268" s="92">
        <v>6.6299999999999996E-4</v>
      </c>
      <c r="E268" s="236">
        <v>1069406</v>
      </c>
      <c r="F268" s="236"/>
      <c r="G268" s="237">
        <v>61608</v>
      </c>
      <c r="H268" s="225">
        <v>259653</v>
      </c>
      <c r="I268" s="237">
        <v>152726</v>
      </c>
      <c r="J268" s="236">
        <v>446841</v>
      </c>
      <c r="K268" s="225">
        <f t="shared" si="8"/>
        <v>920828</v>
      </c>
      <c r="L268" s="236"/>
      <c r="M268" s="237">
        <v>30272</v>
      </c>
      <c r="N268" s="237">
        <v>0</v>
      </c>
      <c r="O268" s="236">
        <v>16877</v>
      </c>
      <c r="P268" s="225">
        <f t="shared" si="9"/>
        <v>47149</v>
      </c>
      <c r="Q268" s="236"/>
      <c r="R268" s="237">
        <v>360391</v>
      </c>
      <c r="S268" s="238">
        <v>130287</v>
      </c>
      <c r="T268" s="238">
        <v>490678</v>
      </c>
    </row>
    <row r="269" spans="1:20">
      <c r="A269" s="231">
        <v>92671</v>
      </c>
      <c r="B269" s="232" t="s">
        <v>981</v>
      </c>
      <c r="C269" s="92">
        <v>2.6000000000000001E-6</v>
      </c>
      <c r="D269" s="92">
        <v>2.9000000000000002E-6</v>
      </c>
      <c r="E269" s="236">
        <v>3972</v>
      </c>
      <c r="F269" s="236"/>
      <c r="G269" s="237">
        <v>229</v>
      </c>
      <c r="H269" s="225">
        <v>964</v>
      </c>
      <c r="I269" s="237">
        <v>567</v>
      </c>
      <c r="J269" s="236">
        <v>6237</v>
      </c>
      <c r="K269" s="225">
        <f t="shared" si="8"/>
        <v>7997</v>
      </c>
      <c r="L269" s="236"/>
      <c r="M269" s="237">
        <v>112</v>
      </c>
      <c r="N269" s="237">
        <v>0</v>
      </c>
      <c r="O269" s="236">
        <v>0</v>
      </c>
      <c r="P269" s="225">
        <f t="shared" si="9"/>
        <v>112</v>
      </c>
      <c r="Q269" s="236"/>
      <c r="R269" s="237">
        <v>1339</v>
      </c>
      <c r="S269" s="238">
        <v>2205</v>
      </c>
      <c r="T269" s="238">
        <f>3543+1</f>
        <v>3544</v>
      </c>
    </row>
    <row r="270" spans="1:20">
      <c r="A270" s="231">
        <v>92681</v>
      </c>
      <c r="B270" s="232" t="s">
        <v>982</v>
      </c>
      <c r="C270" s="92">
        <v>1.17E-5</v>
      </c>
      <c r="D270" s="92">
        <v>1.01E-5</v>
      </c>
      <c r="E270" s="236">
        <v>17874</v>
      </c>
      <c r="F270" s="236"/>
      <c r="G270" s="237">
        <v>1030</v>
      </c>
      <c r="H270" s="225">
        <v>4340</v>
      </c>
      <c r="I270" s="237">
        <v>2553</v>
      </c>
      <c r="J270" s="236">
        <v>13621</v>
      </c>
      <c r="K270" s="225">
        <f t="shared" si="8"/>
        <v>21544</v>
      </c>
      <c r="L270" s="236"/>
      <c r="M270" s="237">
        <v>506</v>
      </c>
      <c r="N270" s="237">
        <v>0</v>
      </c>
      <c r="O270" s="236">
        <v>0</v>
      </c>
      <c r="P270" s="225">
        <f t="shared" si="9"/>
        <v>506</v>
      </c>
      <c r="Q270" s="236"/>
      <c r="R270" s="237">
        <v>6024</v>
      </c>
      <c r="S270" s="238">
        <v>4960</v>
      </c>
      <c r="T270" s="238">
        <v>10984</v>
      </c>
    </row>
    <row r="271" spans="1:20">
      <c r="A271" s="231">
        <v>92701</v>
      </c>
      <c r="B271" s="232" t="s">
        <v>983</v>
      </c>
      <c r="C271" s="92">
        <v>3.0777000000000001E-3</v>
      </c>
      <c r="D271" s="92">
        <v>2.9588000000000001E-3</v>
      </c>
      <c r="E271" s="236">
        <v>4701873</v>
      </c>
      <c r="F271" s="236"/>
      <c r="G271" s="237">
        <v>270871</v>
      </c>
      <c r="H271" s="225">
        <v>1141620</v>
      </c>
      <c r="I271" s="237">
        <v>671493</v>
      </c>
      <c r="J271" s="236">
        <v>48990</v>
      </c>
      <c r="K271" s="225">
        <f t="shared" si="8"/>
        <v>2132974</v>
      </c>
      <c r="L271" s="236"/>
      <c r="M271" s="237">
        <v>133095</v>
      </c>
      <c r="N271" s="237">
        <v>0</v>
      </c>
      <c r="O271" s="236">
        <v>42924</v>
      </c>
      <c r="P271" s="225">
        <f t="shared" si="9"/>
        <v>176019</v>
      </c>
      <c r="Q271" s="236"/>
      <c r="R271" s="237">
        <v>1584535</v>
      </c>
      <c r="S271" s="238">
        <v>-25139</v>
      </c>
      <c r="T271" s="238">
        <f>1559397-1</f>
        <v>1559396</v>
      </c>
    </row>
    <row r="272" spans="1:20">
      <c r="A272" s="231">
        <v>92704</v>
      </c>
      <c r="B272" s="232" t="s">
        <v>984</v>
      </c>
      <c r="C272" s="92">
        <v>4.1600000000000002E-5</v>
      </c>
      <c r="D272" s="92">
        <v>4.7700000000000001E-5</v>
      </c>
      <c r="E272" s="236">
        <v>63553</v>
      </c>
      <c r="F272" s="236"/>
      <c r="G272" s="237">
        <v>3661</v>
      </c>
      <c r="H272" s="225">
        <v>15431</v>
      </c>
      <c r="I272" s="237">
        <v>9076</v>
      </c>
      <c r="J272" s="236">
        <v>1560</v>
      </c>
      <c r="K272" s="225">
        <f t="shared" si="8"/>
        <v>29728</v>
      </c>
      <c r="L272" s="236"/>
      <c r="M272" s="237">
        <v>1799</v>
      </c>
      <c r="N272" s="237">
        <v>0</v>
      </c>
      <c r="O272" s="236">
        <v>5674</v>
      </c>
      <c r="P272" s="225">
        <f t="shared" si="9"/>
        <v>7473</v>
      </c>
      <c r="Q272" s="236"/>
      <c r="R272" s="237">
        <v>21418</v>
      </c>
      <c r="S272" s="238">
        <v>-706</v>
      </c>
      <c r="T272" s="238">
        <f>20711+1</f>
        <v>20712</v>
      </c>
    </row>
    <row r="273" spans="1:20">
      <c r="A273" s="231">
        <v>92801</v>
      </c>
      <c r="B273" s="232" t="s">
        <v>985</v>
      </c>
      <c r="C273" s="92">
        <v>5.0951E-3</v>
      </c>
      <c r="D273" s="92">
        <v>5.1701000000000004E-3</v>
      </c>
      <c r="E273" s="236">
        <v>7783901</v>
      </c>
      <c r="F273" s="236"/>
      <c r="G273" s="237">
        <v>448425</v>
      </c>
      <c r="H273" s="225">
        <v>1889940</v>
      </c>
      <c r="I273" s="237">
        <v>1111649</v>
      </c>
      <c r="J273" s="236">
        <v>152907</v>
      </c>
      <c r="K273" s="225">
        <f t="shared" si="8"/>
        <v>3602921</v>
      </c>
      <c r="L273" s="236"/>
      <c r="M273" s="237">
        <v>220338</v>
      </c>
      <c r="N273" s="237">
        <v>0</v>
      </c>
      <c r="O273" s="236">
        <v>0</v>
      </c>
      <c r="P273" s="225">
        <f t="shared" si="9"/>
        <v>220338</v>
      </c>
      <c r="Q273" s="236"/>
      <c r="R273" s="237">
        <v>2623182</v>
      </c>
      <c r="S273" s="238">
        <v>81450</v>
      </c>
      <c r="T273" s="238">
        <f>2704631+1</f>
        <v>2704632</v>
      </c>
    </row>
    <row r="274" spans="1:20">
      <c r="A274" s="231">
        <v>92802</v>
      </c>
      <c r="B274" s="232" t="s">
        <v>986</v>
      </c>
      <c r="C274" s="92">
        <v>1.2970000000000001E-4</v>
      </c>
      <c r="D274" s="92">
        <v>1.3410000000000001E-4</v>
      </c>
      <c r="E274" s="236">
        <v>198146</v>
      </c>
      <c r="F274" s="236"/>
      <c r="G274" s="237">
        <v>11415</v>
      </c>
      <c r="H274" s="225">
        <v>48110</v>
      </c>
      <c r="I274" s="237">
        <v>28298</v>
      </c>
      <c r="J274" s="236">
        <v>0</v>
      </c>
      <c r="K274" s="225">
        <f t="shared" si="8"/>
        <v>87823</v>
      </c>
      <c r="L274" s="236"/>
      <c r="M274" s="237">
        <v>5609</v>
      </c>
      <c r="N274" s="237">
        <v>0</v>
      </c>
      <c r="O274" s="236">
        <v>17517</v>
      </c>
      <c r="P274" s="225">
        <f t="shared" si="9"/>
        <v>23126</v>
      </c>
      <c r="Q274" s="236"/>
      <c r="R274" s="237">
        <v>66775</v>
      </c>
      <c r="S274" s="238">
        <v>-6938</v>
      </c>
      <c r="T274" s="238">
        <v>59837</v>
      </c>
    </row>
    <row r="275" spans="1:20">
      <c r="A275" s="231">
        <v>92804</v>
      </c>
      <c r="B275" s="232" t="s">
        <v>987</v>
      </c>
      <c r="C275" s="92">
        <v>1.36E-4</v>
      </c>
      <c r="D275" s="92">
        <v>1.47E-4</v>
      </c>
      <c r="E275" s="236">
        <v>207770</v>
      </c>
      <c r="F275" s="236"/>
      <c r="G275" s="237">
        <v>11969</v>
      </c>
      <c r="H275" s="225">
        <v>50447</v>
      </c>
      <c r="I275" s="237">
        <v>29672</v>
      </c>
      <c r="J275" s="236">
        <v>8730</v>
      </c>
      <c r="K275" s="225">
        <f t="shared" si="8"/>
        <v>100818</v>
      </c>
      <c r="L275" s="236"/>
      <c r="M275" s="237">
        <v>5881</v>
      </c>
      <c r="N275" s="237">
        <v>0</v>
      </c>
      <c r="O275" s="236">
        <v>12427</v>
      </c>
      <c r="P275" s="225">
        <f t="shared" si="9"/>
        <v>18308</v>
      </c>
      <c r="Q275" s="236"/>
      <c r="R275" s="237">
        <v>70019</v>
      </c>
      <c r="S275" s="238">
        <v>-172</v>
      </c>
      <c r="T275" s="238">
        <v>69847</v>
      </c>
    </row>
    <row r="276" spans="1:20">
      <c r="A276" s="231">
        <v>92811</v>
      </c>
      <c r="B276" s="232" t="s">
        <v>988</v>
      </c>
      <c r="C276" s="92">
        <v>1.0036000000000001E-3</v>
      </c>
      <c r="D276" s="92">
        <v>9.8569999999999994E-4</v>
      </c>
      <c r="E276" s="236">
        <v>1533223</v>
      </c>
      <c r="F276" s="236"/>
      <c r="G276" s="237">
        <v>88328</v>
      </c>
      <c r="H276" s="225">
        <v>372269</v>
      </c>
      <c r="I276" s="237">
        <v>218965</v>
      </c>
      <c r="J276" s="236">
        <v>0</v>
      </c>
      <c r="K276" s="225">
        <f t="shared" si="8"/>
        <v>679562</v>
      </c>
      <c r="L276" s="236"/>
      <c r="M276" s="237">
        <v>43401</v>
      </c>
      <c r="N276" s="237">
        <v>0</v>
      </c>
      <c r="O276" s="236">
        <v>85272</v>
      </c>
      <c r="P276" s="225">
        <f t="shared" si="9"/>
        <v>128673</v>
      </c>
      <c r="Q276" s="236"/>
      <c r="R276" s="237">
        <v>516697</v>
      </c>
      <c r="S276" s="238">
        <v>-36667</v>
      </c>
      <c r="T276" s="238">
        <v>480030</v>
      </c>
    </row>
    <row r="277" spans="1:20">
      <c r="A277" s="231">
        <v>92821</v>
      </c>
      <c r="B277" s="232" t="s">
        <v>989</v>
      </c>
      <c r="C277" s="92">
        <v>9.9400000000000009E-4</v>
      </c>
      <c r="D277" s="92">
        <v>1.0139999999999999E-3</v>
      </c>
      <c r="E277" s="236">
        <v>1518557</v>
      </c>
      <c r="F277" s="236"/>
      <c r="G277" s="237">
        <v>87483</v>
      </c>
      <c r="H277" s="225">
        <v>368707</v>
      </c>
      <c r="I277" s="237">
        <v>216871</v>
      </c>
      <c r="J277" s="236">
        <v>24870</v>
      </c>
      <c r="K277" s="225">
        <f t="shared" si="8"/>
        <v>697931</v>
      </c>
      <c r="L277" s="236"/>
      <c r="M277" s="237">
        <v>42986</v>
      </c>
      <c r="N277" s="237">
        <v>0</v>
      </c>
      <c r="O277" s="236">
        <v>0</v>
      </c>
      <c r="P277" s="225">
        <f t="shared" si="9"/>
        <v>42986</v>
      </c>
      <c r="Q277" s="236"/>
      <c r="R277" s="237">
        <v>511755</v>
      </c>
      <c r="S277" s="238">
        <v>10495</v>
      </c>
      <c r="T277" s="238">
        <v>522250</v>
      </c>
    </row>
    <row r="278" spans="1:20">
      <c r="A278" s="231">
        <v>92831</v>
      </c>
      <c r="B278" s="232" t="s">
        <v>990</v>
      </c>
      <c r="C278" s="92">
        <v>2.1829999999999999E-4</v>
      </c>
      <c r="D278" s="92">
        <v>2.476E-4</v>
      </c>
      <c r="E278" s="236">
        <v>333502</v>
      </c>
      <c r="F278" s="236"/>
      <c r="G278" s="237">
        <v>19213</v>
      </c>
      <c r="H278" s="225">
        <v>80975</v>
      </c>
      <c r="I278" s="237">
        <v>47629</v>
      </c>
      <c r="J278" s="236">
        <v>19156</v>
      </c>
      <c r="K278" s="225">
        <f t="shared" si="8"/>
        <v>166973</v>
      </c>
      <c r="L278" s="236"/>
      <c r="M278" s="237">
        <v>9440</v>
      </c>
      <c r="N278" s="237">
        <v>0</v>
      </c>
      <c r="O278" s="236">
        <v>2159</v>
      </c>
      <c r="P278" s="225">
        <f t="shared" si="9"/>
        <v>11599</v>
      </c>
      <c r="Q278" s="236"/>
      <c r="R278" s="237">
        <v>112390</v>
      </c>
      <c r="S278" s="238">
        <v>9503</v>
      </c>
      <c r="T278" s="238">
        <f>121894-1</f>
        <v>121893</v>
      </c>
    </row>
    <row r="279" spans="1:20">
      <c r="A279" s="231">
        <v>92841</v>
      </c>
      <c r="B279" s="232" t="s">
        <v>991</v>
      </c>
      <c r="C279" s="92">
        <v>2.7809999999999998E-4</v>
      </c>
      <c r="D279" s="92">
        <v>2.8160000000000001E-4</v>
      </c>
      <c r="E279" s="236">
        <v>424860</v>
      </c>
      <c r="F279" s="236"/>
      <c r="G279" s="237">
        <v>24476</v>
      </c>
      <c r="H279" s="225">
        <v>103157</v>
      </c>
      <c r="I279" s="237">
        <v>60676</v>
      </c>
      <c r="J279" s="236">
        <v>5821</v>
      </c>
      <c r="K279" s="225">
        <f t="shared" si="8"/>
        <v>194130</v>
      </c>
      <c r="L279" s="236"/>
      <c r="M279" s="237">
        <v>12026</v>
      </c>
      <c r="N279" s="237">
        <v>0</v>
      </c>
      <c r="O279" s="236">
        <v>13149</v>
      </c>
      <c r="P279" s="225">
        <f t="shared" si="9"/>
        <v>25175</v>
      </c>
      <c r="Q279" s="236"/>
      <c r="R279" s="237">
        <v>143178</v>
      </c>
      <c r="S279" s="238">
        <v>2288</v>
      </c>
      <c r="T279" s="238">
        <v>145466</v>
      </c>
    </row>
    <row r="280" spans="1:20">
      <c r="A280" s="231">
        <v>92851</v>
      </c>
      <c r="B280" s="232" t="s">
        <v>992</v>
      </c>
      <c r="C280" s="92">
        <v>4.6079999999999998E-4</v>
      </c>
      <c r="D280" s="92">
        <v>4.3909999999999999E-4</v>
      </c>
      <c r="E280" s="236">
        <v>703975</v>
      </c>
      <c r="F280" s="236"/>
      <c r="G280" s="237">
        <v>40555</v>
      </c>
      <c r="H280" s="225">
        <v>170926</v>
      </c>
      <c r="I280" s="237">
        <v>100537</v>
      </c>
      <c r="J280" s="236">
        <v>0</v>
      </c>
      <c r="K280" s="225">
        <f t="shared" si="8"/>
        <v>312018</v>
      </c>
      <c r="L280" s="236"/>
      <c r="M280" s="237">
        <v>19927</v>
      </c>
      <c r="N280" s="237">
        <v>0</v>
      </c>
      <c r="O280" s="236">
        <v>62664</v>
      </c>
      <c r="P280" s="225">
        <f t="shared" si="9"/>
        <v>82591</v>
      </c>
      <c r="Q280" s="236"/>
      <c r="R280" s="237">
        <v>237240</v>
      </c>
      <c r="S280" s="238">
        <v>-35531</v>
      </c>
      <c r="T280" s="238">
        <v>201709</v>
      </c>
    </row>
    <row r="281" spans="1:20">
      <c r="A281" s="231">
        <v>92861</v>
      </c>
      <c r="B281" s="232" t="s">
        <v>993</v>
      </c>
      <c r="C281" s="92">
        <v>3.6010000000000003E-4</v>
      </c>
      <c r="D281" s="92">
        <v>3.3629999999999999E-4</v>
      </c>
      <c r="E281" s="236">
        <v>550133</v>
      </c>
      <c r="F281" s="236"/>
      <c r="G281" s="237">
        <v>31693</v>
      </c>
      <c r="H281" s="225">
        <v>133573</v>
      </c>
      <c r="I281" s="237">
        <v>78567</v>
      </c>
      <c r="J281" s="236">
        <v>0</v>
      </c>
      <c r="K281" s="225">
        <f t="shared" si="8"/>
        <v>243833</v>
      </c>
      <c r="L281" s="236"/>
      <c r="M281" s="237">
        <v>15573</v>
      </c>
      <c r="N281" s="237">
        <v>0</v>
      </c>
      <c r="O281" s="236">
        <v>83092</v>
      </c>
      <c r="P281" s="225">
        <f t="shared" si="9"/>
        <v>98665</v>
      </c>
      <c r="Q281" s="236"/>
      <c r="R281" s="237">
        <v>185395</v>
      </c>
      <c r="S281" s="238">
        <v>-36908</v>
      </c>
      <c r="T281" s="238">
        <f>148488-1</f>
        <v>148487</v>
      </c>
    </row>
    <row r="282" spans="1:20">
      <c r="A282" s="231">
        <v>92901</v>
      </c>
      <c r="B282" s="232" t="s">
        <v>994</v>
      </c>
      <c r="C282" s="92">
        <v>5.5082999999999998E-3</v>
      </c>
      <c r="D282" s="92">
        <v>5.7581000000000004E-3</v>
      </c>
      <c r="E282" s="236">
        <v>8415157</v>
      </c>
      <c r="F282" s="236"/>
      <c r="G282" s="237">
        <v>484791</v>
      </c>
      <c r="H282" s="225">
        <v>2043211</v>
      </c>
      <c r="I282" s="237">
        <v>1201801</v>
      </c>
      <c r="J282" s="236">
        <v>65697</v>
      </c>
      <c r="K282" s="225">
        <f t="shared" si="8"/>
        <v>3795500</v>
      </c>
      <c r="L282" s="236"/>
      <c r="M282" s="237">
        <v>238206</v>
      </c>
      <c r="N282" s="237">
        <v>0</v>
      </c>
      <c r="O282" s="236">
        <v>124949</v>
      </c>
      <c r="P282" s="225">
        <f t="shared" si="9"/>
        <v>363155</v>
      </c>
      <c r="Q282" s="236"/>
      <c r="R282" s="237">
        <v>2835915</v>
      </c>
      <c r="S282" s="238">
        <v>6522</v>
      </c>
      <c r="T282" s="238">
        <f>2842438-1</f>
        <v>2842437</v>
      </c>
    </row>
    <row r="283" spans="1:20">
      <c r="A283" s="231">
        <v>92911</v>
      </c>
      <c r="B283" s="232" t="s">
        <v>995</v>
      </c>
      <c r="C283" s="92">
        <v>1.9548999999999999E-3</v>
      </c>
      <c r="D283" s="92">
        <v>1.9442999999999999E-3</v>
      </c>
      <c r="E283" s="236">
        <v>2986546</v>
      </c>
      <c r="F283" s="236"/>
      <c r="G283" s="237">
        <v>172053</v>
      </c>
      <c r="H283" s="225">
        <v>725137</v>
      </c>
      <c r="I283" s="237">
        <v>426520</v>
      </c>
      <c r="J283" s="236">
        <v>28442</v>
      </c>
      <c r="K283" s="225">
        <f t="shared" si="8"/>
        <v>1352152</v>
      </c>
      <c r="L283" s="236"/>
      <c r="M283" s="237">
        <v>84540</v>
      </c>
      <c r="N283" s="237">
        <v>0</v>
      </c>
      <c r="O283" s="236">
        <v>113525</v>
      </c>
      <c r="P283" s="225">
        <f t="shared" si="9"/>
        <v>198065</v>
      </c>
      <c r="Q283" s="236"/>
      <c r="R283" s="237">
        <v>1006469</v>
      </c>
      <c r="S283" s="238">
        <v>-55041</v>
      </c>
      <c r="T283" s="238">
        <v>951428</v>
      </c>
    </row>
    <row r="284" spans="1:20">
      <c r="A284" s="231">
        <v>92913</v>
      </c>
      <c r="B284" s="232" t="s">
        <v>996</v>
      </c>
      <c r="C284" s="92">
        <v>2.1999999999999999E-5</v>
      </c>
      <c r="D284" s="92">
        <v>2.37E-5</v>
      </c>
      <c r="E284" s="236">
        <v>33610</v>
      </c>
      <c r="F284" s="236"/>
      <c r="G284" s="237">
        <v>1936</v>
      </c>
      <c r="H284" s="225">
        <v>8160</v>
      </c>
      <c r="I284" s="237">
        <v>4800</v>
      </c>
      <c r="J284" s="236">
        <v>79442</v>
      </c>
      <c r="K284" s="225">
        <f t="shared" si="8"/>
        <v>94338</v>
      </c>
      <c r="L284" s="236"/>
      <c r="M284" s="237">
        <v>951</v>
      </c>
      <c r="N284" s="237">
        <v>0</v>
      </c>
      <c r="O284" s="236">
        <v>2047</v>
      </c>
      <c r="P284" s="225">
        <f t="shared" si="9"/>
        <v>2998</v>
      </c>
      <c r="Q284" s="236"/>
      <c r="R284" s="237">
        <v>11327</v>
      </c>
      <c r="S284" s="238">
        <v>25513</v>
      </c>
      <c r="T284" s="238">
        <v>36840</v>
      </c>
    </row>
    <row r="285" spans="1:20">
      <c r="A285" s="231">
        <v>92914</v>
      </c>
      <c r="B285" s="232" t="s">
        <v>997</v>
      </c>
      <c r="C285" s="92">
        <v>2.8900000000000001E-5</v>
      </c>
      <c r="D285" s="92">
        <v>0</v>
      </c>
      <c r="E285" s="236">
        <v>44151</v>
      </c>
      <c r="F285" s="236"/>
      <c r="G285" s="237">
        <v>2544</v>
      </c>
      <c r="H285" s="225">
        <v>10720</v>
      </c>
      <c r="I285" s="237">
        <v>6305</v>
      </c>
      <c r="J285" s="236">
        <v>17173</v>
      </c>
      <c r="K285" s="225">
        <f t="shared" si="8"/>
        <v>36742</v>
      </c>
      <c r="L285" s="236"/>
      <c r="M285" s="237">
        <v>1250</v>
      </c>
      <c r="N285" s="237">
        <v>0</v>
      </c>
      <c r="O285" s="236">
        <v>0</v>
      </c>
      <c r="P285" s="225">
        <f t="shared" si="9"/>
        <v>1250</v>
      </c>
      <c r="Q285" s="236"/>
      <c r="R285" s="237">
        <v>14879</v>
      </c>
      <c r="S285" s="238">
        <v>4293</v>
      </c>
      <c r="T285" s="238">
        <v>19172</v>
      </c>
    </row>
    <row r="286" spans="1:20">
      <c r="A286" s="231">
        <v>92917</v>
      </c>
      <c r="B286" s="232" t="s">
        <v>998</v>
      </c>
      <c r="C286" s="92">
        <v>1.4800000000000001E-5</v>
      </c>
      <c r="D286" s="92">
        <v>2.0000000000000002E-5</v>
      </c>
      <c r="E286" s="236">
        <v>22610</v>
      </c>
      <c r="F286" s="236"/>
      <c r="G286" s="237">
        <v>1303</v>
      </c>
      <c r="H286" s="225">
        <v>5490</v>
      </c>
      <c r="I286" s="237">
        <v>3229</v>
      </c>
      <c r="J286" s="236">
        <v>13223</v>
      </c>
      <c r="K286" s="225">
        <f t="shared" si="8"/>
        <v>23245</v>
      </c>
      <c r="L286" s="236"/>
      <c r="M286" s="237">
        <v>640</v>
      </c>
      <c r="N286" s="237">
        <v>0</v>
      </c>
      <c r="O286" s="236">
        <v>0</v>
      </c>
      <c r="P286" s="225">
        <f t="shared" si="9"/>
        <v>640</v>
      </c>
      <c r="Q286" s="236"/>
      <c r="R286" s="237">
        <v>7620</v>
      </c>
      <c r="S286" s="238">
        <v>6352</v>
      </c>
      <c r="T286" s="238">
        <f>13971+1</f>
        <v>13972</v>
      </c>
    </row>
    <row r="287" spans="1:20">
      <c r="A287" s="231">
        <v>92921</v>
      </c>
      <c r="B287" s="232" t="s">
        <v>999</v>
      </c>
      <c r="C287" s="92">
        <v>7.4400000000000006E-5</v>
      </c>
      <c r="D287" s="92">
        <v>6.2899999999999997E-5</v>
      </c>
      <c r="E287" s="236">
        <v>113663</v>
      </c>
      <c r="F287" s="236"/>
      <c r="G287" s="237">
        <v>6548</v>
      </c>
      <c r="H287" s="225">
        <v>27597</v>
      </c>
      <c r="I287" s="237">
        <v>16233</v>
      </c>
      <c r="J287" s="236">
        <v>13244</v>
      </c>
      <c r="K287" s="225">
        <f t="shared" si="8"/>
        <v>63622</v>
      </c>
      <c r="L287" s="236"/>
      <c r="M287" s="237">
        <v>3217</v>
      </c>
      <c r="N287" s="237">
        <v>0</v>
      </c>
      <c r="O287" s="236">
        <v>7831</v>
      </c>
      <c r="P287" s="225">
        <f t="shared" si="9"/>
        <v>11048</v>
      </c>
      <c r="Q287" s="236"/>
      <c r="R287" s="237">
        <v>38304</v>
      </c>
      <c r="S287" s="238">
        <v>-2914</v>
      </c>
      <c r="T287" s="238">
        <v>35390</v>
      </c>
    </row>
    <row r="288" spans="1:20">
      <c r="A288" s="231">
        <v>92931</v>
      </c>
      <c r="B288" s="232" t="s">
        <v>1000</v>
      </c>
      <c r="C288" s="92">
        <v>2.3996E-3</v>
      </c>
      <c r="D288" s="92">
        <v>2.5048000000000002E-3</v>
      </c>
      <c r="E288" s="236">
        <v>3665924</v>
      </c>
      <c r="F288" s="236"/>
      <c r="G288" s="237">
        <v>211191</v>
      </c>
      <c r="H288" s="225">
        <v>890091</v>
      </c>
      <c r="I288" s="237">
        <v>523545</v>
      </c>
      <c r="J288" s="236">
        <v>7721</v>
      </c>
      <c r="K288" s="225">
        <f t="shared" si="8"/>
        <v>1632548</v>
      </c>
      <c r="L288" s="236"/>
      <c r="M288" s="237">
        <v>103771</v>
      </c>
      <c r="N288" s="237">
        <v>0</v>
      </c>
      <c r="O288" s="236">
        <v>147858</v>
      </c>
      <c r="P288" s="225">
        <f t="shared" si="9"/>
        <v>251629</v>
      </c>
      <c r="Q288" s="236"/>
      <c r="R288" s="237">
        <v>1235420</v>
      </c>
      <c r="S288" s="238">
        <v>-41276</v>
      </c>
      <c r="T288" s="238">
        <v>1194144</v>
      </c>
    </row>
    <row r="289" spans="1:20">
      <c r="A289" s="231">
        <v>92941</v>
      </c>
      <c r="B289" s="232" t="s">
        <v>81</v>
      </c>
      <c r="C289" s="92">
        <v>1.2300000000000001E-5</v>
      </c>
      <c r="D289" s="92">
        <v>1.84E-5</v>
      </c>
      <c r="E289" s="236">
        <v>18791</v>
      </c>
      <c r="F289" s="236"/>
      <c r="G289" s="237">
        <v>1083</v>
      </c>
      <c r="H289" s="225">
        <v>4563</v>
      </c>
      <c r="I289" s="237">
        <v>2684</v>
      </c>
      <c r="J289" s="236">
        <v>6612</v>
      </c>
      <c r="K289" s="225">
        <f t="shared" si="8"/>
        <v>14942</v>
      </c>
      <c r="L289" s="236"/>
      <c r="M289" s="237">
        <v>532</v>
      </c>
      <c r="N289" s="237">
        <v>0</v>
      </c>
      <c r="O289" s="236">
        <v>1770</v>
      </c>
      <c r="P289" s="225">
        <f t="shared" si="9"/>
        <v>2302</v>
      </c>
      <c r="Q289" s="236"/>
      <c r="R289" s="237">
        <v>6333</v>
      </c>
      <c r="S289" s="238">
        <v>3162</v>
      </c>
      <c r="T289" s="238">
        <v>9495</v>
      </c>
    </row>
    <row r="290" spans="1:20">
      <c r="A290" s="231">
        <v>93001</v>
      </c>
      <c r="B290" s="232" t="s">
        <v>1001</v>
      </c>
      <c r="C290" s="92">
        <v>2.2227000000000002E-3</v>
      </c>
      <c r="D290" s="92">
        <v>2.2739000000000001E-3</v>
      </c>
      <c r="E290" s="236">
        <v>3395670</v>
      </c>
      <c r="F290" s="236"/>
      <c r="G290" s="237">
        <v>195622</v>
      </c>
      <c r="H290" s="225">
        <v>824473</v>
      </c>
      <c r="I290" s="237">
        <v>484949</v>
      </c>
      <c r="J290" s="236">
        <v>8733</v>
      </c>
      <c r="K290" s="225">
        <f t="shared" si="8"/>
        <v>1513777</v>
      </c>
      <c r="L290" s="236"/>
      <c r="M290" s="237">
        <v>96121</v>
      </c>
      <c r="N290" s="237">
        <v>0</v>
      </c>
      <c r="O290" s="236">
        <v>123729</v>
      </c>
      <c r="P290" s="225">
        <f t="shared" si="9"/>
        <v>219850</v>
      </c>
      <c r="Q290" s="236"/>
      <c r="R290" s="237">
        <v>1144344</v>
      </c>
      <c r="S290" s="238">
        <v>-57358</v>
      </c>
      <c r="T290" s="238">
        <v>1086986</v>
      </c>
    </row>
    <row r="291" spans="1:20">
      <c r="A291" s="231">
        <v>93009</v>
      </c>
      <c r="B291" s="232" t="s">
        <v>1002</v>
      </c>
      <c r="C291" s="92">
        <v>1.47E-5</v>
      </c>
      <c r="D291" s="92">
        <v>1.5400000000000002E-5</v>
      </c>
      <c r="E291" s="236">
        <v>22458</v>
      </c>
      <c r="F291" s="236"/>
      <c r="G291" s="237">
        <v>1294</v>
      </c>
      <c r="H291" s="225">
        <v>5453</v>
      </c>
      <c r="I291" s="237">
        <v>3207</v>
      </c>
      <c r="J291" s="236">
        <v>0</v>
      </c>
      <c r="K291" s="225">
        <f t="shared" si="8"/>
        <v>9954</v>
      </c>
      <c r="L291" s="236"/>
      <c r="M291" s="237">
        <v>636</v>
      </c>
      <c r="N291" s="237">
        <v>0</v>
      </c>
      <c r="O291" s="236">
        <v>4280</v>
      </c>
      <c r="P291" s="225">
        <f t="shared" si="9"/>
        <v>4916</v>
      </c>
      <c r="Q291" s="236"/>
      <c r="R291" s="237">
        <v>7568</v>
      </c>
      <c r="S291" s="238">
        <v>-1918</v>
      </c>
      <c r="T291" s="238">
        <v>5650</v>
      </c>
    </row>
    <row r="292" spans="1:20">
      <c r="A292" s="231">
        <v>93011</v>
      </c>
      <c r="B292" s="232" t="s">
        <v>1003</v>
      </c>
      <c r="C292" s="92">
        <v>2.2699999999999999E-4</v>
      </c>
      <c r="D292" s="92">
        <v>2.6160000000000002E-4</v>
      </c>
      <c r="E292" s="236">
        <v>346793</v>
      </c>
      <c r="F292" s="236"/>
      <c r="G292" s="237">
        <v>19978</v>
      </c>
      <c r="H292" s="225">
        <v>84202</v>
      </c>
      <c r="I292" s="237">
        <v>49527</v>
      </c>
      <c r="J292" s="236">
        <v>1542</v>
      </c>
      <c r="K292" s="225">
        <f t="shared" si="8"/>
        <v>155249</v>
      </c>
      <c r="L292" s="236"/>
      <c r="M292" s="237">
        <v>9817</v>
      </c>
      <c r="N292" s="237">
        <v>0</v>
      </c>
      <c r="O292" s="236">
        <v>15019</v>
      </c>
      <c r="P292" s="225">
        <f t="shared" si="9"/>
        <v>24836</v>
      </c>
      <c r="Q292" s="236"/>
      <c r="R292" s="237">
        <v>116870</v>
      </c>
      <c r="S292" s="238">
        <v>-3863</v>
      </c>
      <c r="T292" s="238">
        <v>113007</v>
      </c>
    </row>
    <row r="293" spans="1:20">
      <c r="A293" s="231">
        <v>93021</v>
      </c>
      <c r="B293" s="232" t="s">
        <v>1004</v>
      </c>
      <c r="C293" s="92">
        <v>3.4199999999999998E-5</v>
      </c>
      <c r="D293" s="92">
        <v>2.8900000000000001E-5</v>
      </c>
      <c r="E293" s="236">
        <v>52248</v>
      </c>
      <c r="F293" s="236"/>
      <c r="G293" s="237">
        <v>3010</v>
      </c>
      <c r="H293" s="225">
        <v>12686</v>
      </c>
      <c r="I293" s="237">
        <v>7462</v>
      </c>
      <c r="J293" s="236">
        <v>3788</v>
      </c>
      <c r="K293" s="225">
        <f t="shared" si="8"/>
        <v>26946</v>
      </c>
      <c r="L293" s="236"/>
      <c r="M293" s="237">
        <v>1479</v>
      </c>
      <c r="N293" s="237">
        <v>0</v>
      </c>
      <c r="O293" s="236">
        <v>4978</v>
      </c>
      <c r="P293" s="225">
        <f t="shared" si="9"/>
        <v>6457</v>
      </c>
      <c r="Q293" s="236"/>
      <c r="R293" s="237">
        <v>17608</v>
      </c>
      <c r="S293" s="238">
        <v>260</v>
      </c>
      <c r="T293" s="238">
        <v>17868</v>
      </c>
    </row>
    <row r="294" spans="1:20">
      <c r="A294" s="231">
        <v>93027</v>
      </c>
      <c r="B294" s="232" t="s">
        <v>1005</v>
      </c>
      <c r="C294" s="92">
        <v>1.6699999999999999E-5</v>
      </c>
      <c r="D294" s="92">
        <v>1.6699999999999999E-5</v>
      </c>
      <c r="E294" s="236">
        <v>25513</v>
      </c>
      <c r="F294" s="236"/>
      <c r="G294" s="237">
        <v>1470</v>
      </c>
      <c r="H294" s="225">
        <v>6194</v>
      </c>
      <c r="I294" s="237">
        <v>3644</v>
      </c>
      <c r="J294" s="236">
        <v>1152</v>
      </c>
      <c r="K294" s="225">
        <f t="shared" si="8"/>
        <v>12460</v>
      </c>
      <c r="L294" s="236"/>
      <c r="M294" s="237">
        <v>722</v>
      </c>
      <c r="N294" s="237">
        <v>0</v>
      </c>
      <c r="O294" s="236">
        <v>834</v>
      </c>
      <c r="P294" s="225">
        <f t="shared" si="9"/>
        <v>1556</v>
      </c>
      <c r="Q294" s="236"/>
      <c r="R294" s="237">
        <v>8598</v>
      </c>
      <c r="S294" s="238">
        <v>-308</v>
      </c>
      <c r="T294" s="238">
        <v>8290</v>
      </c>
    </row>
    <row r="295" spans="1:20">
      <c r="A295" s="231">
        <v>93031</v>
      </c>
      <c r="B295" s="232" t="s">
        <v>1006</v>
      </c>
      <c r="C295" s="92">
        <v>2.1699999999999999E-5</v>
      </c>
      <c r="D295" s="92">
        <v>2.2399999999999999E-5</v>
      </c>
      <c r="E295" s="236">
        <v>33152</v>
      </c>
      <c r="F295" s="236"/>
      <c r="G295" s="237">
        <v>1910</v>
      </c>
      <c r="H295" s="225">
        <v>8050</v>
      </c>
      <c r="I295" s="237">
        <v>4735</v>
      </c>
      <c r="J295" s="236">
        <v>18910</v>
      </c>
      <c r="K295" s="225">
        <f t="shared" si="8"/>
        <v>33605</v>
      </c>
      <c r="L295" s="236"/>
      <c r="M295" s="237">
        <v>938</v>
      </c>
      <c r="N295" s="237">
        <v>0</v>
      </c>
      <c r="O295" s="236">
        <v>221</v>
      </c>
      <c r="P295" s="225">
        <f t="shared" si="9"/>
        <v>1159</v>
      </c>
      <c r="Q295" s="236"/>
      <c r="R295" s="237">
        <v>11172</v>
      </c>
      <c r="S295" s="238">
        <v>5880</v>
      </c>
      <c r="T295" s="238">
        <v>17052</v>
      </c>
    </row>
    <row r="296" spans="1:20">
      <c r="A296" s="231">
        <v>93101</v>
      </c>
      <c r="B296" s="232" t="s">
        <v>1007</v>
      </c>
      <c r="C296" s="92">
        <v>3.5159000000000002E-3</v>
      </c>
      <c r="D296" s="92">
        <v>3.5771000000000002E-3</v>
      </c>
      <c r="E296" s="236">
        <v>5371321</v>
      </c>
      <c r="F296" s="236"/>
      <c r="G296" s="237">
        <v>309438</v>
      </c>
      <c r="H296" s="225">
        <v>1304163</v>
      </c>
      <c r="I296" s="237">
        <v>767099</v>
      </c>
      <c r="J296" s="236">
        <v>104257</v>
      </c>
      <c r="K296" s="225">
        <f t="shared" si="8"/>
        <v>2484957</v>
      </c>
      <c r="L296" s="236"/>
      <c r="M296" s="237">
        <v>152045</v>
      </c>
      <c r="N296" s="237">
        <v>0</v>
      </c>
      <c r="O296" s="236">
        <v>115334</v>
      </c>
      <c r="P296" s="225">
        <f t="shared" si="9"/>
        <v>267379</v>
      </c>
      <c r="Q296" s="236"/>
      <c r="R296" s="237">
        <v>1810140</v>
      </c>
      <c r="S296" s="238">
        <v>39451</v>
      </c>
      <c r="T296" s="238">
        <v>1849591</v>
      </c>
    </row>
    <row r="297" spans="1:20">
      <c r="A297" s="231">
        <v>93103</v>
      </c>
      <c r="B297" s="232" t="s">
        <v>260</v>
      </c>
      <c r="C297" s="92">
        <v>1.7099999999999999E-5</v>
      </c>
      <c r="D297" s="92">
        <v>1.7200000000000001E-5</v>
      </c>
      <c r="E297" s="236">
        <v>26124</v>
      </c>
      <c r="F297" s="236"/>
      <c r="G297" s="237">
        <v>1505</v>
      </c>
      <c r="H297" s="225">
        <v>6343</v>
      </c>
      <c r="I297" s="237">
        <v>3731</v>
      </c>
      <c r="J297" s="236">
        <v>6718</v>
      </c>
      <c r="K297" s="225">
        <f t="shared" si="8"/>
        <v>18297</v>
      </c>
      <c r="L297" s="236"/>
      <c r="M297" s="237">
        <v>739</v>
      </c>
      <c r="N297" s="237">
        <v>0</v>
      </c>
      <c r="O297" s="236">
        <v>1798</v>
      </c>
      <c r="P297" s="225">
        <f t="shared" si="9"/>
        <v>2537</v>
      </c>
      <c r="Q297" s="236"/>
      <c r="R297" s="237">
        <v>8804</v>
      </c>
      <c r="S297" s="238">
        <v>2085</v>
      </c>
      <c r="T297" s="238">
        <v>10889</v>
      </c>
    </row>
    <row r="298" spans="1:20">
      <c r="A298" s="231">
        <v>93108</v>
      </c>
      <c r="B298" s="232" t="s">
        <v>1008</v>
      </c>
      <c r="C298" s="92">
        <v>2.6624999999999999E-3</v>
      </c>
      <c r="D298" s="92">
        <v>2.5661999999999998E-3</v>
      </c>
      <c r="E298" s="236">
        <v>4067562</v>
      </c>
      <c r="F298" s="236"/>
      <c r="G298" s="237">
        <v>234329</v>
      </c>
      <c r="H298" s="225">
        <v>987609</v>
      </c>
      <c r="I298" s="237">
        <v>580904</v>
      </c>
      <c r="J298" s="236">
        <v>274861</v>
      </c>
      <c r="K298" s="225">
        <f t="shared" si="8"/>
        <v>2077703</v>
      </c>
      <c r="L298" s="236"/>
      <c r="M298" s="237">
        <v>115140</v>
      </c>
      <c r="N298" s="237">
        <v>0</v>
      </c>
      <c r="O298" s="236">
        <v>0</v>
      </c>
      <c r="P298" s="225">
        <f t="shared" si="9"/>
        <v>115140</v>
      </c>
      <c r="Q298" s="236"/>
      <c r="R298" s="237">
        <v>1370772</v>
      </c>
      <c r="S298" s="238">
        <v>189775</v>
      </c>
      <c r="T298" s="238">
        <v>1560547</v>
      </c>
    </row>
    <row r="299" spans="1:20">
      <c r="A299" s="231">
        <v>93111</v>
      </c>
      <c r="B299" s="232" t="s">
        <v>1009</v>
      </c>
      <c r="C299" s="92">
        <v>5.8499999999999999E-5</v>
      </c>
      <c r="D299" s="92">
        <v>7.08E-5</v>
      </c>
      <c r="E299" s="236">
        <v>89372</v>
      </c>
      <c r="F299" s="236"/>
      <c r="G299" s="237">
        <v>5149</v>
      </c>
      <c r="H299" s="225">
        <v>21700</v>
      </c>
      <c r="I299" s="237">
        <v>12764</v>
      </c>
      <c r="J299" s="236">
        <v>0</v>
      </c>
      <c r="K299" s="225">
        <f t="shared" si="8"/>
        <v>39613</v>
      </c>
      <c r="L299" s="236"/>
      <c r="M299" s="237">
        <v>2530</v>
      </c>
      <c r="N299" s="237">
        <v>0</v>
      </c>
      <c r="O299" s="236">
        <v>15463</v>
      </c>
      <c r="P299" s="225">
        <f t="shared" si="9"/>
        <v>17993</v>
      </c>
      <c r="Q299" s="236"/>
      <c r="R299" s="237">
        <v>30118</v>
      </c>
      <c r="S299" s="238">
        <v>-5541</v>
      </c>
      <c r="T299" s="238">
        <f>24578-1</f>
        <v>24577</v>
      </c>
    </row>
    <row r="300" spans="1:20">
      <c r="A300" s="231">
        <v>93121</v>
      </c>
      <c r="B300" s="232" t="s">
        <v>1010</v>
      </c>
      <c r="C300" s="92">
        <v>6.2299999999999996E-5</v>
      </c>
      <c r="D300" s="92">
        <v>5.8900000000000002E-5</v>
      </c>
      <c r="E300" s="236">
        <v>95177</v>
      </c>
      <c r="F300" s="236"/>
      <c r="G300" s="237">
        <v>5483</v>
      </c>
      <c r="H300" s="225">
        <v>23109</v>
      </c>
      <c r="I300" s="237">
        <v>13593</v>
      </c>
      <c r="J300" s="236">
        <v>2043</v>
      </c>
      <c r="K300" s="225">
        <f t="shared" si="8"/>
        <v>44228</v>
      </c>
      <c r="L300" s="236"/>
      <c r="M300" s="237">
        <v>2694</v>
      </c>
      <c r="N300" s="237">
        <v>0</v>
      </c>
      <c r="O300" s="236">
        <v>9059</v>
      </c>
      <c r="P300" s="225">
        <f t="shared" si="9"/>
        <v>11753</v>
      </c>
      <c r="Q300" s="236"/>
      <c r="R300" s="237">
        <v>32075</v>
      </c>
      <c r="S300" s="238">
        <v>-3552</v>
      </c>
      <c r="T300" s="238">
        <f>28522+1</f>
        <v>28523</v>
      </c>
    </row>
    <row r="301" spans="1:20">
      <c r="A301" s="231">
        <v>93127</v>
      </c>
      <c r="B301" s="232" t="s">
        <v>1011</v>
      </c>
      <c r="C301" s="92">
        <v>6.9E-6</v>
      </c>
      <c r="D301" s="92">
        <v>6.8000000000000001E-6</v>
      </c>
      <c r="E301" s="236">
        <v>10541</v>
      </c>
      <c r="F301" s="236"/>
      <c r="G301" s="237">
        <v>607</v>
      </c>
      <c r="H301" s="225">
        <v>2560</v>
      </c>
      <c r="I301" s="237">
        <v>1505</v>
      </c>
      <c r="J301" s="236">
        <v>124</v>
      </c>
      <c r="K301" s="225">
        <f t="shared" si="8"/>
        <v>4796</v>
      </c>
      <c r="L301" s="236"/>
      <c r="M301" s="237">
        <v>298</v>
      </c>
      <c r="N301" s="237">
        <v>0</v>
      </c>
      <c r="O301" s="236">
        <v>731</v>
      </c>
      <c r="P301" s="225">
        <f t="shared" si="9"/>
        <v>1029</v>
      </c>
      <c r="Q301" s="236"/>
      <c r="R301" s="237">
        <v>3552</v>
      </c>
      <c r="S301" s="238">
        <v>-369</v>
      </c>
      <c r="T301" s="238">
        <v>3183</v>
      </c>
    </row>
    <row r="302" spans="1:20">
      <c r="A302" s="231">
        <v>93131</v>
      </c>
      <c r="B302" s="232" t="s">
        <v>1012</v>
      </c>
      <c r="C302" s="92">
        <v>2.218E-4</v>
      </c>
      <c r="D302" s="92">
        <v>2.3939999999999999E-4</v>
      </c>
      <c r="E302" s="236">
        <v>338849</v>
      </c>
      <c r="F302" s="236"/>
      <c r="G302" s="237">
        <v>19521</v>
      </c>
      <c r="H302" s="225">
        <v>82273</v>
      </c>
      <c r="I302" s="237">
        <v>48392</v>
      </c>
      <c r="J302" s="236">
        <v>7888</v>
      </c>
      <c r="K302" s="225">
        <f t="shared" si="8"/>
        <v>158074</v>
      </c>
      <c r="L302" s="236"/>
      <c r="M302" s="237">
        <v>9592</v>
      </c>
      <c r="N302" s="237">
        <v>0</v>
      </c>
      <c r="O302" s="236">
        <v>21906</v>
      </c>
      <c r="P302" s="225">
        <f t="shared" si="9"/>
        <v>31498</v>
      </c>
      <c r="Q302" s="236"/>
      <c r="R302" s="237">
        <v>114192</v>
      </c>
      <c r="S302" s="238">
        <v>-530</v>
      </c>
      <c r="T302" s="238">
        <v>113662</v>
      </c>
    </row>
    <row r="303" spans="1:20">
      <c r="A303" s="231">
        <v>93137</v>
      </c>
      <c r="B303" s="232" t="s">
        <v>1013</v>
      </c>
      <c r="C303" s="92">
        <v>3.3000000000000002E-6</v>
      </c>
      <c r="D303" s="92">
        <v>1.9E-6</v>
      </c>
      <c r="E303" s="236">
        <v>5041</v>
      </c>
      <c r="F303" s="236"/>
      <c r="G303" s="237">
        <v>290</v>
      </c>
      <c r="H303" s="225">
        <v>1224</v>
      </c>
      <c r="I303" s="237">
        <v>720</v>
      </c>
      <c r="J303" s="236">
        <v>2709</v>
      </c>
      <c r="K303" s="225">
        <f t="shared" si="8"/>
        <v>4943</v>
      </c>
      <c r="L303" s="236"/>
      <c r="M303" s="237">
        <v>143</v>
      </c>
      <c r="N303" s="237">
        <v>0</v>
      </c>
      <c r="O303" s="236">
        <v>0</v>
      </c>
      <c r="P303" s="225">
        <f t="shared" si="9"/>
        <v>143</v>
      </c>
      <c r="Q303" s="236"/>
      <c r="R303" s="237">
        <v>1699</v>
      </c>
      <c r="S303" s="238">
        <v>839</v>
      </c>
      <c r="T303" s="238">
        <v>2538</v>
      </c>
    </row>
    <row r="304" spans="1:20">
      <c r="A304" s="231">
        <v>93141</v>
      </c>
      <c r="B304" s="232" t="s">
        <v>1014</v>
      </c>
      <c r="C304" s="92">
        <v>4.1100000000000003E-5</v>
      </c>
      <c r="D304" s="92">
        <v>4.5500000000000001E-5</v>
      </c>
      <c r="E304" s="236">
        <v>62789</v>
      </c>
      <c r="F304" s="236"/>
      <c r="G304" s="237">
        <v>3617</v>
      </c>
      <c r="H304" s="225">
        <v>15246</v>
      </c>
      <c r="I304" s="237">
        <v>8967</v>
      </c>
      <c r="J304" s="236">
        <v>2083</v>
      </c>
      <c r="K304" s="225">
        <f t="shared" si="8"/>
        <v>29913</v>
      </c>
      <c r="L304" s="236"/>
      <c r="M304" s="237">
        <v>1777</v>
      </c>
      <c r="N304" s="237">
        <v>0</v>
      </c>
      <c r="O304" s="236">
        <v>7408</v>
      </c>
      <c r="P304" s="225">
        <f t="shared" si="9"/>
        <v>9185</v>
      </c>
      <c r="Q304" s="236"/>
      <c r="R304" s="237">
        <v>21160</v>
      </c>
      <c r="S304" s="238">
        <v>-351</v>
      </c>
      <c r="T304" s="238">
        <v>20809</v>
      </c>
    </row>
    <row r="305" spans="1:20">
      <c r="A305" s="231">
        <v>93151</v>
      </c>
      <c r="B305" s="232" t="s">
        <v>1015</v>
      </c>
      <c r="C305" s="92">
        <v>3.4279999999999998E-4</v>
      </c>
      <c r="D305" s="92">
        <v>3.6539999999999999E-4</v>
      </c>
      <c r="E305" s="236">
        <v>523703</v>
      </c>
      <c r="F305" s="236"/>
      <c r="G305" s="237">
        <v>30170</v>
      </c>
      <c r="H305" s="225">
        <v>127156</v>
      </c>
      <c r="I305" s="237">
        <v>74792</v>
      </c>
      <c r="J305" s="236">
        <v>3795</v>
      </c>
      <c r="K305" s="225">
        <f t="shared" si="8"/>
        <v>235913</v>
      </c>
      <c r="L305" s="236"/>
      <c r="M305" s="237">
        <v>14824</v>
      </c>
      <c r="N305" s="237">
        <v>0</v>
      </c>
      <c r="O305" s="236">
        <v>19989</v>
      </c>
      <c r="P305" s="225">
        <f t="shared" si="9"/>
        <v>34813</v>
      </c>
      <c r="Q305" s="236"/>
      <c r="R305" s="237">
        <v>176489</v>
      </c>
      <c r="S305" s="238">
        <v>-4355</v>
      </c>
      <c r="T305" s="238">
        <f>172133+1</f>
        <v>172134</v>
      </c>
    </row>
    <row r="306" spans="1:20">
      <c r="A306" s="231">
        <v>93157</v>
      </c>
      <c r="B306" s="232" t="s">
        <v>1016</v>
      </c>
      <c r="C306" s="92">
        <v>3.5999999999999998E-6</v>
      </c>
      <c r="D306" s="92">
        <v>3.8E-6</v>
      </c>
      <c r="E306" s="236">
        <v>5500</v>
      </c>
      <c r="F306" s="236"/>
      <c r="G306" s="237">
        <v>317</v>
      </c>
      <c r="H306" s="225">
        <v>1336</v>
      </c>
      <c r="I306" s="237">
        <v>785</v>
      </c>
      <c r="J306" s="236">
        <v>6931</v>
      </c>
      <c r="K306" s="225">
        <f t="shared" si="8"/>
        <v>9369</v>
      </c>
      <c r="L306" s="236"/>
      <c r="M306" s="237">
        <v>156</v>
      </c>
      <c r="N306" s="237">
        <v>0</v>
      </c>
      <c r="O306" s="236">
        <v>340</v>
      </c>
      <c r="P306" s="225">
        <f t="shared" si="9"/>
        <v>496</v>
      </c>
      <c r="Q306" s="236"/>
      <c r="R306" s="237">
        <v>1853</v>
      </c>
      <c r="S306" s="238">
        <v>2783</v>
      </c>
      <c r="T306" s="238">
        <f>4637-1</f>
        <v>4636</v>
      </c>
    </row>
    <row r="307" spans="1:20">
      <c r="A307" s="231">
        <v>93161</v>
      </c>
      <c r="B307" s="232" t="s">
        <v>1017</v>
      </c>
      <c r="C307" s="92">
        <v>1.038E-4</v>
      </c>
      <c r="D307" s="92">
        <v>6.2500000000000001E-5</v>
      </c>
      <c r="E307" s="236">
        <v>158578</v>
      </c>
      <c r="F307" s="236"/>
      <c r="G307" s="237">
        <v>9136</v>
      </c>
      <c r="H307" s="225">
        <v>38503</v>
      </c>
      <c r="I307" s="237">
        <v>22647</v>
      </c>
      <c r="J307" s="236">
        <v>35990</v>
      </c>
      <c r="K307" s="225">
        <f t="shared" si="8"/>
        <v>106276</v>
      </c>
      <c r="L307" s="236"/>
      <c r="M307" s="237">
        <v>4489</v>
      </c>
      <c r="N307" s="237">
        <v>0</v>
      </c>
      <c r="O307" s="236">
        <v>0</v>
      </c>
      <c r="P307" s="225">
        <f t="shared" si="9"/>
        <v>4489</v>
      </c>
      <c r="Q307" s="236"/>
      <c r="R307" s="237">
        <v>53441</v>
      </c>
      <c r="S307" s="238">
        <v>13001</v>
      </c>
      <c r="T307" s="238">
        <v>66442</v>
      </c>
    </row>
    <row r="308" spans="1:20">
      <c r="A308" s="231">
        <v>93171</v>
      </c>
      <c r="B308" s="232" t="s">
        <v>1018</v>
      </c>
      <c r="C308" s="92">
        <v>5.2000000000000002E-6</v>
      </c>
      <c r="D308" s="92">
        <v>5.8000000000000004E-6</v>
      </c>
      <c r="E308" s="236">
        <v>7944</v>
      </c>
      <c r="F308" s="236"/>
      <c r="G308" s="237">
        <v>458</v>
      </c>
      <c r="H308" s="225">
        <v>1929</v>
      </c>
      <c r="I308" s="237">
        <v>1135</v>
      </c>
      <c r="J308" s="236">
        <v>1960</v>
      </c>
      <c r="K308" s="225">
        <f t="shared" si="8"/>
        <v>5482</v>
      </c>
      <c r="L308" s="236"/>
      <c r="M308" s="237">
        <v>225</v>
      </c>
      <c r="N308" s="237">
        <v>0</v>
      </c>
      <c r="O308" s="236">
        <v>0</v>
      </c>
      <c r="P308" s="225">
        <f t="shared" si="9"/>
        <v>225</v>
      </c>
      <c r="Q308" s="236"/>
      <c r="R308" s="237">
        <v>2677</v>
      </c>
      <c r="S308" s="238">
        <v>791</v>
      </c>
      <c r="T308" s="238">
        <v>3468</v>
      </c>
    </row>
    <row r="309" spans="1:20">
      <c r="A309" s="231">
        <v>93181</v>
      </c>
      <c r="B309" s="232" t="s">
        <v>1019</v>
      </c>
      <c r="C309" s="92">
        <v>1.13E-5</v>
      </c>
      <c r="D309" s="92">
        <v>1.1E-5</v>
      </c>
      <c r="E309" s="236">
        <v>17263</v>
      </c>
      <c r="F309" s="236"/>
      <c r="G309" s="237">
        <v>995</v>
      </c>
      <c r="H309" s="225">
        <v>4191</v>
      </c>
      <c r="I309" s="237">
        <v>2465</v>
      </c>
      <c r="J309" s="236">
        <v>772</v>
      </c>
      <c r="K309" s="225">
        <f t="shared" si="8"/>
        <v>8423</v>
      </c>
      <c r="L309" s="236"/>
      <c r="M309" s="237">
        <v>489</v>
      </c>
      <c r="N309" s="237">
        <v>0</v>
      </c>
      <c r="O309" s="236">
        <v>28</v>
      </c>
      <c r="P309" s="225">
        <f t="shared" si="9"/>
        <v>517</v>
      </c>
      <c r="Q309" s="236"/>
      <c r="R309" s="237">
        <v>5818</v>
      </c>
      <c r="S309" s="238">
        <v>412</v>
      </c>
      <c r="T309" s="238">
        <v>6230</v>
      </c>
    </row>
    <row r="310" spans="1:20">
      <c r="A310" s="231">
        <v>93191</v>
      </c>
      <c r="B310" s="232" t="s">
        <v>1020</v>
      </c>
      <c r="C310" s="92">
        <v>2.4600000000000002E-5</v>
      </c>
      <c r="D310" s="92">
        <v>3.3000000000000003E-5</v>
      </c>
      <c r="E310" s="236">
        <v>37582</v>
      </c>
      <c r="F310" s="236"/>
      <c r="G310" s="237">
        <v>2165</v>
      </c>
      <c r="H310" s="225">
        <v>9125</v>
      </c>
      <c r="I310" s="237">
        <v>5367</v>
      </c>
      <c r="J310" s="236">
        <v>1713</v>
      </c>
      <c r="K310" s="225">
        <f t="shared" si="8"/>
        <v>18370</v>
      </c>
      <c r="L310" s="236"/>
      <c r="M310" s="237">
        <v>1064</v>
      </c>
      <c r="N310" s="237">
        <v>0</v>
      </c>
      <c r="O310" s="236">
        <v>2443</v>
      </c>
      <c r="P310" s="225">
        <f t="shared" si="9"/>
        <v>3507</v>
      </c>
      <c r="Q310" s="236"/>
      <c r="R310" s="237">
        <v>12665</v>
      </c>
      <c r="S310" s="238">
        <v>-169</v>
      </c>
      <c r="T310" s="238">
        <v>12496</v>
      </c>
    </row>
    <row r="311" spans="1:20">
      <c r="A311" s="231">
        <v>93201</v>
      </c>
      <c r="B311" s="232" t="s">
        <v>1021</v>
      </c>
      <c r="C311" s="92">
        <v>1.5517E-2</v>
      </c>
      <c r="D311" s="92">
        <v>1.5819699999999999E-2</v>
      </c>
      <c r="E311" s="236">
        <v>23705678</v>
      </c>
      <c r="F311" s="236"/>
      <c r="G311" s="237">
        <v>1365667</v>
      </c>
      <c r="H311" s="225">
        <v>5755768</v>
      </c>
      <c r="I311" s="237">
        <v>3385499</v>
      </c>
      <c r="J311" s="236">
        <v>809545</v>
      </c>
      <c r="K311" s="225">
        <f t="shared" si="8"/>
        <v>11316479</v>
      </c>
      <c r="L311" s="236"/>
      <c r="M311" s="237">
        <v>671033</v>
      </c>
      <c r="N311" s="237">
        <v>0</v>
      </c>
      <c r="O311" s="236">
        <v>206420</v>
      </c>
      <c r="P311" s="225">
        <f t="shared" si="9"/>
        <v>877453</v>
      </c>
      <c r="Q311" s="236"/>
      <c r="R311" s="237">
        <v>7988834</v>
      </c>
      <c r="S311" s="238">
        <v>397964</v>
      </c>
      <c r="T311" s="238">
        <f>8386799-1</f>
        <v>8386798</v>
      </c>
    </row>
    <row r="312" spans="1:20">
      <c r="A312" s="231">
        <v>93202</v>
      </c>
      <c r="B312" s="232" t="s">
        <v>1022</v>
      </c>
      <c r="C312" s="92">
        <v>0</v>
      </c>
      <c r="D312" s="92">
        <v>0</v>
      </c>
      <c r="E312" s="236">
        <v>0</v>
      </c>
      <c r="F312" s="236"/>
      <c r="G312" s="237">
        <v>0</v>
      </c>
      <c r="H312" s="225">
        <v>0</v>
      </c>
      <c r="I312" s="237">
        <v>0</v>
      </c>
      <c r="J312" s="236">
        <v>0</v>
      </c>
      <c r="K312" s="225">
        <f t="shared" si="8"/>
        <v>0</v>
      </c>
      <c r="L312" s="236"/>
      <c r="M312" s="237">
        <v>0</v>
      </c>
      <c r="N312" s="237">
        <v>0</v>
      </c>
      <c r="O312" s="236">
        <v>212519</v>
      </c>
      <c r="P312" s="225">
        <f t="shared" si="9"/>
        <v>212519</v>
      </c>
      <c r="Q312" s="236"/>
      <c r="R312" s="237">
        <v>0</v>
      </c>
      <c r="S312" s="238">
        <v>-109544</v>
      </c>
      <c r="T312" s="238">
        <v>-109544</v>
      </c>
    </row>
    <row r="313" spans="1:20">
      <c r="A313" s="231">
        <v>93204</v>
      </c>
      <c r="B313" s="232" t="s">
        <v>1023</v>
      </c>
      <c r="C313" s="92">
        <v>3.0279999999999999E-4</v>
      </c>
      <c r="D313" s="92">
        <v>2.9480000000000001E-4</v>
      </c>
      <c r="E313" s="236">
        <v>462595</v>
      </c>
      <c r="F313" s="236"/>
      <c r="G313" s="237">
        <v>26650</v>
      </c>
      <c r="H313" s="225">
        <v>112319</v>
      </c>
      <c r="I313" s="237">
        <v>66065</v>
      </c>
      <c r="J313" s="236">
        <v>24167</v>
      </c>
      <c r="K313" s="225">
        <f t="shared" si="8"/>
        <v>229201</v>
      </c>
      <c r="L313" s="236"/>
      <c r="M313" s="237">
        <v>13095</v>
      </c>
      <c r="N313" s="237">
        <v>0</v>
      </c>
      <c r="O313" s="236">
        <v>9452</v>
      </c>
      <c r="P313" s="225">
        <f t="shared" si="9"/>
        <v>22547</v>
      </c>
      <c r="Q313" s="236"/>
      <c r="R313" s="237">
        <v>155895</v>
      </c>
      <c r="S313" s="238">
        <v>782</v>
      </c>
      <c r="T313" s="238">
        <v>156677</v>
      </c>
    </row>
    <row r="314" spans="1:20">
      <c r="A314" s="231">
        <v>93209</v>
      </c>
      <c r="B314" s="232" t="s">
        <v>1024</v>
      </c>
      <c r="C314" s="92">
        <v>4.6693999999999998E-3</v>
      </c>
      <c r="D314" s="92">
        <v>4.5113999999999996E-3</v>
      </c>
      <c r="E314" s="236">
        <v>7133550</v>
      </c>
      <c r="F314" s="236"/>
      <c r="G314" s="237">
        <v>410959</v>
      </c>
      <c r="H314" s="225">
        <v>1732035</v>
      </c>
      <c r="I314" s="237">
        <v>1018770</v>
      </c>
      <c r="J314" s="236">
        <v>838336</v>
      </c>
      <c r="K314" s="225">
        <f t="shared" si="8"/>
        <v>4000100</v>
      </c>
      <c r="L314" s="236"/>
      <c r="M314" s="237">
        <v>201928</v>
      </c>
      <c r="N314" s="237">
        <v>0</v>
      </c>
      <c r="O314" s="236">
        <v>0</v>
      </c>
      <c r="P314" s="225">
        <f t="shared" si="9"/>
        <v>201928</v>
      </c>
      <c r="Q314" s="236"/>
      <c r="R314" s="237">
        <v>2404013</v>
      </c>
      <c r="S314" s="238">
        <v>551077</v>
      </c>
      <c r="T314" s="238">
        <v>2955090</v>
      </c>
    </row>
    <row r="315" spans="1:20">
      <c r="A315" s="231">
        <v>93211</v>
      </c>
      <c r="B315" s="232" t="s">
        <v>1025</v>
      </c>
      <c r="C315" s="92">
        <v>2.0374099999999999E-2</v>
      </c>
      <c r="D315" s="92">
        <v>2.0456800000000001E-2</v>
      </c>
      <c r="E315" s="236">
        <v>31125981</v>
      </c>
      <c r="F315" s="236"/>
      <c r="G315" s="237">
        <v>1793145</v>
      </c>
      <c r="H315" s="225">
        <v>7557426</v>
      </c>
      <c r="I315" s="237">
        <v>4445221</v>
      </c>
      <c r="J315" s="236">
        <v>0</v>
      </c>
      <c r="K315" s="225">
        <f t="shared" si="8"/>
        <v>13795792</v>
      </c>
      <c r="L315" s="236"/>
      <c r="M315" s="237">
        <v>881078</v>
      </c>
      <c r="N315" s="237">
        <v>0</v>
      </c>
      <c r="O315" s="236">
        <v>991023</v>
      </c>
      <c r="P315" s="225">
        <f t="shared" si="9"/>
        <v>1872101</v>
      </c>
      <c r="Q315" s="236"/>
      <c r="R315" s="237">
        <v>10489483</v>
      </c>
      <c r="S315" s="238">
        <v>-507236</v>
      </c>
      <c r="T315" s="238">
        <v>9982247</v>
      </c>
    </row>
    <row r="316" spans="1:20">
      <c r="A316" s="231">
        <v>93212</v>
      </c>
      <c r="B316" s="232" t="s">
        <v>1026</v>
      </c>
      <c r="C316" s="92">
        <v>2.2130000000000001E-4</v>
      </c>
      <c r="D316" s="92">
        <v>2.052E-4</v>
      </c>
      <c r="E316" s="236">
        <v>338085</v>
      </c>
      <c r="F316" s="236"/>
      <c r="G316" s="237">
        <v>19477</v>
      </c>
      <c r="H316" s="225">
        <v>82087</v>
      </c>
      <c r="I316" s="237">
        <v>48283</v>
      </c>
      <c r="J316" s="236">
        <v>158429</v>
      </c>
      <c r="K316" s="225">
        <f t="shared" si="8"/>
        <v>308276</v>
      </c>
      <c r="L316" s="236"/>
      <c r="M316" s="237">
        <v>9570</v>
      </c>
      <c r="N316" s="237">
        <v>0</v>
      </c>
      <c r="O316" s="236">
        <v>0</v>
      </c>
      <c r="P316" s="225">
        <f t="shared" si="9"/>
        <v>9570</v>
      </c>
      <c r="Q316" s="236"/>
      <c r="R316" s="237">
        <v>113935</v>
      </c>
      <c r="S316" s="238">
        <v>53448</v>
      </c>
      <c r="T316" s="238">
        <v>167383</v>
      </c>
    </row>
    <row r="317" spans="1:20">
      <c r="A317" s="231">
        <v>93219</v>
      </c>
      <c r="B317" s="232" t="s">
        <v>1027</v>
      </c>
      <c r="C317" s="92">
        <v>2.6289999999999999E-4</v>
      </c>
      <c r="D317" s="92">
        <v>2.286E-4</v>
      </c>
      <c r="E317" s="236">
        <v>401638</v>
      </c>
      <c r="F317" s="236"/>
      <c r="G317" s="237">
        <v>23138</v>
      </c>
      <c r="H317" s="225">
        <v>97518</v>
      </c>
      <c r="I317" s="237">
        <v>57360</v>
      </c>
      <c r="J317" s="236">
        <v>22706</v>
      </c>
      <c r="K317" s="225">
        <f t="shared" si="8"/>
        <v>200722</v>
      </c>
      <c r="L317" s="236"/>
      <c r="M317" s="237">
        <v>11369</v>
      </c>
      <c r="N317" s="237">
        <v>0</v>
      </c>
      <c r="O317" s="236">
        <v>9094</v>
      </c>
      <c r="P317" s="225">
        <f t="shared" si="9"/>
        <v>20463</v>
      </c>
      <c r="Q317" s="236"/>
      <c r="R317" s="237">
        <v>135352</v>
      </c>
      <c r="S317" s="238">
        <v>1456</v>
      </c>
      <c r="T317" s="238">
        <f>136809-1</f>
        <v>136808</v>
      </c>
    </row>
    <row r="318" spans="1:20">
      <c r="A318" s="231">
        <v>93301</v>
      </c>
      <c r="B318" s="232" t="s">
        <v>1028</v>
      </c>
      <c r="C318" s="92">
        <v>2.5243000000000002E-3</v>
      </c>
      <c r="D318" s="92">
        <v>2.5330999999999999E-3</v>
      </c>
      <c r="E318" s="236">
        <v>3856431</v>
      </c>
      <c r="F318" s="236"/>
      <c r="G318" s="237">
        <v>222166</v>
      </c>
      <c r="H318" s="225">
        <v>936346</v>
      </c>
      <c r="I318" s="237">
        <v>550752</v>
      </c>
      <c r="J318" s="236">
        <v>47371</v>
      </c>
      <c r="K318" s="225">
        <f t="shared" si="8"/>
        <v>1756635</v>
      </c>
      <c r="L318" s="236"/>
      <c r="M318" s="237">
        <v>109163</v>
      </c>
      <c r="N318" s="237">
        <v>0</v>
      </c>
      <c r="O318" s="236">
        <v>61692</v>
      </c>
      <c r="P318" s="225">
        <f t="shared" si="9"/>
        <v>170855</v>
      </c>
      <c r="Q318" s="236"/>
      <c r="R318" s="237">
        <v>1299621</v>
      </c>
      <c r="S318" s="238">
        <v>-19789</v>
      </c>
      <c r="T318" s="238">
        <f>1279831+1</f>
        <v>1279832</v>
      </c>
    </row>
    <row r="319" spans="1:20">
      <c r="A319" s="231">
        <v>93304</v>
      </c>
      <c r="B319" s="232" t="s">
        <v>1029</v>
      </c>
      <c r="C319" s="92">
        <v>3.0300000000000001E-5</v>
      </c>
      <c r="D319" s="92">
        <v>3.4400000000000003E-5</v>
      </c>
      <c r="E319" s="236">
        <v>46290</v>
      </c>
      <c r="F319" s="236"/>
      <c r="G319" s="237">
        <v>2667</v>
      </c>
      <c r="H319" s="225">
        <v>11239</v>
      </c>
      <c r="I319" s="237">
        <v>6611</v>
      </c>
      <c r="J319" s="236">
        <v>9418</v>
      </c>
      <c r="K319" s="225">
        <f t="shared" si="8"/>
        <v>29935</v>
      </c>
      <c r="L319" s="236"/>
      <c r="M319" s="237">
        <v>1310</v>
      </c>
      <c r="N319" s="237">
        <v>0</v>
      </c>
      <c r="O319" s="236">
        <v>0</v>
      </c>
      <c r="P319" s="225">
        <f t="shared" si="9"/>
        <v>1310</v>
      </c>
      <c r="Q319" s="236"/>
      <c r="R319" s="237">
        <v>15600</v>
      </c>
      <c r="S319" s="238">
        <v>5129</v>
      </c>
      <c r="T319" s="238">
        <v>20729</v>
      </c>
    </row>
    <row r="320" spans="1:20">
      <c r="A320" s="231">
        <v>93305</v>
      </c>
      <c r="B320" s="232" t="s">
        <v>1030</v>
      </c>
      <c r="C320" s="92">
        <v>4.6999999999999997E-5</v>
      </c>
      <c r="D320" s="92">
        <v>4.9400000000000001E-5</v>
      </c>
      <c r="E320" s="236">
        <v>71803</v>
      </c>
      <c r="F320" s="236"/>
      <c r="G320" s="237">
        <v>4137</v>
      </c>
      <c r="H320" s="225">
        <v>17434</v>
      </c>
      <c r="I320" s="237">
        <v>10254</v>
      </c>
      <c r="J320" s="236">
        <v>0</v>
      </c>
      <c r="K320" s="225">
        <f t="shared" si="8"/>
        <v>31825</v>
      </c>
      <c r="L320" s="236"/>
      <c r="M320" s="237">
        <v>2033</v>
      </c>
      <c r="N320" s="237">
        <v>0</v>
      </c>
      <c r="O320" s="236">
        <v>5631</v>
      </c>
      <c r="P320" s="225">
        <f t="shared" si="9"/>
        <v>7664</v>
      </c>
      <c r="Q320" s="236"/>
      <c r="R320" s="237">
        <v>24198</v>
      </c>
      <c r="S320" s="238">
        <v>-1929</v>
      </c>
      <c r="T320" s="238">
        <v>22269</v>
      </c>
    </row>
    <row r="321" spans="1:20">
      <c r="A321" s="231">
        <v>93309</v>
      </c>
      <c r="B321" s="232" t="s">
        <v>1031</v>
      </c>
      <c r="C321" s="92">
        <v>1.63E-4</v>
      </c>
      <c r="D321" s="92">
        <v>1.716E-4</v>
      </c>
      <c r="E321" s="236">
        <v>249019</v>
      </c>
      <c r="F321" s="236"/>
      <c r="G321" s="237">
        <v>14346</v>
      </c>
      <c r="H321" s="225">
        <v>60462</v>
      </c>
      <c r="I321" s="237">
        <v>35563</v>
      </c>
      <c r="J321" s="236">
        <v>22457</v>
      </c>
      <c r="K321" s="225">
        <f t="shared" si="8"/>
        <v>132828</v>
      </c>
      <c r="L321" s="236"/>
      <c r="M321" s="237">
        <v>7049</v>
      </c>
      <c r="N321" s="237">
        <v>0</v>
      </c>
      <c r="O321" s="236">
        <v>981</v>
      </c>
      <c r="P321" s="225">
        <f t="shared" si="9"/>
        <v>8030</v>
      </c>
      <c r="Q321" s="236"/>
      <c r="R321" s="237">
        <v>83920</v>
      </c>
      <c r="S321" s="238">
        <v>7147</v>
      </c>
      <c r="T321" s="238">
        <v>91067</v>
      </c>
    </row>
    <row r="322" spans="1:20">
      <c r="A322" s="231">
        <v>93311</v>
      </c>
      <c r="B322" s="232" t="s">
        <v>1032</v>
      </c>
      <c r="C322" s="92">
        <v>1.1665E-3</v>
      </c>
      <c r="D322" s="92">
        <v>1.1567000000000001E-3</v>
      </c>
      <c r="E322" s="236">
        <v>1782089</v>
      </c>
      <c r="F322" s="236"/>
      <c r="G322" s="237">
        <v>102665</v>
      </c>
      <c r="H322" s="225">
        <v>432693</v>
      </c>
      <c r="I322" s="237">
        <v>254507</v>
      </c>
      <c r="J322" s="236">
        <v>1699</v>
      </c>
      <c r="K322" s="225">
        <f t="shared" si="8"/>
        <v>791564</v>
      </c>
      <c r="L322" s="236"/>
      <c r="M322" s="237">
        <v>50445</v>
      </c>
      <c r="N322" s="237">
        <v>0</v>
      </c>
      <c r="O322" s="236">
        <v>83745</v>
      </c>
      <c r="P322" s="225">
        <f t="shared" si="9"/>
        <v>134190</v>
      </c>
      <c r="Q322" s="236"/>
      <c r="R322" s="237">
        <v>600566</v>
      </c>
      <c r="S322" s="238">
        <v>-37677</v>
      </c>
      <c r="T322" s="238">
        <v>562889</v>
      </c>
    </row>
    <row r="323" spans="1:20">
      <c r="A323" s="231">
        <v>93317</v>
      </c>
      <c r="B323" s="232" t="s">
        <v>1033</v>
      </c>
      <c r="C323" s="92">
        <v>5.0099999999999998E-5</v>
      </c>
      <c r="D323" s="92">
        <v>4.8099999999999997E-5</v>
      </c>
      <c r="E323" s="236">
        <v>76539</v>
      </c>
      <c r="F323" s="236"/>
      <c r="G323" s="237">
        <v>4409</v>
      </c>
      <c r="H323" s="225">
        <v>18583</v>
      </c>
      <c r="I323" s="237">
        <v>10931</v>
      </c>
      <c r="J323" s="236">
        <v>805</v>
      </c>
      <c r="K323" s="225">
        <f t="shared" si="8"/>
        <v>34728</v>
      </c>
      <c r="L323" s="236"/>
      <c r="M323" s="237">
        <v>2167</v>
      </c>
      <c r="N323" s="237">
        <v>0</v>
      </c>
      <c r="O323" s="236">
        <v>277</v>
      </c>
      <c r="P323" s="225">
        <f t="shared" si="9"/>
        <v>2444</v>
      </c>
      <c r="Q323" s="236"/>
      <c r="R323" s="237">
        <v>25794</v>
      </c>
      <c r="S323" s="238">
        <v>-23</v>
      </c>
      <c r="T323" s="238">
        <f>25770+1</f>
        <v>25771</v>
      </c>
    </row>
    <row r="324" spans="1:20">
      <c r="A324" s="231">
        <v>93321</v>
      </c>
      <c r="B324" s="232" t="s">
        <v>1034</v>
      </c>
      <c r="C324" s="92">
        <v>7.3600000000000002E-3</v>
      </c>
      <c r="D324" s="92">
        <v>7.4706E-3</v>
      </c>
      <c r="E324" s="236">
        <v>11244041</v>
      </c>
      <c r="F324" s="236"/>
      <c r="G324" s="237">
        <v>647761</v>
      </c>
      <c r="H324" s="225">
        <v>2730067</v>
      </c>
      <c r="I324" s="237">
        <v>1605805</v>
      </c>
      <c r="J324" s="236">
        <v>0</v>
      </c>
      <c r="K324" s="225">
        <f t="shared" si="8"/>
        <v>4983633</v>
      </c>
      <c r="L324" s="236"/>
      <c r="M324" s="237">
        <v>318283</v>
      </c>
      <c r="N324" s="237">
        <v>0</v>
      </c>
      <c r="O324" s="236">
        <v>681688</v>
      </c>
      <c r="P324" s="225">
        <f t="shared" si="9"/>
        <v>999971</v>
      </c>
      <c r="Q324" s="236"/>
      <c r="R324" s="237">
        <v>3789252</v>
      </c>
      <c r="S324" s="238">
        <v>-330030</v>
      </c>
      <c r="T324" s="238">
        <f>3459221+1</f>
        <v>3459222</v>
      </c>
    </row>
    <row r="325" spans="1:20">
      <c r="A325" s="231">
        <v>93323</v>
      </c>
      <c r="B325" s="232" t="s">
        <v>1035</v>
      </c>
      <c r="C325" s="92">
        <v>2.19E-5</v>
      </c>
      <c r="D325" s="92">
        <v>1.0200000000000001E-5</v>
      </c>
      <c r="E325" s="236">
        <v>33457</v>
      </c>
      <c r="F325" s="236"/>
      <c r="G325" s="237">
        <v>1927</v>
      </c>
      <c r="H325" s="225">
        <v>8123</v>
      </c>
      <c r="I325" s="237">
        <v>4778</v>
      </c>
      <c r="J325" s="236">
        <v>8607</v>
      </c>
      <c r="K325" s="225">
        <f t="shared" si="8"/>
        <v>23435</v>
      </c>
      <c r="L325" s="236"/>
      <c r="M325" s="237">
        <v>947</v>
      </c>
      <c r="N325" s="237">
        <v>0</v>
      </c>
      <c r="O325" s="236">
        <v>1100</v>
      </c>
      <c r="P325" s="225">
        <f t="shared" si="9"/>
        <v>2047</v>
      </c>
      <c r="Q325" s="236"/>
      <c r="R325" s="237">
        <v>11275</v>
      </c>
      <c r="S325" s="238">
        <v>2519</v>
      </c>
      <c r="T325" s="238">
        <v>13794</v>
      </c>
    </row>
    <row r="326" spans="1:20">
      <c r="A326" s="231">
        <v>93331</v>
      </c>
      <c r="B326" s="232" t="s">
        <v>1036</v>
      </c>
      <c r="C326" s="92">
        <v>1.208E-4</v>
      </c>
      <c r="D326" s="92">
        <v>1.3090000000000001E-4</v>
      </c>
      <c r="E326" s="236">
        <v>184549</v>
      </c>
      <c r="F326" s="236"/>
      <c r="G326" s="237">
        <v>10632</v>
      </c>
      <c r="H326" s="225">
        <v>44809</v>
      </c>
      <c r="I326" s="237">
        <v>26356</v>
      </c>
      <c r="J326" s="236">
        <v>2512</v>
      </c>
      <c r="K326" s="225">
        <f t="shared" si="8"/>
        <v>84309</v>
      </c>
      <c r="L326" s="236"/>
      <c r="M326" s="237">
        <v>5224</v>
      </c>
      <c r="N326" s="237">
        <v>0</v>
      </c>
      <c r="O326" s="236">
        <v>11531</v>
      </c>
      <c r="P326" s="225">
        <f t="shared" si="9"/>
        <v>16755</v>
      </c>
      <c r="Q326" s="236"/>
      <c r="R326" s="237">
        <v>62193</v>
      </c>
      <c r="S326" s="238">
        <v>-2506</v>
      </c>
      <c r="T326" s="238">
        <v>59687</v>
      </c>
    </row>
    <row r="327" spans="1:20">
      <c r="A327" s="231">
        <v>93333</v>
      </c>
      <c r="B327" s="232" t="s">
        <v>1037</v>
      </c>
      <c r="C327" s="92">
        <v>1.796E-4</v>
      </c>
      <c r="D327" s="92">
        <v>1.9990000000000001E-4</v>
      </c>
      <c r="E327" s="236">
        <v>274379</v>
      </c>
      <c r="F327" s="236"/>
      <c r="G327" s="237">
        <v>15807</v>
      </c>
      <c r="H327" s="225">
        <v>66619</v>
      </c>
      <c r="I327" s="237">
        <v>39185</v>
      </c>
      <c r="J327" s="236">
        <v>194737</v>
      </c>
      <c r="K327" s="225">
        <f t="shared" si="8"/>
        <v>316348</v>
      </c>
      <c r="L327" s="236"/>
      <c r="M327" s="237">
        <v>7767</v>
      </c>
      <c r="N327" s="237">
        <v>0</v>
      </c>
      <c r="O327" s="236">
        <v>0</v>
      </c>
      <c r="P327" s="225">
        <f t="shared" si="9"/>
        <v>7767</v>
      </c>
      <c r="Q327" s="236"/>
      <c r="R327" s="237">
        <v>92466</v>
      </c>
      <c r="S327" s="238">
        <v>74695</v>
      </c>
      <c r="T327" s="238">
        <v>167161</v>
      </c>
    </row>
    <row r="328" spans="1:20">
      <c r="A328" s="231">
        <v>93341</v>
      </c>
      <c r="B328" s="232" t="s">
        <v>1038</v>
      </c>
      <c r="C328" s="92">
        <v>2.34E-5</v>
      </c>
      <c r="D328" s="92">
        <v>2.73E-5</v>
      </c>
      <c r="E328" s="236">
        <v>35749</v>
      </c>
      <c r="F328" s="236"/>
      <c r="G328" s="237">
        <v>2059</v>
      </c>
      <c r="H328" s="225">
        <v>8680</v>
      </c>
      <c r="I328" s="237">
        <v>5105</v>
      </c>
      <c r="J328" s="236">
        <v>1866</v>
      </c>
      <c r="K328" s="225">
        <f t="shared" si="8"/>
        <v>17710</v>
      </c>
      <c r="L328" s="236"/>
      <c r="M328" s="237">
        <v>1012</v>
      </c>
      <c r="N328" s="237">
        <v>0</v>
      </c>
      <c r="O328" s="236">
        <v>863</v>
      </c>
      <c r="P328" s="225">
        <f t="shared" si="9"/>
        <v>1875</v>
      </c>
      <c r="Q328" s="236"/>
      <c r="R328" s="237">
        <v>12047</v>
      </c>
      <c r="S328" s="238">
        <v>708</v>
      </c>
      <c r="T328" s="238">
        <v>12755</v>
      </c>
    </row>
    <row r="329" spans="1:20">
      <c r="A329" s="231">
        <v>93351</v>
      </c>
      <c r="B329" s="232" t="s">
        <v>1039</v>
      </c>
      <c r="C329" s="92">
        <v>3.4E-5</v>
      </c>
      <c r="D329" s="92">
        <v>1.5999999999999999E-5</v>
      </c>
      <c r="E329" s="236">
        <v>51943</v>
      </c>
      <c r="F329" s="236"/>
      <c r="G329" s="237">
        <v>2992</v>
      </c>
      <c r="H329" s="225">
        <v>12611</v>
      </c>
      <c r="I329" s="237">
        <v>7418</v>
      </c>
      <c r="J329" s="236">
        <v>18867</v>
      </c>
      <c r="K329" s="225">
        <f t="shared" si="8"/>
        <v>41888</v>
      </c>
      <c r="L329" s="236"/>
      <c r="M329" s="237">
        <v>1470</v>
      </c>
      <c r="N329" s="237">
        <v>0</v>
      </c>
      <c r="O329" s="236">
        <v>4169</v>
      </c>
      <c r="P329" s="225">
        <f t="shared" si="9"/>
        <v>5639</v>
      </c>
      <c r="Q329" s="236"/>
      <c r="R329" s="237">
        <v>17505</v>
      </c>
      <c r="S329" s="238">
        <v>2906</v>
      </c>
      <c r="T329" s="238">
        <f>20410+1</f>
        <v>20411</v>
      </c>
    </row>
    <row r="330" spans="1:20">
      <c r="A330" s="231">
        <v>93401</v>
      </c>
      <c r="B330" s="232" t="s">
        <v>1040</v>
      </c>
      <c r="C330" s="92">
        <v>1.3834900000000001E-2</v>
      </c>
      <c r="D330" s="92">
        <v>1.37997E-2</v>
      </c>
      <c r="E330" s="236">
        <v>21135895</v>
      </c>
      <c r="F330" s="236"/>
      <c r="G330" s="237">
        <v>1217623</v>
      </c>
      <c r="H330" s="225">
        <v>5131821</v>
      </c>
      <c r="I330" s="237">
        <v>3018498</v>
      </c>
      <c r="J330" s="236">
        <v>99926</v>
      </c>
      <c r="K330" s="225">
        <f t="shared" ref="K330:K393" si="10">G330+H330+I330+J330</f>
        <v>9467868</v>
      </c>
      <c r="L330" s="236"/>
      <c r="M330" s="237">
        <v>598290</v>
      </c>
      <c r="N330" s="237">
        <v>0</v>
      </c>
      <c r="O330" s="236">
        <v>186001</v>
      </c>
      <c r="P330" s="225">
        <f t="shared" ref="P330:P393" si="11">M330+N330+O330</f>
        <v>784291</v>
      </c>
      <c r="Q330" s="236"/>
      <c r="R330" s="237">
        <v>7122815</v>
      </c>
      <c r="S330" s="238">
        <v>-76616</v>
      </c>
      <c r="T330" s="238">
        <v>7046199</v>
      </c>
    </row>
    <row r="331" spans="1:20">
      <c r="A331" s="231">
        <v>93402</v>
      </c>
      <c r="B331" s="232" t="s">
        <v>1041</v>
      </c>
      <c r="C331" s="92">
        <v>9.8800000000000003E-5</v>
      </c>
      <c r="D331" s="92">
        <v>9.2999999999999997E-5</v>
      </c>
      <c r="E331" s="236">
        <v>150939</v>
      </c>
      <c r="F331" s="236"/>
      <c r="G331" s="237">
        <v>8695</v>
      </c>
      <c r="H331" s="225">
        <v>36648</v>
      </c>
      <c r="I331" s="237">
        <v>21556</v>
      </c>
      <c r="J331" s="236">
        <v>5545</v>
      </c>
      <c r="K331" s="225">
        <f t="shared" si="10"/>
        <v>72444</v>
      </c>
      <c r="L331" s="236"/>
      <c r="M331" s="237">
        <v>4273</v>
      </c>
      <c r="N331" s="237">
        <v>0</v>
      </c>
      <c r="O331" s="236">
        <v>3446</v>
      </c>
      <c r="P331" s="225">
        <f t="shared" si="11"/>
        <v>7719</v>
      </c>
      <c r="Q331" s="236"/>
      <c r="R331" s="237">
        <v>50867</v>
      </c>
      <c r="S331" s="238">
        <v>3029</v>
      </c>
      <c r="T331" s="238">
        <f>53895+1</f>
        <v>53896</v>
      </c>
    </row>
    <row r="332" spans="1:20">
      <c r="A332" s="231">
        <v>93406</v>
      </c>
      <c r="B332" s="232" t="s">
        <v>1042</v>
      </c>
      <c r="C332" s="92">
        <v>6.5059999999999998E-4</v>
      </c>
      <c r="D332" s="92">
        <v>7.1170000000000001E-4</v>
      </c>
      <c r="E332" s="236">
        <v>993937</v>
      </c>
      <c r="F332" s="236"/>
      <c r="G332" s="237">
        <v>57260</v>
      </c>
      <c r="H332" s="225">
        <v>241329</v>
      </c>
      <c r="I332" s="237">
        <v>141948</v>
      </c>
      <c r="J332" s="236">
        <v>26056</v>
      </c>
      <c r="K332" s="225">
        <f t="shared" si="10"/>
        <v>466593</v>
      </c>
      <c r="L332" s="236"/>
      <c r="M332" s="237">
        <v>28135</v>
      </c>
      <c r="N332" s="237">
        <v>0</v>
      </c>
      <c r="O332" s="236">
        <v>48133</v>
      </c>
      <c r="P332" s="225">
        <f t="shared" si="11"/>
        <v>76268</v>
      </c>
      <c r="Q332" s="236"/>
      <c r="R332" s="237">
        <v>334958</v>
      </c>
      <c r="S332" s="238">
        <v>7011</v>
      </c>
      <c r="T332" s="238">
        <f>341968+1</f>
        <v>341969</v>
      </c>
    </row>
    <row r="333" spans="1:20">
      <c r="A333" s="231">
        <v>93408</v>
      </c>
      <c r="B333" s="232" t="s">
        <v>1043</v>
      </c>
      <c r="C333" s="92">
        <v>0</v>
      </c>
      <c r="D333" s="92">
        <v>1.8967999999999999E-3</v>
      </c>
      <c r="E333" s="236">
        <v>0</v>
      </c>
      <c r="F333" s="236"/>
      <c r="G333" s="237">
        <v>0</v>
      </c>
      <c r="H333" s="225">
        <v>0</v>
      </c>
      <c r="I333" s="237">
        <v>0</v>
      </c>
      <c r="J333" s="236">
        <v>173575</v>
      </c>
      <c r="K333" s="225">
        <f t="shared" si="10"/>
        <v>173575</v>
      </c>
      <c r="L333" s="236"/>
      <c r="M333" s="237">
        <v>0</v>
      </c>
      <c r="N333" s="237">
        <v>0</v>
      </c>
      <c r="O333" s="236">
        <v>1605024</v>
      </c>
      <c r="P333" s="225">
        <f t="shared" si="11"/>
        <v>1605024</v>
      </c>
      <c r="Q333" s="236"/>
      <c r="R333" s="237">
        <v>0</v>
      </c>
      <c r="S333" s="238">
        <v>-292149</v>
      </c>
      <c r="T333" s="238">
        <v>-292149</v>
      </c>
    </row>
    <row r="334" spans="1:20">
      <c r="A334" s="231">
        <v>93411</v>
      </c>
      <c r="B334" s="232" t="s">
        <v>1044</v>
      </c>
      <c r="C334" s="92">
        <v>1.7454999999999998E-2</v>
      </c>
      <c r="D334" s="92">
        <v>1.73309E-2</v>
      </c>
      <c r="E334" s="236">
        <v>26666405</v>
      </c>
      <c r="F334" s="236"/>
      <c r="G334" s="237">
        <v>1536232</v>
      </c>
      <c r="H334" s="225">
        <v>6474635</v>
      </c>
      <c r="I334" s="237">
        <v>3808332</v>
      </c>
      <c r="J334" s="236">
        <v>250711</v>
      </c>
      <c r="K334" s="225">
        <f t="shared" si="10"/>
        <v>12069910</v>
      </c>
      <c r="L334" s="236"/>
      <c r="M334" s="237">
        <v>754841</v>
      </c>
      <c r="N334" s="237">
        <v>0</v>
      </c>
      <c r="O334" s="236">
        <v>594754</v>
      </c>
      <c r="P334" s="225">
        <f t="shared" si="11"/>
        <v>1349595</v>
      </c>
      <c r="Q334" s="236"/>
      <c r="R334" s="237">
        <v>8986602</v>
      </c>
      <c r="S334" s="238">
        <v>-306468</v>
      </c>
      <c r="T334" s="238">
        <v>8680134</v>
      </c>
    </row>
    <row r="335" spans="1:20">
      <c r="A335" s="231">
        <v>93413</v>
      </c>
      <c r="B335" s="232" t="s">
        <v>1045</v>
      </c>
      <c r="C335" s="92">
        <v>7.7070000000000003E-4</v>
      </c>
      <c r="D335" s="92">
        <v>8.0130000000000002E-4</v>
      </c>
      <c r="E335" s="236">
        <v>1177416</v>
      </c>
      <c r="F335" s="236"/>
      <c r="G335" s="237">
        <v>67830</v>
      </c>
      <c r="H335" s="225">
        <v>285878</v>
      </c>
      <c r="I335" s="237">
        <v>168151</v>
      </c>
      <c r="J335" s="236">
        <v>0</v>
      </c>
      <c r="K335" s="225">
        <f t="shared" si="10"/>
        <v>521859</v>
      </c>
      <c r="L335" s="236"/>
      <c r="M335" s="237">
        <v>33329</v>
      </c>
      <c r="N335" s="237">
        <v>0</v>
      </c>
      <c r="O335" s="236">
        <v>35372</v>
      </c>
      <c r="P335" s="225">
        <f t="shared" si="11"/>
        <v>68701</v>
      </c>
      <c r="Q335" s="236"/>
      <c r="R335" s="237">
        <v>396790</v>
      </c>
      <c r="S335" s="238">
        <v>-17507</v>
      </c>
      <c r="T335" s="238">
        <v>379283</v>
      </c>
    </row>
    <row r="336" spans="1:20">
      <c r="A336" s="231">
        <v>93417</v>
      </c>
      <c r="B336" s="232" t="s">
        <v>1046</v>
      </c>
      <c r="C336" s="92">
        <v>3.4430000000000002E-4</v>
      </c>
      <c r="D336" s="92">
        <v>4.1130000000000002E-4</v>
      </c>
      <c r="E336" s="236">
        <v>525995</v>
      </c>
      <c r="F336" s="236"/>
      <c r="G336" s="237">
        <v>30302</v>
      </c>
      <c r="H336" s="225">
        <v>127712</v>
      </c>
      <c r="I336" s="237">
        <v>75119</v>
      </c>
      <c r="J336" s="236">
        <v>15432</v>
      </c>
      <c r="K336" s="225">
        <f t="shared" si="10"/>
        <v>248565</v>
      </c>
      <c r="L336" s="236"/>
      <c r="M336" s="237">
        <v>14889</v>
      </c>
      <c r="N336" s="237">
        <v>0</v>
      </c>
      <c r="O336" s="236">
        <v>33069</v>
      </c>
      <c r="P336" s="225">
        <f t="shared" si="11"/>
        <v>47958</v>
      </c>
      <c r="Q336" s="236"/>
      <c r="R336" s="237">
        <v>177261</v>
      </c>
      <c r="S336" s="238">
        <v>5883</v>
      </c>
      <c r="T336" s="238">
        <v>183144</v>
      </c>
    </row>
    <row r="337" spans="1:20">
      <c r="A337" s="231">
        <v>93421</v>
      </c>
      <c r="B337" s="232" t="s">
        <v>1047</v>
      </c>
      <c r="C337" s="92">
        <v>2.1294999999999999E-3</v>
      </c>
      <c r="D337" s="92">
        <v>2.1646E-3</v>
      </c>
      <c r="E337" s="236">
        <v>3253286</v>
      </c>
      <c r="F337" s="236"/>
      <c r="G337" s="237">
        <v>187419</v>
      </c>
      <c r="H337" s="225">
        <v>789902</v>
      </c>
      <c r="I337" s="237">
        <v>464614</v>
      </c>
      <c r="J337" s="236">
        <v>0</v>
      </c>
      <c r="K337" s="225">
        <f t="shared" si="10"/>
        <v>1441935</v>
      </c>
      <c r="L337" s="236"/>
      <c r="M337" s="237">
        <v>92090</v>
      </c>
      <c r="N337" s="237">
        <v>0</v>
      </c>
      <c r="O337" s="236">
        <v>273225</v>
      </c>
      <c r="P337" s="225">
        <f t="shared" si="11"/>
        <v>365315</v>
      </c>
      <c r="Q337" s="236"/>
      <c r="R337" s="237">
        <v>1096360</v>
      </c>
      <c r="S337" s="238">
        <v>-126565</v>
      </c>
      <c r="T337" s="238">
        <v>969795</v>
      </c>
    </row>
    <row r="338" spans="1:20">
      <c r="A338" s="231">
        <v>93431</v>
      </c>
      <c r="B338" s="232" t="s">
        <v>1048</v>
      </c>
      <c r="C338" s="92">
        <v>1.2689999999999999E-4</v>
      </c>
      <c r="D338" s="92">
        <v>1.127E-4</v>
      </c>
      <c r="E338" s="236">
        <v>193868</v>
      </c>
      <c r="F338" s="236"/>
      <c r="G338" s="237">
        <v>11169</v>
      </c>
      <c r="H338" s="225">
        <v>47071</v>
      </c>
      <c r="I338" s="237">
        <v>27687</v>
      </c>
      <c r="J338" s="236">
        <v>12612</v>
      </c>
      <c r="K338" s="225">
        <f t="shared" si="10"/>
        <v>98539</v>
      </c>
      <c r="L338" s="236"/>
      <c r="M338" s="237">
        <v>5488</v>
      </c>
      <c r="N338" s="237">
        <v>0</v>
      </c>
      <c r="O338" s="236">
        <v>5397</v>
      </c>
      <c r="P338" s="225">
        <f t="shared" si="11"/>
        <v>10885</v>
      </c>
      <c r="Q338" s="236"/>
      <c r="R338" s="237">
        <v>65334</v>
      </c>
      <c r="S338" s="238">
        <v>1734</v>
      </c>
      <c r="T338" s="238">
        <v>67068</v>
      </c>
    </row>
    <row r="339" spans="1:20">
      <c r="A339" s="231">
        <v>93441</v>
      </c>
      <c r="B339" s="232" t="s">
        <v>1049</v>
      </c>
      <c r="C339" s="92">
        <v>1.54E-4</v>
      </c>
      <c r="D339" s="92">
        <v>1.4970000000000001E-4</v>
      </c>
      <c r="E339" s="236">
        <v>235269</v>
      </c>
      <c r="F339" s="236"/>
      <c r="G339" s="237">
        <v>13554</v>
      </c>
      <c r="H339" s="225">
        <v>57124</v>
      </c>
      <c r="I339" s="237">
        <v>33600</v>
      </c>
      <c r="J339" s="236">
        <v>30786</v>
      </c>
      <c r="K339" s="225">
        <f t="shared" si="10"/>
        <v>135064</v>
      </c>
      <c r="L339" s="236"/>
      <c r="M339" s="237">
        <v>6660</v>
      </c>
      <c r="N339" s="237">
        <v>0</v>
      </c>
      <c r="O339" s="236">
        <v>0</v>
      </c>
      <c r="P339" s="225">
        <f t="shared" si="11"/>
        <v>6660</v>
      </c>
      <c r="Q339" s="236"/>
      <c r="R339" s="237">
        <v>79286</v>
      </c>
      <c r="S339" s="238">
        <v>14822</v>
      </c>
      <c r="T339" s="238">
        <v>94108</v>
      </c>
    </row>
    <row r="340" spans="1:20">
      <c r="A340" s="231">
        <v>93442</v>
      </c>
      <c r="B340" s="232" t="s">
        <v>1050</v>
      </c>
      <c r="C340" s="92">
        <v>1.505E-4</v>
      </c>
      <c r="D340" s="92">
        <v>1.3540000000000001E-4</v>
      </c>
      <c r="E340" s="236">
        <v>229922</v>
      </c>
      <c r="F340" s="236"/>
      <c r="G340" s="237">
        <v>13246</v>
      </c>
      <c r="H340" s="225">
        <v>55826</v>
      </c>
      <c r="I340" s="237">
        <v>32836</v>
      </c>
      <c r="J340" s="236">
        <v>5191</v>
      </c>
      <c r="K340" s="225">
        <f t="shared" si="10"/>
        <v>107099</v>
      </c>
      <c r="L340" s="236"/>
      <c r="M340" s="237">
        <v>6508</v>
      </c>
      <c r="N340" s="237">
        <v>0</v>
      </c>
      <c r="O340" s="236">
        <v>20988</v>
      </c>
      <c r="P340" s="225">
        <f t="shared" si="11"/>
        <v>27496</v>
      </c>
      <c r="Q340" s="236"/>
      <c r="R340" s="237">
        <v>77484</v>
      </c>
      <c r="S340" s="238">
        <v>-6353</v>
      </c>
      <c r="T340" s="238">
        <v>71131</v>
      </c>
    </row>
    <row r="341" spans="1:20">
      <c r="A341" s="231">
        <v>93451</v>
      </c>
      <c r="B341" s="232" t="s">
        <v>1051</v>
      </c>
      <c r="C341" s="92">
        <v>7.0900000000000002E-5</v>
      </c>
      <c r="D341" s="92">
        <v>7.6899999999999999E-5</v>
      </c>
      <c r="E341" s="236">
        <v>108316</v>
      </c>
      <c r="F341" s="236"/>
      <c r="G341" s="237">
        <v>6240</v>
      </c>
      <c r="H341" s="225">
        <v>26299</v>
      </c>
      <c r="I341" s="237">
        <v>15469</v>
      </c>
      <c r="J341" s="236">
        <v>16242</v>
      </c>
      <c r="K341" s="225">
        <f t="shared" si="10"/>
        <v>64250</v>
      </c>
      <c r="L341" s="236"/>
      <c r="M341" s="237">
        <v>3066</v>
      </c>
      <c r="N341" s="237">
        <v>0</v>
      </c>
      <c r="O341" s="236">
        <v>1492</v>
      </c>
      <c r="P341" s="225">
        <f t="shared" si="11"/>
        <v>4558</v>
      </c>
      <c r="Q341" s="236"/>
      <c r="R341" s="237">
        <v>36502</v>
      </c>
      <c r="S341" s="238">
        <v>5181</v>
      </c>
      <c r="T341" s="238">
        <f>41684-1</f>
        <v>41683</v>
      </c>
    </row>
    <row r="342" spans="1:20">
      <c r="A342" s="231">
        <v>93461</v>
      </c>
      <c r="B342" s="232" t="s">
        <v>1052</v>
      </c>
      <c r="C342" s="92">
        <v>1.66E-5</v>
      </c>
      <c r="D342" s="92">
        <v>1.7200000000000001E-5</v>
      </c>
      <c r="E342" s="236">
        <v>25360</v>
      </c>
      <c r="F342" s="236"/>
      <c r="G342" s="237">
        <v>1461</v>
      </c>
      <c r="H342" s="225">
        <v>6157</v>
      </c>
      <c r="I342" s="237">
        <v>3622</v>
      </c>
      <c r="J342" s="236">
        <v>580</v>
      </c>
      <c r="K342" s="225">
        <f t="shared" si="10"/>
        <v>11820</v>
      </c>
      <c r="L342" s="236"/>
      <c r="M342" s="237">
        <v>718</v>
      </c>
      <c r="N342" s="237">
        <v>0</v>
      </c>
      <c r="O342" s="236">
        <v>0</v>
      </c>
      <c r="P342" s="225">
        <f t="shared" si="11"/>
        <v>718</v>
      </c>
      <c r="Q342" s="236"/>
      <c r="R342" s="237">
        <v>8546</v>
      </c>
      <c r="S342" s="238">
        <v>254</v>
      </c>
      <c r="T342" s="238">
        <f>8801-1</f>
        <v>8800</v>
      </c>
    </row>
    <row r="343" spans="1:20">
      <c r="A343" s="231">
        <v>93471</v>
      </c>
      <c r="B343" s="232" t="s">
        <v>1053</v>
      </c>
      <c r="C343" s="92">
        <v>1.31E-5</v>
      </c>
      <c r="D343" s="92">
        <v>1.1800000000000001E-5</v>
      </c>
      <c r="E343" s="236">
        <v>20013</v>
      </c>
      <c r="F343" s="236"/>
      <c r="G343" s="237">
        <v>1153</v>
      </c>
      <c r="H343" s="225">
        <v>4859</v>
      </c>
      <c r="I343" s="237">
        <v>2858</v>
      </c>
      <c r="J343" s="236">
        <v>4280</v>
      </c>
      <c r="K343" s="225">
        <f t="shared" si="10"/>
        <v>13150</v>
      </c>
      <c r="L343" s="236"/>
      <c r="M343" s="237">
        <v>567</v>
      </c>
      <c r="N343" s="237">
        <v>0</v>
      </c>
      <c r="O343" s="236">
        <v>63</v>
      </c>
      <c r="P343" s="225">
        <f t="shared" si="11"/>
        <v>630</v>
      </c>
      <c r="Q343" s="236"/>
      <c r="R343" s="237">
        <v>6744</v>
      </c>
      <c r="S343" s="238">
        <v>1243</v>
      </c>
      <c r="T343" s="238">
        <v>7987</v>
      </c>
    </row>
    <row r="344" spans="1:20">
      <c r="A344" s="231">
        <v>93501</v>
      </c>
      <c r="B344" s="232" t="s">
        <v>1054</v>
      </c>
      <c r="C344" s="92">
        <v>3.6113999999999999E-3</v>
      </c>
      <c r="D344" s="92">
        <v>3.4039000000000001E-3</v>
      </c>
      <c r="E344" s="236">
        <v>5517219</v>
      </c>
      <c r="F344" s="236"/>
      <c r="G344" s="237">
        <v>317843</v>
      </c>
      <c r="H344" s="225">
        <v>1339587</v>
      </c>
      <c r="I344" s="237">
        <v>787935</v>
      </c>
      <c r="J344" s="236">
        <v>233815</v>
      </c>
      <c r="K344" s="225">
        <f t="shared" si="10"/>
        <v>2679180</v>
      </c>
      <c r="L344" s="236"/>
      <c r="M344" s="237">
        <v>156175</v>
      </c>
      <c r="N344" s="237">
        <v>0</v>
      </c>
      <c r="O344" s="236">
        <v>57589</v>
      </c>
      <c r="P344" s="225">
        <f t="shared" si="11"/>
        <v>213764</v>
      </c>
      <c r="Q344" s="236"/>
      <c r="R344" s="237">
        <v>1859308</v>
      </c>
      <c r="S344" s="238">
        <v>88331</v>
      </c>
      <c r="T344" s="238">
        <v>1947639</v>
      </c>
    </row>
    <row r="345" spans="1:20">
      <c r="A345" s="231">
        <v>93511</v>
      </c>
      <c r="B345" s="232" t="s">
        <v>1055</v>
      </c>
      <c r="C345" s="92">
        <v>8.8300000000000005E-5</v>
      </c>
      <c r="D345" s="92">
        <v>9.8999999999999994E-5</v>
      </c>
      <c r="E345" s="236">
        <v>134898</v>
      </c>
      <c r="F345" s="236"/>
      <c r="G345" s="237">
        <v>7771</v>
      </c>
      <c r="H345" s="225">
        <v>32753</v>
      </c>
      <c r="I345" s="237">
        <v>19265</v>
      </c>
      <c r="J345" s="236">
        <v>2589</v>
      </c>
      <c r="K345" s="225">
        <f t="shared" si="10"/>
        <v>62378</v>
      </c>
      <c r="L345" s="236"/>
      <c r="M345" s="237">
        <v>3819</v>
      </c>
      <c r="N345" s="237">
        <v>0</v>
      </c>
      <c r="O345" s="236">
        <v>13801</v>
      </c>
      <c r="P345" s="225">
        <f t="shared" si="11"/>
        <v>17620</v>
      </c>
      <c r="Q345" s="236"/>
      <c r="R345" s="237">
        <v>45461</v>
      </c>
      <c r="S345" s="238">
        <v>-2683</v>
      </c>
      <c r="T345" s="238">
        <v>42778</v>
      </c>
    </row>
    <row r="346" spans="1:20">
      <c r="A346" s="231">
        <v>93517</v>
      </c>
      <c r="B346" s="232" t="s">
        <v>1056</v>
      </c>
      <c r="C346" s="92">
        <v>6.0000000000000002E-6</v>
      </c>
      <c r="D346" s="92">
        <v>6.4999999999999996E-6</v>
      </c>
      <c r="E346" s="236">
        <v>9166</v>
      </c>
      <c r="F346" s="236"/>
      <c r="G346" s="237">
        <v>528</v>
      </c>
      <c r="H346" s="225">
        <v>2226</v>
      </c>
      <c r="I346" s="237">
        <v>1309</v>
      </c>
      <c r="J346" s="236">
        <v>3133</v>
      </c>
      <c r="K346" s="225">
        <f t="shared" si="10"/>
        <v>7196</v>
      </c>
      <c r="L346" s="236"/>
      <c r="M346" s="237">
        <v>259</v>
      </c>
      <c r="N346" s="237">
        <v>0</v>
      </c>
      <c r="O346" s="236">
        <v>503</v>
      </c>
      <c r="P346" s="225">
        <f t="shared" si="11"/>
        <v>762</v>
      </c>
      <c r="Q346" s="236"/>
      <c r="R346" s="237">
        <v>3089</v>
      </c>
      <c r="S346" s="238">
        <v>771</v>
      </c>
      <c r="T346" s="238">
        <v>3860</v>
      </c>
    </row>
    <row r="347" spans="1:20">
      <c r="A347" s="231">
        <v>93521</v>
      </c>
      <c r="B347" s="232" t="s">
        <v>1057</v>
      </c>
      <c r="C347" s="92">
        <v>4.5649999999999998E-4</v>
      </c>
      <c r="D347" s="92">
        <v>5.6389999999999999E-4</v>
      </c>
      <c r="E347" s="236">
        <v>697406</v>
      </c>
      <c r="F347" s="236"/>
      <c r="G347" s="237">
        <v>40177</v>
      </c>
      <c r="H347" s="225">
        <v>169331</v>
      </c>
      <c r="I347" s="237">
        <v>99599</v>
      </c>
      <c r="J347" s="236">
        <v>7159</v>
      </c>
      <c r="K347" s="225">
        <f t="shared" si="10"/>
        <v>316266</v>
      </c>
      <c r="L347" s="236"/>
      <c r="M347" s="237">
        <v>19741</v>
      </c>
      <c r="N347" s="237">
        <v>0</v>
      </c>
      <c r="O347" s="236">
        <v>74583</v>
      </c>
      <c r="P347" s="225">
        <f t="shared" si="11"/>
        <v>94324</v>
      </c>
      <c r="Q347" s="236"/>
      <c r="R347" s="237">
        <v>235026</v>
      </c>
      <c r="S347" s="238">
        <v>-19847</v>
      </c>
      <c r="T347" s="238">
        <f>215180-1</f>
        <v>215179</v>
      </c>
    </row>
    <row r="348" spans="1:20">
      <c r="A348" s="231">
        <v>93527</v>
      </c>
      <c r="B348" s="232" t="s">
        <v>1058</v>
      </c>
      <c r="C348" s="92">
        <v>1.2099999999999999E-5</v>
      </c>
      <c r="D348" s="92">
        <v>5.4E-6</v>
      </c>
      <c r="E348" s="236">
        <v>18485</v>
      </c>
      <c r="F348" s="236"/>
      <c r="G348" s="237">
        <v>1065</v>
      </c>
      <c r="H348" s="225">
        <v>4488</v>
      </c>
      <c r="I348" s="237">
        <v>2640</v>
      </c>
      <c r="J348" s="236">
        <v>15016</v>
      </c>
      <c r="K348" s="225">
        <f t="shared" si="10"/>
        <v>23209</v>
      </c>
      <c r="L348" s="236"/>
      <c r="M348" s="237">
        <v>523</v>
      </c>
      <c r="N348" s="237">
        <v>0</v>
      </c>
      <c r="O348" s="236">
        <v>0</v>
      </c>
      <c r="P348" s="225">
        <f t="shared" si="11"/>
        <v>523</v>
      </c>
      <c r="Q348" s="236"/>
      <c r="R348" s="237">
        <v>6230</v>
      </c>
      <c r="S348" s="238">
        <v>5872</v>
      </c>
      <c r="T348" s="238">
        <f>12101+1</f>
        <v>12102</v>
      </c>
    </row>
    <row r="349" spans="1:20">
      <c r="A349" s="231">
        <v>93531</v>
      </c>
      <c r="B349" s="232" t="s">
        <v>1059</v>
      </c>
      <c r="C349" s="92">
        <v>1.7E-5</v>
      </c>
      <c r="D349" s="92">
        <v>2.4000000000000001E-5</v>
      </c>
      <c r="E349" s="236">
        <v>25971</v>
      </c>
      <c r="F349" s="236"/>
      <c r="G349" s="237">
        <v>1496</v>
      </c>
      <c r="H349" s="225">
        <v>6306</v>
      </c>
      <c r="I349" s="237">
        <v>3709</v>
      </c>
      <c r="J349" s="236">
        <v>791</v>
      </c>
      <c r="K349" s="225">
        <f t="shared" si="10"/>
        <v>12302</v>
      </c>
      <c r="L349" s="236"/>
      <c r="M349" s="237">
        <v>735</v>
      </c>
      <c r="N349" s="237">
        <v>0</v>
      </c>
      <c r="O349" s="236">
        <v>2743</v>
      </c>
      <c r="P349" s="225">
        <f t="shared" si="11"/>
        <v>3478</v>
      </c>
      <c r="Q349" s="236"/>
      <c r="R349" s="237">
        <v>8752</v>
      </c>
      <c r="S349" s="238">
        <v>-1210</v>
      </c>
      <c r="T349" s="238">
        <v>7542</v>
      </c>
    </row>
    <row r="350" spans="1:20">
      <c r="A350" s="231">
        <v>93537</v>
      </c>
      <c r="B350" s="232" t="s">
        <v>1060</v>
      </c>
      <c r="C350" s="92">
        <v>1.1199999999999999E-5</v>
      </c>
      <c r="D350" s="92">
        <v>1.17E-5</v>
      </c>
      <c r="E350" s="236">
        <v>17110</v>
      </c>
      <c r="F350" s="236"/>
      <c r="G350" s="237">
        <v>986</v>
      </c>
      <c r="H350" s="225">
        <v>4154</v>
      </c>
      <c r="I350" s="237">
        <v>2444</v>
      </c>
      <c r="J350" s="236">
        <v>0</v>
      </c>
      <c r="K350" s="225">
        <f t="shared" si="10"/>
        <v>7584</v>
      </c>
      <c r="L350" s="236"/>
      <c r="M350" s="237">
        <v>484</v>
      </c>
      <c r="N350" s="237">
        <v>0</v>
      </c>
      <c r="O350" s="236">
        <v>1898</v>
      </c>
      <c r="P350" s="225">
        <f t="shared" si="11"/>
        <v>2382</v>
      </c>
      <c r="Q350" s="236"/>
      <c r="R350" s="237">
        <v>5766</v>
      </c>
      <c r="S350" s="238">
        <v>-575</v>
      </c>
      <c r="T350" s="238">
        <v>5191</v>
      </c>
    </row>
    <row r="351" spans="1:20">
      <c r="A351" s="231">
        <v>93541</v>
      </c>
      <c r="B351" s="232" t="s">
        <v>1061</v>
      </c>
      <c r="C351" s="92">
        <v>1.0560000000000001E-4</v>
      </c>
      <c r="D351" s="92">
        <v>1.061E-4</v>
      </c>
      <c r="E351" s="236">
        <v>161328</v>
      </c>
      <c r="F351" s="236"/>
      <c r="G351" s="237">
        <v>9294</v>
      </c>
      <c r="H351" s="225">
        <v>39171</v>
      </c>
      <c r="I351" s="237">
        <v>23040</v>
      </c>
      <c r="J351" s="236">
        <v>4560</v>
      </c>
      <c r="K351" s="225">
        <f t="shared" si="10"/>
        <v>76065</v>
      </c>
      <c r="L351" s="236"/>
      <c r="M351" s="237">
        <v>4567</v>
      </c>
      <c r="N351" s="237">
        <v>0</v>
      </c>
      <c r="O351" s="236">
        <v>781</v>
      </c>
      <c r="P351" s="225">
        <f t="shared" si="11"/>
        <v>5348</v>
      </c>
      <c r="Q351" s="236"/>
      <c r="R351" s="237">
        <v>54368</v>
      </c>
      <c r="S351" s="238">
        <v>4003</v>
      </c>
      <c r="T351" s="238">
        <f>58370+1</f>
        <v>58371</v>
      </c>
    </row>
    <row r="352" spans="1:20">
      <c r="A352" s="231">
        <v>93601</v>
      </c>
      <c r="B352" s="232" t="s">
        <v>1062</v>
      </c>
      <c r="C352" s="92">
        <v>1.0721400000000001E-2</v>
      </c>
      <c r="D352" s="92">
        <v>1.1139899999999999E-2</v>
      </c>
      <c r="E352" s="236">
        <v>16379329</v>
      </c>
      <c r="F352" s="236"/>
      <c r="G352" s="237">
        <v>943601</v>
      </c>
      <c r="H352" s="225">
        <v>3976921</v>
      </c>
      <c r="I352" s="237">
        <v>2339195</v>
      </c>
      <c r="J352" s="236">
        <v>65732</v>
      </c>
      <c r="K352" s="225">
        <f t="shared" si="10"/>
        <v>7325449</v>
      </c>
      <c r="L352" s="236"/>
      <c r="M352" s="237">
        <v>463647</v>
      </c>
      <c r="N352" s="237">
        <v>0</v>
      </c>
      <c r="O352" s="236">
        <v>282932</v>
      </c>
      <c r="P352" s="225">
        <f t="shared" si="11"/>
        <v>746579</v>
      </c>
      <c r="Q352" s="236"/>
      <c r="R352" s="237">
        <v>5519848</v>
      </c>
      <c r="S352" s="238">
        <v>-87424</v>
      </c>
      <c r="T352" s="238">
        <f>5432425-1</f>
        <v>5432424</v>
      </c>
    </row>
    <row r="353" spans="1:20">
      <c r="A353" s="231">
        <v>93602</v>
      </c>
      <c r="B353" s="232" t="s">
        <v>1063</v>
      </c>
      <c r="C353" s="92">
        <v>1.7540000000000001E-4</v>
      </c>
      <c r="D353" s="92">
        <v>1.7200000000000001E-4</v>
      </c>
      <c r="E353" s="236">
        <v>267963</v>
      </c>
      <c r="F353" s="236"/>
      <c r="G353" s="237">
        <v>15437</v>
      </c>
      <c r="H353" s="225">
        <v>65062</v>
      </c>
      <c r="I353" s="237">
        <v>38269</v>
      </c>
      <c r="J353" s="236">
        <v>4381</v>
      </c>
      <c r="K353" s="225">
        <f t="shared" si="10"/>
        <v>123149</v>
      </c>
      <c r="L353" s="236"/>
      <c r="M353" s="237">
        <v>7585</v>
      </c>
      <c r="N353" s="237">
        <v>0</v>
      </c>
      <c r="O353" s="236">
        <v>10262</v>
      </c>
      <c r="P353" s="225">
        <f t="shared" si="11"/>
        <v>17847</v>
      </c>
      <c r="Q353" s="236"/>
      <c r="R353" s="237">
        <v>90304</v>
      </c>
      <c r="S353" s="238">
        <v>-2871</v>
      </c>
      <c r="T353" s="238">
        <v>87433</v>
      </c>
    </row>
    <row r="354" spans="1:20">
      <c r="A354" s="231">
        <v>93609</v>
      </c>
      <c r="B354" s="232" t="s">
        <v>1064</v>
      </c>
      <c r="C354" s="92">
        <v>3.7629999999999999E-3</v>
      </c>
      <c r="D354" s="92">
        <v>3.0569E-3</v>
      </c>
      <c r="E354" s="236">
        <v>5748822</v>
      </c>
      <c r="F354" s="236"/>
      <c r="G354" s="237">
        <v>331185</v>
      </c>
      <c r="H354" s="225">
        <v>1395821</v>
      </c>
      <c r="I354" s="237">
        <v>821011</v>
      </c>
      <c r="J354" s="236">
        <v>823315</v>
      </c>
      <c r="K354" s="225">
        <f t="shared" si="10"/>
        <v>3371332</v>
      </c>
      <c r="L354" s="236"/>
      <c r="M354" s="237">
        <v>162731</v>
      </c>
      <c r="N354" s="237">
        <v>0</v>
      </c>
      <c r="O354" s="236">
        <v>0</v>
      </c>
      <c r="P354" s="225">
        <f t="shared" si="11"/>
        <v>162731</v>
      </c>
      <c r="Q354" s="236"/>
      <c r="R354" s="237">
        <v>1937358</v>
      </c>
      <c r="S354" s="238">
        <v>360052</v>
      </c>
      <c r="T354" s="238">
        <v>2297410</v>
      </c>
    </row>
    <row r="355" spans="1:20">
      <c r="A355" s="231">
        <v>93610</v>
      </c>
      <c r="B355" s="232" t="s">
        <v>1065</v>
      </c>
      <c r="C355" s="92">
        <v>1.33E-5</v>
      </c>
      <c r="D355" s="92">
        <v>6.4999999999999996E-6</v>
      </c>
      <c r="E355" s="236">
        <v>20319</v>
      </c>
      <c r="F355" s="236"/>
      <c r="G355" s="237">
        <v>1171</v>
      </c>
      <c r="H355" s="225">
        <v>4933</v>
      </c>
      <c r="I355" s="237">
        <v>2902</v>
      </c>
      <c r="J355" s="236">
        <v>6303</v>
      </c>
      <c r="K355" s="225">
        <f t="shared" si="10"/>
        <v>15309</v>
      </c>
      <c r="L355" s="236"/>
      <c r="M355" s="237">
        <v>575</v>
      </c>
      <c r="N355" s="237">
        <v>0</v>
      </c>
      <c r="O355" s="236">
        <v>3373</v>
      </c>
      <c r="P355" s="225">
        <f t="shared" si="11"/>
        <v>3948</v>
      </c>
      <c r="Q355" s="236"/>
      <c r="R355" s="237">
        <v>6847</v>
      </c>
      <c r="S355" s="238">
        <v>1242</v>
      </c>
      <c r="T355" s="238">
        <f>8090-1</f>
        <v>8089</v>
      </c>
    </row>
    <row r="356" spans="1:20">
      <c r="A356" s="231">
        <v>93611</v>
      </c>
      <c r="B356" s="232" t="s">
        <v>1066</v>
      </c>
      <c r="C356" s="92">
        <v>6.9544000000000003E-3</v>
      </c>
      <c r="D356" s="92">
        <v>6.9325000000000003E-3</v>
      </c>
      <c r="E356" s="236">
        <v>10624397</v>
      </c>
      <c r="F356" s="236"/>
      <c r="G356" s="237">
        <v>612064</v>
      </c>
      <c r="H356" s="225">
        <v>2579617</v>
      </c>
      <c r="I356" s="237">
        <v>1517311</v>
      </c>
      <c r="J356" s="236">
        <v>61146</v>
      </c>
      <c r="K356" s="225">
        <f t="shared" si="10"/>
        <v>4770138</v>
      </c>
      <c r="L356" s="236"/>
      <c r="M356" s="237">
        <v>300743</v>
      </c>
      <c r="N356" s="237">
        <v>0</v>
      </c>
      <c r="O356" s="236">
        <v>153061</v>
      </c>
      <c r="P356" s="225">
        <f t="shared" si="11"/>
        <v>453804</v>
      </c>
      <c r="Q356" s="236"/>
      <c r="R356" s="237">
        <v>3580431</v>
      </c>
      <c r="S356" s="238">
        <v>-98066</v>
      </c>
      <c r="T356" s="238">
        <v>3482365</v>
      </c>
    </row>
    <row r="357" spans="1:20">
      <c r="A357" s="231">
        <v>93617</v>
      </c>
      <c r="B357" s="232" t="s">
        <v>1067</v>
      </c>
      <c r="C357" s="92">
        <v>8.2799999999999993E-5</v>
      </c>
      <c r="D357" s="92">
        <v>9.5000000000000005E-5</v>
      </c>
      <c r="E357" s="236">
        <v>126495</v>
      </c>
      <c r="F357" s="236"/>
      <c r="G357" s="237">
        <v>7287</v>
      </c>
      <c r="H357" s="225">
        <v>30714</v>
      </c>
      <c r="I357" s="237">
        <v>18065</v>
      </c>
      <c r="J357" s="236">
        <v>19622</v>
      </c>
      <c r="K357" s="225">
        <f t="shared" si="10"/>
        <v>75688</v>
      </c>
      <c r="L357" s="236"/>
      <c r="M357" s="237">
        <v>3581</v>
      </c>
      <c r="N357" s="237">
        <v>0</v>
      </c>
      <c r="O357" s="236">
        <v>0</v>
      </c>
      <c r="P357" s="225">
        <f t="shared" si="11"/>
        <v>3581</v>
      </c>
      <c r="Q357" s="236"/>
      <c r="R357" s="237">
        <v>42629</v>
      </c>
      <c r="S357" s="238">
        <v>10180</v>
      </c>
      <c r="T357" s="238">
        <v>52809</v>
      </c>
    </row>
    <row r="358" spans="1:20">
      <c r="A358" s="231">
        <v>93618</v>
      </c>
      <c r="B358" s="232" t="s">
        <v>1068</v>
      </c>
      <c r="C358" s="92">
        <v>1.11E-5</v>
      </c>
      <c r="D358" s="92">
        <v>1.17E-5</v>
      </c>
      <c r="E358" s="236">
        <v>16958</v>
      </c>
      <c r="F358" s="236"/>
      <c r="G358" s="237">
        <v>977</v>
      </c>
      <c r="H358" s="225">
        <v>4117</v>
      </c>
      <c r="I358" s="237">
        <v>2422</v>
      </c>
      <c r="J358" s="236">
        <v>33625</v>
      </c>
      <c r="K358" s="225">
        <f t="shared" si="10"/>
        <v>41141</v>
      </c>
      <c r="L358" s="236"/>
      <c r="M358" s="237">
        <v>480</v>
      </c>
      <c r="N358" s="237">
        <v>0</v>
      </c>
      <c r="O358" s="236">
        <v>0</v>
      </c>
      <c r="P358" s="225">
        <f t="shared" si="11"/>
        <v>480</v>
      </c>
      <c r="Q358" s="236"/>
      <c r="R358" s="237">
        <v>5715</v>
      </c>
      <c r="S358" s="238">
        <v>12182</v>
      </c>
      <c r="T358" s="238">
        <v>17897</v>
      </c>
    </row>
    <row r="359" spans="1:20">
      <c r="A359" s="231">
        <v>93621</v>
      </c>
      <c r="B359" s="232" t="s">
        <v>1069</v>
      </c>
      <c r="C359" s="92">
        <v>9.5719999999999996E-4</v>
      </c>
      <c r="D359" s="92">
        <v>8.5320000000000003E-4</v>
      </c>
      <c r="E359" s="236">
        <v>1462336</v>
      </c>
      <c r="F359" s="236"/>
      <c r="G359" s="237">
        <v>84244</v>
      </c>
      <c r="H359" s="225">
        <v>355057</v>
      </c>
      <c r="I359" s="237">
        <v>208842</v>
      </c>
      <c r="J359" s="236">
        <v>48292</v>
      </c>
      <c r="K359" s="225">
        <f t="shared" si="10"/>
        <v>696435</v>
      </c>
      <c r="L359" s="236"/>
      <c r="M359" s="237">
        <v>41394</v>
      </c>
      <c r="N359" s="237">
        <v>0</v>
      </c>
      <c r="O359" s="236">
        <v>79767</v>
      </c>
      <c r="P359" s="225">
        <f t="shared" si="11"/>
        <v>121161</v>
      </c>
      <c r="Q359" s="236"/>
      <c r="R359" s="237">
        <v>492809</v>
      </c>
      <c r="S359" s="238">
        <v>-26570</v>
      </c>
      <c r="T359" s="238">
        <f>466238+1</f>
        <v>466239</v>
      </c>
    </row>
    <row r="360" spans="1:20">
      <c r="A360" s="231">
        <v>93623</v>
      </c>
      <c r="B360" s="232" t="s">
        <v>1070</v>
      </c>
      <c r="C360" s="92">
        <v>1.2799999999999999E-5</v>
      </c>
      <c r="D360" s="92">
        <v>1.2500000000000001E-5</v>
      </c>
      <c r="E360" s="236">
        <v>19555</v>
      </c>
      <c r="F360" s="236"/>
      <c r="G360" s="237">
        <v>1127</v>
      </c>
      <c r="H360" s="225">
        <v>4748</v>
      </c>
      <c r="I360" s="237">
        <v>2793</v>
      </c>
      <c r="J360" s="236">
        <v>5501</v>
      </c>
      <c r="K360" s="225">
        <f t="shared" si="10"/>
        <v>14169</v>
      </c>
      <c r="L360" s="236"/>
      <c r="M360" s="237">
        <v>554</v>
      </c>
      <c r="N360" s="237">
        <v>0</v>
      </c>
      <c r="O360" s="236">
        <v>1</v>
      </c>
      <c r="P360" s="225">
        <f t="shared" si="11"/>
        <v>555</v>
      </c>
      <c r="Q360" s="236"/>
      <c r="R360" s="237">
        <v>6590</v>
      </c>
      <c r="S360" s="238">
        <v>1908</v>
      </c>
      <c r="T360" s="238">
        <v>8498</v>
      </c>
    </row>
    <row r="361" spans="1:20">
      <c r="A361" s="231">
        <v>93631</v>
      </c>
      <c r="B361" s="232" t="s">
        <v>1071</v>
      </c>
      <c r="C361" s="92">
        <v>2.252E-4</v>
      </c>
      <c r="D361" s="92">
        <v>2.3440000000000001E-4</v>
      </c>
      <c r="E361" s="236">
        <v>344043</v>
      </c>
      <c r="F361" s="236"/>
      <c r="G361" s="237">
        <v>19820</v>
      </c>
      <c r="H361" s="225">
        <v>83534</v>
      </c>
      <c r="I361" s="237">
        <v>49134</v>
      </c>
      <c r="J361" s="236">
        <v>435</v>
      </c>
      <c r="K361" s="225">
        <f t="shared" si="10"/>
        <v>152923</v>
      </c>
      <c r="L361" s="236"/>
      <c r="M361" s="237">
        <v>9739</v>
      </c>
      <c r="N361" s="237">
        <v>0</v>
      </c>
      <c r="O361" s="236">
        <v>20459</v>
      </c>
      <c r="P361" s="225">
        <f t="shared" si="11"/>
        <v>30198</v>
      </c>
      <c r="Q361" s="236"/>
      <c r="R361" s="237">
        <v>115943</v>
      </c>
      <c r="S361" s="238">
        <v>-7001</v>
      </c>
      <c r="T361" s="238">
        <v>108942</v>
      </c>
    </row>
    <row r="362" spans="1:20">
      <c r="A362" s="231">
        <v>93641</v>
      </c>
      <c r="B362" s="232" t="s">
        <v>1072</v>
      </c>
      <c r="C362" s="92">
        <v>4.0450000000000002E-4</v>
      </c>
      <c r="D362" s="92">
        <v>4.3550000000000001E-4</v>
      </c>
      <c r="E362" s="236">
        <v>617964</v>
      </c>
      <c r="F362" s="236"/>
      <c r="G362" s="237">
        <v>35600</v>
      </c>
      <c r="H362" s="225">
        <v>150042</v>
      </c>
      <c r="I362" s="237">
        <v>88254</v>
      </c>
      <c r="J362" s="236">
        <v>14033</v>
      </c>
      <c r="K362" s="225">
        <f t="shared" si="10"/>
        <v>287929</v>
      </c>
      <c r="L362" s="236"/>
      <c r="M362" s="237">
        <v>17493</v>
      </c>
      <c r="N362" s="237">
        <v>0</v>
      </c>
      <c r="O362" s="236">
        <v>11062</v>
      </c>
      <c r="P362" s="225">
        <f t="shared" si="11"/>
        <v>28555</v>
      </c>
      <c r="Q362" s="236"/>
      <c r="R362" s="237">
        <v>208254</v>
      </c>
      <c r="S362" s="238">
        <v>4772</v>
      </c>
      <c r="T362" s="238">
        <v>213026</v>
      </c>
    </row>
    <row r="363" spans="1:20">
      <c r="A363" s="231">
        <v>93647</v>
      </c>
      <c r="B363" s="232" t="s">
        <v>1073</v>
      </c>
      <c r="C363" s="92">
        <v>6.0000000000000002E-6</v>
      </c>
      <c r="D363" s="92">
        <v>6.1E-6</v>
      </c>
      <c r="E363" s="236">
        <v>9166</v>
      </c>
      <c r="F363" s="236"/>
      <c r="G363" s="237">
        <v>528</v>
      </c>
      <c r="H363" s="225">
        <v>2226</v>
      </c>
      <c r="I363" s="237">
        <v>1309</v>
      </c>
      <c r="J363" s="236">
        <v>12039</v>
      </c>
      <c r="K363" s="225">
        <f t="shared" si="10"/>
        <v>16102</v>
      </c>
      <c r="L363" s="236"/>
      <c r="M363" s="237">
        <v>259</v>
      </c>
      <c r="N363" s="237">
        <v>0</v>
      </c>
      <c r="O363" s="236">
        <v>0</v>
      </c>
      <c r="P363" s="225">
        <f t="shared" si="11"/>
        <v>259</v>
      </c>
      <c r="Q363" s="236"/>
      <c r="R363" s="237">
        <v>3089</v>
      </c>
      <c r="S363" s="238">
        <v>4642</v>
      </c>
      <c r="T363" s="238">
        <v>7731</v>
      </c>
    </row>
    <row r="364" spans="1:20">
      <c r="A364" s="231">
        <v>93651</v>
      </c>
      <c r="B364" s="232" t="s">
        <v>1074</v>
      </c>
      <c r="C364" s="92">
        <v>4.3800000000000002E-4</v>
      </c>
      <c r="D364" s="92">
        <v>4.282E-4</v>
      </c>
      <c r="E364" s="236">
        <v>669143</v>
      </c>
      <c r="F364" s="236"/>
      <c r="G364" s="237">
        <v>38549</v>
      </c>
      <c r="H364" s="225">
        <v>162468</v>
      </c>
      <c r="I364" s="237">
        <v>95563</v>
      </c>
      <c r="J364" s="236">
        <v>5830</v>
      </c>
      <c r="K364" s="225">
        <f t="shared" si="10"/>
        <v>302410</v>
      </c>
      <c r="L364" s="236"/>
      <c r="M364" s="237">
        <v>18941</v>
      </c>
      <c r="N364" s="237">
        <v>0</v>
      </c>
      <c r="O364" s="236">
        <v>13910</v>
      </c>
      <c r="P364" s="225">
        <f t="shared" si="11"/>
        <v>32851</v>
      </c>
      <c r="Q364" s="236"/>
      <c r="R364" s="237">
        <v>225502</v>
      </c>
      <c r="S364" s="238">
        <v>-1521</v>
      </c>
      <c r="T364" s="238">
        <f>223980+1</f>
        <v>223981</v>
      </c>
    </row>
    <row r="365" spans="1:20">
      <c r="A365" s="231">
        <v>93661</v>
      </c>
      <c r="B365" s="232" t="s">
        <v>1075</v>
      </c>
      <c r="C365" s="92">
        <v>1.3410000000000001E-4</v>
      </c>
      <c r="D365" s="92">
        <v>1.3420000000000001E-4</v>
      </c>
      <c r="E365" s="236">
        <v>204868</v>
      </c>
      <c r="F365" s="236"/>
      <c r="G365" s="237">
        <v>11802</v>
      </c>
      <c r="H365" s="225">
        <v>49742</v>
      </c>
      <c r="I365" s="237">
        <v>29258</v>
      </c>
      <c r="J365" s="236">
        <v>11769</v>
      </c>
      <c r="K365" s="225">
        <f t="shared" si="10"/>
        <v>102571</v>
      </c>
      <c r="L365" s="236"/>
      <c r="M365" s="237">
        <v>5799</v>
      </c>
      <c r="N365" s="237">
        <v>0</v>
      </c>
      <c r="O365" s="236">
        <v>0</v>
      </c>
      <c r="P365" s="225">
        <f t="shared" si="11"/>
        <v>5799</v>
      </c>
      <c r="Q365" s="236"/>
      <c r="R365" s="237">
        <v>69041</v>
      </c>
      <c r="S365" s="238">
        <v>4842</v>
      </c>
      <c r="T365" s="238">
        <v>73883</v>
      </c>
    </row>
    <row r="366" spans="1:20">
      <c r="A366" s="231">
        <v>93671</v>
      </c>
      <c r="B366" s="232" t="s">
        <v>1076</v>
      </c>
      <c r="C366" s="92">
        <v>3.5530000000000002E-4</v>
      </c>
      <c r="D366" s="92">
        <v>3.6900000000000002E-4</v>
      </c>
      <c r="E366" s="236">
        <v>542800</v>
      </c>
      <c r="F366" s="236"/>
      <c r="G366" s="237">
        <v>31270</v>
      </c>
      <c r="H366" s="225">
        <v>131793</v>
      </c>
      <c r="I366" s="237">
        <v>77519</v>
      </c>
      <c r="J366" s="236">
        <v>38666</v>
      </c>
      <c r="K366" s="225">
        <f t="shared" si="10"/>
        <v>279248</v>
      </c>
      <c r="L366" s="236"/>
      <c r="M366" s="237">
        <v>15365</v>
      </c>
      <c r="N366" s="237">
        <v>0</v>
      </c>
      <c r="O366" s="236">
        <v>2899</v>
      </c>
      <c r="P366" s="225">
        <f t="shared" si="11"/>
        <v>18264</v>
      </c>
      <c r="Q366" s="236"/>
      <c r="R366" s="237">
        <v>182924</v>
      </c>
      <c r="S366" s="238">
        <v>28467</v>
      </c>
      <c r="T366" s="238">
        <v>211391</v>
      </c>
    </row>
    <row r="367" spans="1:20">
      <c r="A367" s="231">
        <v>93677</v>
      </c>
      <c r="B367" s="232" t="s">
        <v>98</v>
      </c>
      <c r="C367" s="92">
        <v>0</v>
      </c>
      <c r="D367" s="92">
        <v>0</v>
      </c>
      <c r="E367" s="236">
        <v>0</v>
      </c>
      <c r="F367" s="236"/>
      <c r="G367" s="237">
        <v>0</v>
      </c>
      <c r="H367" s="225">
        <v>0</v>
      </c>
      <c r="I367" s="237">
        <v>0</v>
      </c>
      <c r="J367" s="236">
        <v>0</v>
      </c>
      <c r="K367" s="225">
        <f t="shared" si="10"/>
        <v>0</v>
      </c>
      <c r="L367" s="236"/>
      <c r="M367" s="237">
        <v>0</v>
      </c>
      <c r="N367" s="237">
        <v>0</v>
      </c>
      <c r="O367" s="236">
        <v>718</v>
      </c>
      <c r="P367" s="225">
        <f t="shared" si="11"/>
        <v>718</v>
      </c>
      <c r="Q367" s="236"/>
      <c r="R367" s="237">
        <v>0</v>
      </c>
      <c r="S367" s="238">
        <v>-725</v>
      </c>
      <c r="T367" s="238">
        <v>-725</v>
      </c>
    </row>
    <row r="368" spans="1:20">
      <c r="A368" s="231">
        <v>93681</v>
      </c>
      <c r="B368" s="232" t="s">
        <v>1077</v>
      </c>
      <c r="C368" s="92">
        <v>1.1179999999999999E-4</v>
      </c>
      <c r="D368" s="92">
        <v>1.1010000000000001E-4</v>
      </c>
      <c r="E368" s="236">
        <v>170799</v>
      </c>
      <c r="F368" s="236"/>
      <c r="G368" s="237">
        <v>9840</v>
      </c>
      <c r="H368" s="225">
        <v>41470</v>
      </c>
      <c r="I368" s="237">
        <v>24393</v>
      </c>
      <c r="J368" s="236">
        <v>264</v>
      </c>
      <c r="K368" s="225">
        <f t="shared" si="10"/>
        <v>75967</v>
      </c>
      <c r="L368" s="236"/>
      <c r="M368" s="237">
        <v>4835</v>
      </c>
      <c r="N368" s="237">
        <v>0</v>
      </c>
      <c r="O368" s="236">
        <v>12629</v>
      </c>
      <c r="P368" s="225">
        <f t="shared" si="11"/>
        <v>17464</v>
      </c>
      <c r="Q368" s="236"/>
      <c r="R368" s="237">
        <v>57560</v>
      </c>
      <c r="S368" s="238">
        <v>-6498</v>
      </c>
      <c r="T368" s="238">
        <f>51061+1</f>
        <v>51062</v>
      </c>
    </row>
    <row r="369" spans="1:20">
      <c r="A369" s="231">
        <v>93691</v>
      </c>
      <c r="B369" s="232" t="s">
        <v>1078</v>
      </c>
      <c r="C369" s="92">
        <v>1.0858E-3</v>
      </c>
      <c r="D369" s="92">
        <v>1.1251E-3</v>
      </c>
      <c r="E369" s="236">
        <v>1658802</v>
      </c>
      <c r="F369" s="236"/>
      <c r="G369" s="237">
        <v>95562</v>
      </c>
      <c r="H369" s="225">
        <v>402759</v>
      </c>
      <c r="I369" s="237">
        <v>236900</v>
      </c>
      <c r="J369" s="236">
        <v>0</v>
      </c>
      <c r="K369" s="225">
        <f t="shared" si="10"/>
        <v>735221</v>
      </c>
      <c r="L369" s="236"/>
      <c r="M369" s="237">
        <v>46955</v>
      </c>
      <c r="N369" s="237">
        <v>0</v>
      </c>
      <c r="O369" s="236">
        <v>115438</v>
      </c>
      <c r="P369" s="225">
        <f t="shared" si="11"/>
        <v>162393</v>
      </c>
      <c r="Q369" s="236"/>
      <c r="R369" s="237">
        <v>559018</v>
      </c>
      <c r="S369" s="238">
        <v>-42411</v>
      </c>
      <c r="T369" s="238">
        <v>516607</v>
      </c>
    </row>
    <row r="370" spans="1:20">
      <c r="A370" s="231">
        <v>93701</v>
      </c>
      <c r="B370" s="232" t="s">
        <v>1079</v>
      </c>
      <c r="C370" s="92">
        <v>4.5800000000000002E-4</v>
      </c>
      <c r="D370" s="92">
        <v>4.6200000000000001E-4</v>
      </c>
      <c r="E370" s="236">
        <v>699697</v>
      </c>
      <c r="F370" s="236"/>
      <c r="G370" s="237">
        <v>40309</v>
      </c>
      <c r="H370" s="225">
        <v>169888</v>
      </c>
      <c r="I370" s="237">
        <v>99926</v>
      </c>
      <c r="J370" s="236">
        <v>7923</v>
      </c>
      <c r="K370" s="225">
        <f t="shared" si="10"/>
        <v>318046</v>
      </c>
      <c r="L370" s="236"/>
      <c r="M370" s="237">
        <v>19806</v>
      </c>
      <c r="N370" s="237">
        <v>0</v>
      </c>
      <c r="O370" s="236">
        <v>17631</v>
      </c>
      <c r="P370" s="225">
        <f t="shared" si="11"/>
        <v>37437</v>
      </c>
      <c r="Q370" s="236"/>
      <c r="R370" s="237">
        <v>235799</v>
      </c>
      <c r="S370" s="238">
        <v>566</v>
      </c>
      <c r="T370" s="238">
        <v>236365</v>
      </c>
    </row>
    <row r="371" spans="1:20">
      <c r="A371" s="231">
        <v>93704</v>
      </c>
      <c r="B371" s="232" t="s">
        <v>1080</v>
      </c>
      <c r="C371" s="92">
        <v>3.0000000000000001E-6</v>
      </c>
      <c r="D371" s="92">
        <v>3.3000000000000002E-6</v>
      </c>
      <c r="E371" s="236">
        <v>4583</v>
      </c>
      <c r="F371" s="236"/>
      <c r="G371" s="237">
        <v>264</v>
      </c>
      <c r="H371" s="225">
        <v>1113</v>
      </c>
      <c r="I371" s="237">
        <v>655</v>
      </c>
      <c r="J371" s="236">
        <v>578</v>
      </c>
      <c r="K371" s="225">
        <f t="shared" si="10"/>
        <v>2610</v>
      </c>
      <c r="L371" s="236"/>
      <c r="M371" s="237">
        <v>130</v>
      </c>
      <c r="N371" s="237">
        <v>0</v>
      </c>
      <c r="O371" s="236">
        <v>49</v>
      </c>
      <c r="P371" s="225">
        <f t="shared" si="11"/>
        <v>179</v>
      </c>
      <c r="Q371" s="236"/>
      <c r="R371" s="237">
        <v>1545</v>
      </c>
      <c r="S371" s="238">
        <v>136</v>
      </c>
      <c r="T371" s="238">
        <v>1681</v>
      </c>
    </row>
    <row r="372" spans="1:20">
      <c r="A372" s="231">
        <v>93801</v>
      </c>
      <c r="B372" s="232" t="s">
        <v>1081</v>
      </c>
      <c r="C372" s="92">
        <v>4.7889999999999999E-4</v>
      </c>
      <c r="D372" s="92">
        <v>5.4180000000000005E-4</v>
      </c>
      <c r="E372" s="236">
        <v>731627</v>
      </c>
      <c r="F372" s="236"/>
      <c r="G372" s="237">
        <v>42148</v>
      </c>
      <c r="H372" s="225">
        <v>177639</v>
      </c>
      <c r="I372" s="237">
        <v>104486</v>
      </c>
      <c r="J372" s="236">
        <v>113630</v>
      </c>
      <c r="K372" s="225">
        <f t="shared" si="10"/>
        <v>437903</v>
      </c>
      <c r="L372" s="236"/>
      <c r="M372" s="237">
        <v>20710</v>
      </c>
      <c r="N372" s="237">
        <v>0</v>
      </c>
      <c r="O372" s="236">
        <v>54734</v>
      </c>
      <c r="P372" s="225">
        <f t="shared" si="11"/>
        <v>75444</v>
      </c>
      <c r="Q372" s="236"/>
      <c r="R372" s="237">
        <v>246559</v>
      </c>
      <c r="S372" s="238">
        <v>28052</v>
      </c>
      <c r="T372" s="238">
        <v>274611</v>
      </c>
    </row>
    <row r="373" spans="1:20">
      <c r="A373" s="231">
        <v>93803</v>
      </c>
      <c r="B373" s="232" t="s">
        <v>1082</v>
      </c>
      <c r="C373" s="92">
        <v>1.1900000000000001E-4</v>
      </c>
      <c r="D373" s="92">
        <v>1.4469999999999999E-4</v>
      </c>
      <c r="E373" s="236">
        <v>181799</v>
      </c>
      <c r="F373" s="236"/>
      <c r="G373" s="237">
        <v>10473</v>
      </c>
      <c r="H373" s="225">
        <v>44141</v>
      </c>
      <c r="I373" s="237">
        <v>25963</v>
      </c>
      <c r="J373" s="236">
        <v>0</v>
      </c>
      <c r="K373" s="225">
        <f t="shared" si="10"/>
        <v>80577</v>
      </c>
      <c r="L373" s="236"/>
      <c r="M373" s="237">
        <v>5146</v>
      </c>
      <c r="N373" s="237">
        <v>0</v>
      </c>
      <c r="O373" s="236">
        <v>42594</v>
      </c>
      <c r="P373" s="225">
        <f t="shared" si="11"/>
        <v>47740</v>
      </c>
      <c r="Q373" s="236"/>
      <c r="R373" s="237">
        <v>61266</v>
      </c>
      <c r="S373" s="238">
        <v>-17510</v>
      </c>
      <c r="T373" s="238">
        <v>43756</v>
      </c>
    </row>
    <row r="374" spans="1:20">
      <c r="A374" s="231">
        <v>93806</v>
      </c>
      <c r="B374" s="232" t="s">
        <v>1083</v>
      </c>
      <c r="C374" s="92">
        <v>9.3900000000000006E-5</v>
      </c>
      <c r="D374" s="92">
        <v>7.3700000000000002E-5</v>
      </c>
      <c r="E374" s="236">
        <v>143453</v>
      </c>
      <c r="F374" s="236"/>
      <c r="G374" s="237">
        <v>8264</v>
      </c>
      <c r="H374" s="225">
        <v>34831</v>
      </c>
      <c r="I374" s="237">
        <v>20487</v>
      </c>
      <c r="J374" s="236">
        <v>13283</v>
      </c>
      <c r="K374" s="225">
        <f t="shared" si="10"/>
        <v>76865</v>
      </c>
      <c r="L374" s="236"/>
      <c r="M374" s="237">
        <v>4061</v>
      </c>
      <c r="N374" s="237">
        <v>0</v>
      </c>
      <c r="O374" s="236">
        <v>10049</v>
      </c>
      <c r="P374" s="225">
        <f t="shared" si="11"/>
        <v>14110</v>
      </c>
      <c r="Q374" s="236"/>
      <c r="R374" s="237">
        <v>48344</v>
      </c>
      <c r="S374" s="238">
        <v>-6121</v>
      </c>
      <c r="T374" s="238">
        <v>42223</v>
      </c>
    </row>
    <row r="375" spans="1:20">
      <c r="A375" s="231">
        <v>93821</v>
      </c>
      <c r="B375" s="232" t="s">
        <v>1084</v>
      </c>
      <c r="C375" s="92">
        <v>2.9899999999999998E-5</v>
      </c>
      <c r="D375" s="92">
        <v>5.7200000000000001E-5</v>
      </c>
      <c r="E375" s="236">
        <v>45679</v>
      </c>
      <c r="F375" s="236"/>
      <c r="G375" s="237">
        <v>2632</v>
      </c>
      <c r="H375" s="225">
        <v>11090</v>
      </c>
      <c r="I375" s="237">
        <v>6524</v>
      </c>
      <c r="J375" s="236">
        <v>18424</v>
      </c>
      <c r="K375" s="225">
        <f t="shared" si="10"/>
        <v>38670</v>
      </c>
      <c r="L375" s="236"/>
      <c r="M375" s="237">
        <v>1293</v>
      </c>
      <c r="N375" s="237">
        <v>0</v>
      </c>
      <c r="O375" s="236">
        <v>343</v>
      </c>
      <c r="P375" s="225">
        <f t="shared" si="11"/>
        <v>1636</v>
      </c>
      <c r="Q375" s="236"/>
      <c r="R375" s="237">
        <v>15394</v>
      </c>
      <c r="S375" s="238">
        <v>7633</v>
      </c>
      <c r="T375" s="238">
        <f>23026+1</f>
        <v>23027</v>
      </c>
    </row>
    <row r="376" spans="1:20">
      <c r="A376" s="231">
        <v>93901</v>
      </c>
      <c r="B376" s="232" t="s">
        <v>1085</v>
      </c>
      <c r="C376" s="92">
        <v>1.7974E-3</v>
      </c>
      <c r="D376" s="92">
        <v>1.8059E-3</v>
      </c>
      <c r="E376" s="236">
        <v>2745929</v>
      </c>
      <c r="F376" s="236"/>
      <c r="G376" s="237">
        <v>158191</v>
      </c>
      <c r="H376" s="225">
        <v>666715</v>
      </c>
      <c r="I376" s="237">
        <v>392157</v>
      </c>
      <c r="J376" s="236">
        <v>89069</v>
      </c>
      <c r="K376" s="225">
        <f t="shared" si="10"/>
        <v>1306132</v>
      </c>
      <c r="L376" s="236"/>
      <c r="M376" s="237">
        <v>77729</v>
      </c>
      <c r="N376" s="237">
        <v>0</v>
      </c>
      <c r="O376" s="236">
        <v>0</v>
      </c>
      <c r="P376" s="225">
        <f t="shared" si="11"/>
        <v>77729</v>
      </c>
      <c r="Q376" s="236"/>
      <c r="R376" s="237">
        <v>925381</v>
      </c>
      <c r="S376" s="238">
        <v>32657</v>
      </c>
      <c r="T376" s="238">
        <v>958038</v>
      </c>
    </row>
    <row r="377" spans="1:20">
      <c r="A377" s="231">
        <v>93904</v>
      </c>
      <c r="B377" s="232" t="s">
        <v>1086</v>
      </c>
      <c r="C377" s="92">
        <v>3.0000000000000001E-5</v>
      </c>
      <c r="D377" s="92">
        <v>2.4700000000000001E-5</v>
      </c>
      <c r="E377" s="236">
        <v>45832</v>
      </c>
      <c r="F377" s="236"/>
      <c r="G377" s="237">
        <v>2640</v>
      </c>
      <c r="H377" s="225">
        <v>11128</v>
      </c>
      <c r="I377" s="237">
        <v>6545</v>
      </c>
      <c r="J377" s="236">
        <v>9710</v>
      </c>
      <c r="K377" s="225">
        <f t="shared" si="10"/>
        <v>30023</v>
      </c>
      <c r="L377" s="236"/>
      <c r="M377" s="237">
        <v>1297</v>
      </c>
      <c r="N377" s="237">
        <v>0</v>
      </c>
      <c r="O377" s="236">
        <v>28</v>
      </c>
      <c r="P377" s="225">
        <f t="shared" si="11"/>
        <v>1325</v>
      </c>
      <c r="Q377" s="236"/>
      <c r="R377" s="237">
        <v>15445</v>
      </c>
      <c r="S377" s="238">
        <v>3144</v>
      </c>
      <c r="T377" s="238">
        <v>18589</v>
      </c>
    </row>
    <row r="378" spans="1:20">
      <c r="A378" s="231">
        <v>93906</v>
      </c>
      <c r="B378" s="232" t="s">
        <v>1087</v>
      </c>
      <c r="C378" s="92">
        <v>3.3882000000000001E-3</v>
      </c>
      <c r="D378" s="92">
        <v>3.4513E-3</v>
      </c>
      <c r="E378" s="236">
        <v>5176231</v>
      </c>
      <c r="F378" s="236"/>
      <c r="G378" s="237">
        <v>298199</v>
      </c>
      <c r="H378" s="225">
        <v>1256796</v>
      </c>
      <c r="I378" s="237">
        <v>739237</v>
      </c>
      <c r="J378" s="236">
        <v>14983</v>
      </c>
      <c r="K378" s="225">
        <f t="shared" si="10"/>
        <v>2309215</v>
      </c>
      <c r="L378" s="236"/>
      <c r="M378" s="237">
        <v>146523</v>
      </c>
      <c r="N378" s="237">
        <v>0</v>
      </c>
      <c r="O378" s="236">
        <v>222323</v>
      </c>
      <c r="P378" s="225">
        <f t="shared" si="11"/>
        <v>368846</v>
      </c>
      <c r="Q378" s="236"/>
      <c r="R378" s="237">
        <v>1744394</v>
      </c>
      <c r="S378" s="238">
        <v>-70525</v>
      </c>
      <c r="T378" s="238">
        <v>1673869</v>
      </c>
    </row>
    <row r="379" spans="1:20">
      <c r="A379" s="231">
        <v>93908</v>
      </c>
      <c r="B379" s="232" t="s">
        <v>1088</v>
      </c>
      <c r="C379" s="92">
        <v>5.1219999999999998E-4</v>
      </c>
      <c r="D379" s="92">
        <v>5.0239999999999996E-4</v>
      </c>
      <c r="E379" s="236">
        <v>782500</v>
      </c>
      <c r="F379" s="236"/>
      <c r="G379" s="237">
        <v>45079</v>
      </c>
      <c r="H379" s="225">
        <v>189992</v>
      </c>
      <c r="I379" s="237">
        <v>111752</v>
      </c>
      <c r="J379" s="236">
        <v>12340</v>
      </c>
      <c r="K379" s="225">
        <f t="shared" si="10"/>
        <v>359163</v>
      </c>
      <c r="L379" s="236"/>
      <c r="M379" s="237">
        <v>22150</v>
      </c>
      <c r="N379" s="237">
        <v>0</v>
      </c>
      <c r="O379" s="236">
        <v>16479</v>
      </c>
      <c r="P379" s="225">
        <f t="shared" si="11"/>
        <v>38629</v>
      </c>
      <c r="Q379" s="236"/>
      <c r="R379" s="237">
        <v>263703</v>
      </c>
      <c r="S379" s="238">
        <v>-2302</v>
      </c>
      <c r="T379" s="238">
        <v>261401</v>
      </c>
    </row>
    <row r="380" spans="1:20">
      <c r="A380" s="231">
        <v>93910</v>
      </c>
      <c r="B380" s="232" t="s">
        <v>1089</v>
      </c>
      <c r="C380" s="92">
        <v>2.786E-4</v>
      </c>
      <c r="D380" s="92">
        <v>2.9129999999999998E-4</v>
      </c>
      <c r="E380" s="236">
        <v>425624</v>
      </c>
      <c r="F380" s="236"/>
      <c r="G380" s="237">
        <v>24520</v>
      </c>
      <c r="H380" s="225">
        <v>103342</v>
      </c>
      <c r="I380" s="237">
        <v>60785</v>
      </c>
      <c r="J380" s="236">
        <v>0</v>
      </c>
      <c r="K380" s="225">
        <f t="shared" si="10"/>
        <v>188647</v>
      </c>
      <c r="L380" s="236"/>
      <c r="M380" s="237">
        <v>12048</v>
      </c>
      <c r="N380" s="237">
        <v>0</v>
      </c>
      <c r="O380" s="236">
        <v>34002</v>
      </c>
      <c r="P380" s="225">
        <f t="shared" si="11"/>
        <v>46050</v>
      </c>
      <c r="Q380" s="236"/>
      <c r="R380" s="237">
        <v>143436</v>
      </c>
      <c r="S380" s="238">
        <v>-14513</v>
      </c>
      <c r="T380" s="238">
        <v>128923</v>
      </c>
    </row>
    <row r="381" spans="1:20">
      <c r="A381" s="231">
        <v>93911</v>
      </c>
      <c r="B381" s="232" t="s">
        <v>1090</v>
      </c>
      <c r="C381" s="92">
        <v>6.3429999999999997E-4</v>
      </c>
      <c r="D381" s="92">
        <v>6.9890000000000002E-4</v>
      </c>
      <c r="E381" s="236">
        <v>969035</v>
      </c>
      <c r="F381" s="236"/>
      <c r="G381" s="237">
        <v>55825</v>
      </c>
      <c r="H381" s="225">
        <v>235283</v>
      </c>
      <c r="I381" s="237">
        <v>138392</v>
      </c>
      <c r="J381" s="236">
        <v>13175</v>
      </c>
      <c r="K381" s="225">
        <f t="shared" si="10"/>
        <v>442675</v>
      </c>
      <c r="L381" s="236"/>
      <c r="M381" s="237">
        <v>27430</v>
      </c>
      <c r="N381" s="237">
        <v>0</v>
      </c>
      <c r="O381" s="236">
        <v>54353</v>
      </c>
      <c r="P381" s="225">
        <f t="shared" si="11"/>
        <v>81783</v>
      </c>
      <c r="Q381" s="236"/>
      <c r="R381" s="237">
        <v>326566</v>
      </c>
      <c r="S381" s="238">
        <v>-6922</v>
      </c>
      <c r="T381" s="238">
        <v>319644</v>
      </c>
    </row>
    <row r="382" spans="1:20">
      <c r="A382" s="231">
        <v>93913</v>
      </c>
      <c r="B382" s="232" t="s">
        <v>1091</v>
      </c>
      <c r="C382" s="92">
        <v>5.8799999999999999E-5</v>
      </c>
      <c r="D382" s="92">
        <v>6.2600000000000004E-5</v>
      </c>
      <c r="E382" s="236">
        <v>89830</v>
      </c>
      <c r="F382" s="236"/>
      <c r="G382" s="237">
        <v>5175</v>
      </c>
      <c r="H382" s="225">
        <v>21810</v>
      </c>
      <c r="I382" s="237">
        <v>12829</v>
      </c>
      <c r="J382" s="236">
        <v>2902</v>
      </c>
      <c r="K382" s="225">
        <f t="shared" si="10"/>
        <v>42716</v>
      </c>
      <c r="L382" s="236"/>
      <c r="M382" s="237">
        <v>2543</v>
      </c>
      <c r="N382" s="237">
        <v>0</v>
      </c>
      <c r="O382" s="236">
        <v>1064</v>
      </c>
      <c r="P382" s="225">
        <f t="shared" si="11"/>
        <v>3607</v>
      </c>
      <c r="Q382" s="236"/>
      <c r="R382" s="237">
        <v>30273</v>
      </c>
      <c r="S382" s="238">
        <v>476</v>
      </c>
      <c r="T382" s="238">
        <v>30749</v>
      </c>
    </row>
    <row r="383" spans="1:20">
      <c r="A383" s="231">
        <v>93914</v>
      </c>
      <c r="B383" s="232" t="s">
        <v>1092</v>
      </c>
      <c r="C383" s="92">
        <v>8.1000000000000004E-6</v>
      </c>
      <c r="D383" s="92">
        <v>9.0999999999999993E-6</v>
      </c>
      <c r="E383" s="236">
        <v>12375</v>
      </c>
      <c r="F383" s="236"/>
      <c r="G383" s="237">
        <v>713</v>
      </c>
      <c r="H383" s="225">
        <v>3005</v>
      </c>
      <c r="I383" s="237">
        <v>1767</v>
      </c>
      <c r="J383" s="236">
        <v>3568</v>
      </c>
      <c r="K383" s="225">
        <f t="shared" si="10"/>
        <v>9053</v>
      </c>
      <c r="L383" s="236"/>
      <c r="M383" s="237">
        <v>350</v>
      </c>
      <c r="N383" s="237">
        <v>0</v>
      </c>
      <c r="O383" s="236">
        <v>0</v>
      </c>
      <c r="P383" s="225">
        <f t="shared" si="11"/>
        <v>350</v>
      </c>
      <c r="Q383" s="236"/>
      <c r="R383" s="237">
        <v>4170</v>
      </c>
      <c r="S383" s="238">
        <v>1520</v>
      </c>
      <c r="T383" s="238">
        <v>5690</v>
      </c>
    </row>
    <row r="384" spans="1:20">
      <c r="A384" s="231">
        <v>93921</v>
      </c>
      <c r="B384" s="232" t="s">
        <v>1093</v>
      </c>
      <c r="C384" s="92">
        <v>2.9020000000000001E-4</v>
      </c>
      <c r="D384" s="92">
        <v>2.7139999999999998E-4</v>
      </c>
      <c r="E384" s="236">
        <v>443345</v>
      </c>
      <c r="F384" s="236"/>
      <c r="G384" s="237">
        <v>25541</v>
      </c>
      <c r="H384" s="225">
        <v>107645</v>
      </c>
      <c r="I384" s="237">
        <v>63316</v>
      </c>
      <c r="J384" s="236">
        <v>16222</v>
      </c>
      <c r="K384" s="225">
        <f t="shared" si="10"/>
        <v>212724</v>
      </c>
      <c r="L384" s="236"/>
      <c r="M384" s="237">
        <v>12550</v>
      </c>
      <c r="N384" s="237">
        <v>0</v>
      </c>
      <c r="O384" s="236">
        <v>5036</v>
      </c>
      <c r="P384" s="225">
        <f t="shared" si="11"/>
        <v>17586</v>
      </c>
      <c r="Q384" s="236"/>
      <c r="R384" s="237">
        <v>149408</v>
      </c>
      <c r="S384" s="238">
        <v>6326</v>
      </c>
      <c r="T384" s="238">
        <v>155734</v>
      </c>
    </row>
    <row r="385" spans="1:20">
      <c r="A385" s="231">
        <v>93931</v>
      </c>
      <c r="B385" s="232" t="s">
        <v>1094</v>
      </c>
      <c r="C385" s="92">
        <v>5.0029999999999996E-4</v>
      </c>
      <c r="D385" s="92">
        <v>5.2260000000000002E-4</v>
      </c>
      <c r="E385" s="236">
        <v>764320</v>
      </c>
      <c r="F385" s="236"/>
      <c r="G385" s="237">
        <v>44032</v>
      </c>
      <c r="H385" s="225">
        <v>185578</v>
      </c>
      <c r="I385" s="237">
        <v>109155</v>
      </c>
      <c r="J385" s="236">
        <v>107572</v>
      </c>
      <c r="K385" s="225">
        <f t="shared" si="10"/>
        <v>446337</v>
      </c>
      <c r="L385" s="236"/>
      <c r="M385" s="237">
        <v>21635</v>
      </c>
      <c r="N385" s="237">
        <v>0</v>
      </c>
      <c r="O385" s="236">
        <v>39017</v>
      </c>
      <c r="P385" s="225">
        <f t="shared" si="11"/>
        <v>60652</v>
      </c>
      <c r="Q385" s="236"/>
      <c r="R385" s="237">
        <v>257576</v>
      </c>
      <c r="S385" s="238">
        <v>79129</v>
      </c>
      <c r="T385" s="238">
        <v>336705</v>
      </c>
    </row>
    <row r="386" spans="1:20">
      <c r="A386" s="231">
        <v>94001</v>
      </c>
      <c r="B386" s="232" t="s">
        <v>1095</v>
      </c>
      <c r="C386" s="92">
        <v>9.209E-4</v>
      </c>
      <c r="D386" s="92">
        <v>9.0240000000000003E-4</v>
      </c>
      <c r="E386" s="236">
        <v>1406880</v>
      </c>
      <c r="F386" s="236"/>
      <c r="G386" s="237">
        <v>81049</v>
      </c>
      <c r="H386" s="225">
        <v>341592</v>
      </c>
      <c r="I386" s="237">
        <v>200922</v>
      </c>
      <c r="J386" s="236">
        <v>45532</v>
      </c>
      <c r="K386" s="225">
        <f t="shared" si="10"/>
        <v>669095</v>
      </c>
      <c r="L386" s="236"/>
      <c r="M386" s="237">
        <v>39824</v>
      </c>
      <c r="N386" s="237">
        <v>0</v>
      </c>
      <c r="O386" s="236">
        <v>27168</v>
      </c>
      <c r="P386" s="225">
        <f t="shared" si="11"/>
        <v>66992</v>
      </c>
      <c r="Q386" s="236"/>
      <c r="R386" s="237">
        <v>474120</v>
      </c>
      <c r="S386" s="238">
        <v>-12411</v>
      </c>
      <c r="T386" s="238">
        <v>461709</v>
      </c>
    </row>
    <row r="387" spans="1:20">
      <c r="A387" s="231">
        <v>94002</v>
      </c>
      <c r="B387" s="232" t="s">
        <v>1096</v>
      </c>
      <c r="C387" s="92">
        <v>7.0999999999999998E-6</v>
      </c>
      <c r="D387" s="92">
        <v>7.6000000000000001E-6</v>
      </c>
      <c r="E387" s="236">
        <v>10847</v>
      </c>
      <c r="F387" s="236"/>
      <c r="G387" s="237">
        <v>625</v>
      </c>
      <c r="H387" s="225">
        <v>2633</v>
      </c>
      <c r="I387" s="237">
        <v>1549</v>
      </c>
      <c r="J387" s="236">
        <v>1428</v>
      </c>
      <c r="K387" s="225">
        <f t="shared" si="10"/>
        <v>6235</v>
      </c>
      <c r="L387" s="236"/>
      <c r="M387" s="237">
        <v>307</v>
      </c>
      <c r="N387" s="237">
        <v>0</v>
      </c>
      <c r="O387" s="236">
        <v>214</v>
      </c>
      <c r="P387" s="225">
        <f t="shared" si="11"/>
        <v>521</v>
      </c>
      <c r="Q387" s="236"/>
      <c r="R387" s="237">
        <v>3655</v>
      </c>
      <c r="S387" s="238">
        <v>237</v>
      </c>
      <c r="T387" s="238">
        <v>3892</v>
      </c>
    </row>
    <row r="388" spans="1:20">
      <c r="A388" s="231">
        <v>94004</v>
      </c>
      <c r="B388" s="232" t="s">
        <v>1097</v>
      </c>
      <c r="C388" s="92">
        <v>7.3000000000000004E-6</v>
      </c>
      <c r="D388" s="92">
        <v>2.7999999999999999E-6</v>
      </c>
      <c r="E388" s="236">
        <v>11152</v>
      </c>
      <c r="F388" s="236"/>
      <c r="G388" s="237">
        <v>642</v>
      </c>
      <c r="H388" s="225">
        <v>2708</v>
      </c>
      <c r="I388" s="237">
        <v>1593</v>
      </c>
      <c r="J388" s="236">
        <v>4768</v>
      </c>
      <c r="K388" s="225">
        <f t="shared" si="10"/>
        <v>9711</v>
      </c>
      <c r="L388" s="236"/>
      <c r="M388" s="237">
        <v>316</v>
      </c>
      <c r="N388" s="237">
        <v>0</v>
      </c>
      <c r="O388" s="236">
        <v>626</v>
      </c>
      <c r="P388" s="225">
        <f t="shared" si="11"/>
        <v>942</v>
      </c>
      <c r="Q388" s="236"/>
      <c r="R388" s="237">
        <v>3758</v>
      </c>
      <c r="S388" s="238">
        <v>706</v>
      </c>
      <c r="T388" s="238">
        <v>4464</v>
      </c>
    </row>
    <row r="389" spans="1:20">
      <c r="A389" s="231">
        <v>94005</v>
      </c>
      <c r="B389" s="232" t="s">
        <v>1098</v>
      </c>
      <c r="C389" s="92">
        <v>0</v>
      </c>
      <c r="D389" s="92">
        <v>5.4999999999999999E-6</v>
      </c>
      <c r="E389" s="236">
        <v>0</v>
      </c>
      <c r="F389" s="236"/>
      <c r="G389" s="237">
        <v>0</v>
      </c>
      <c r="H389" s="225">
        <v>0</v>
      </c>
      <c r="I389" s="237">
        <v>0</v>
      </c>
      <c r="J389" s="236">
        <v>0</v>
      </c>
      <c r="K389" s="225">
        <f t="shared" si="10"/>
        <v>0</v>
      </c>
      <c r="L389" s="236"/>
      <c r="M389" s="237">
        <v>0</v>
      </c>
      <c r="N389" s="237">
        <v>0</v>
      </c>
      <c r="O389" s="236">
        <v>5864</v>
      </c>
      <c r="P389" s="225">
        <f t="shared" si="11"/>
        <v>5864</v>
      </c>
      <c r="Q389" s="236"/>
      <c r="R389" s="237">
        <v>0</v>
      </c>
      <c r="S389" s="238">
        <v>-1984</v>
      </c>
      <c r="T389" s="238">
        <v>-1984</v>
      </c>
    </row>
    <row r="390" spans="1:20">
      <c r="A390" s="231">
        <v>94011</v>
      </c>
      <c r="B390" s="232" t="s">
        <v>1099</v>
      </c>
      <c r="C390" s="92">
        <v>2.3600000000000001E-5</v>
      </c>
      <c r="D390" s="92">
        <v>2.5599999999999999E-5</v>
      </c>
      <c r="E390" s="236">
        <v>36054</v>
      </c>
      <c r="F390" s="236"/>
      <c r="G390" s="237">
        <v>2077</v>
      </c>
      <c r="H390" s="225">
        <v>8754</v>
      </c>
      <c r="I390" s="237">
        <v>5149</v>
      </c>
      <c r="J390" s="236">
        <v>3216</v>
      </c>
      <c r="K390" s="225">
        <f t="shared" si="10"/>
        <v>19196</v>
      </c>
      <c r="L390" s="236"/>
      <c r="M390" s="237">
        <v>1021</v>
      </c>
      <c r="N390" s="237">
        <v>0</v>
      </c>
      <c r="O390" s="236">
        <v>3156</v>
      </c>
      <c r="P390" s="225">
        <f t="shared" si="11"/>
        <v>4177</v>
      </c>
      <c r="Q390" s="236"/>
      <c r="R390" s="237">
        <v>12150</v>
      </c>
      <c r="S390" s="238">
        <v>-16</v>
      </c>
      <c r="T390" s="238">
        <v>12134</v>
      </c>
    </row>
    <row r="391" spans="1:20">
      <c r="A391" s="231">
        <v>94021</v>
      </c>
      <c r="B391" s="232" t="s">
        <v>1100</v>
      </c>
      <c r="C391" s="92">
        <v>9.3399999999999993E-5</v>
      </c>
      <c r="D391" s="92">
        <v>8.1699999999999994E-5</v>
      </c>
      <c r="E391" s="236">
        <v>142689</v>
      </c>
      <c r="F391" s="236"/>
      <c r="G391" s="237">
        <v>8220</v>
      </c>
      <c r="H391" s="225">
        <v>34645</v>
      </c>
      <c r="I391" s="237">
        <v>20378</v>
      </c>
      <c r="J391" s="236">
        <v>20025</v>
      </c>
      <c r="K391" s="225">
        <f t="shared" si="10"/>
        <v>83268</v>
      </c>
      <c r="L391" s="236"/>
      <c r="M391" s="237">
        <v>4039</v>
      </c>
      <c r="N391" s="237">
        <v>0</v>
      </c>
      <c r="O391" s="236">
        <v>0</v>
      </c>
      <c r="P391" s="225">
        <f t="shared" si="11"/>
        <v>4039</v>
      </c>
      <c r="Q391" s="236"/>
      <c r="R391" s="237">
        <v>48086</v>
      </c>
      <c r="S391" s="238">
        <v>8567</v>
      </c>
      <c r="T391" s="238">
        <v>56653</v>
      </c>
    </row>
    <row r="392" spans="1:20">
      <c r="A392" s="231">
        <v>94031</v>
      </c>
      <c r="B392" s="232" t="s">
        <v>1101</v>
      </c>
      <c r="C392" s="92">
        <v>5.4E-6</v>
      </c>
      <c r="D392" s="92">
        <v>8.1000000000000004E-6</v>
      </c>
      <c r="E392" s="236">
        <v>8250</v>
      </c>
      <c r="F392" s="236"/>
      <c r="G392" s="237">
        <v>475</v>
      </c>
      <c r="H392" s="225">
        <v>2003</v>
      </c>
      <c r="I392" s="237">
        <v>1178</v>
      </c>
      <c r="J392" s="236">
        <v>7232</v>
      </c>
      <c r="K392" s="225">
        <f t="shared" si="10"/>
        <v>10888</v>
      </c>
      <c r="L392" s="236"/>
      <c r="M392" s="237">
        <v>234</v>
      </c>
      <c r="N392" s="237">
        <v>0</v>
      </c>
      <c r="O392" s="236">
        <v>41</v>
      </c>
      <c r="P392" s="225">
        <f t="shared" si="11"/>
        <v>275</v>
      </c>
      <c r="Q392" s="236"/>
      <c r="R392" s="237">
        <v>2780</v>
      </c>
      <c r="S392" s="238">
        <v>2829</v>
      </c>
      <c r="T392" s="238">
        <v>5609</v>
      </c>
    </row>
    <row r="393" spans="1:20">
      <c r="A393" s="231">
        <v>94101</v>
      </c>
      <c r="B393" s="232" t="s">
        <v>1102</v>
      </c>
      <c r="C393" s="92">
        <v>1.8321799999999999E-2</v>
      </c>
      <c r="D393" s="92">
        <v>1.85028E-2</v>
      </c>
      <c r="E393" s="236">
        <v>27990635</v>
      </c>
      <c r="F393" s="236"/>
      <c r="G393" s="237">
        <v>1612520</v>
      </c>
      <c r="H393" s="225">
        <v>6796161</v>
      </c>
      <c r="I393" s="237">
        <v>3997450</v>
      </c>
      <c r="J393" s="236">
        <v>271577</v>
      </c>
      <c r="K393" s="225">
        <f t="shared" si="10"/>
        <v>12677708</v>
      </c>
      <c r="L393" s="236"/>
      <c r="M393" s="237">
        <v>792326</v>
      </c>
      <c r="N393" s="237">
        <v>0</v>
      </c>
      <c r="O393" s="236">
        <v>721969</v>
      </c>
      <c r="P393" s="225">
        <f t="shared" si="11"/>
        <v>1514295</v>
      </c>
      <c r="Q393" s="236"/>
      <c r="R393" s="237">
        <v>9432869</v>
      </c>
      <c r="S393" s="238">
        <v>-270678</v>
      </c>
      <c r="T393" s="238">
        <v>9162191</v>
      </c>
    </row>
    <row r="394" spans="1:20">
      <c r="A394" s="231">
        <v>94102</v>
      </c>
      <c r="B394" s="232" t="s">
        <v>1103</v>
      </c>
      <c r="C394" s="92">
        <v>2.965E-4</v>
      </c>
      <c r="D394" s="92">
        <v>2.7569999999999998E-4</v>
      </c>
      <c r="E394" s="236">
        <v>452970</v>
      </c>
      <c r="F394" s="236"/>
      <c r="G394" s="237">
        <v>26095</v>
      </c>
      <c r="H394" s="225">
        <v>109981</v>
      </c>
      <c r="I394" s="237">
        <v>64690</v>
      </c>
      <c r="J394" s="236">
        <v>2570</v>
      </c>
      <c r="K394" s="225">
        <f t="shared" ref="K394:K457" si="12">G394+H394+I394+J394</f>
        <v>203336</v>
      </c>
      <c r="L394" s="236"/>
      <c r="M394" s="237">
        <v>12822</v>
      </c>
      <c r="N394" s="237">
        <v>0</v>
      </c>
      <c r="O394" s="236">
        <v>36856</v>
      </c>
      <c r="P394" s="225">
        <f t="shared" ref="P394:P457" si="13">M394+N394+O394</f>
        <v>49678</v>
      </c>
      <c r="Q394" s="236"/>
      <c r="R394" s="237">
        <v>152651</v>
      </c>
      <c r="S394" s="238">
        <v>-11311</v>
      </c>
      <c r="T394" s="238">
        <v>141340</v>
      </c>
    </row>
    <row r="395" spans="1:20">
      <c r="A395" s="231">
        <v>94108</v>
      </c>
      <c r="B395" s="232" t="s">
        <v>1104</v>
      </c>
      <c r="C395" s="92">
        <v>3.1389999999999999E-4</v>
      </c>
      <c r="D395" s="92">
        <v>3.1809999999999998E-4</v>
      </c>
      <c r="E395" s="236">
        <v>479552</v>
      </c>
      <c r="F395" s="236"/>
      <c r="G395" s="237">
        <v>27627</v>
      </c>
      <c r="H395" s="225">
        <v>116436</v>
      </c>
      <c r="I395" s="237">
        <v>68487</v>
      </c>
      <c r="J395" s="236">
        <v>0</v>
      </c>
      <c r="K395" s="225">
        <f t="shared" si="12"/>
        <v>212550</v>
      </c>
      <c r="L395" s="236"/>
      <c r="M395" s="237">
        <v>13575</v>
      </c>
      <c r="N395" s="237">
        <v>0</v>
      </c>
      <c r="O395" s="236">
        <v>108607</v>
      </c>
      <c r="P395" s="225">
        <f t="shared" si="13"/>
        <v>122182</v>
      </c>
      <c r="Q395" s="236"/>
      <c r="R395" s="237">
        <v>161610</v>
      </c>
      <c r="S395" s="238">
        <v>-47459</v>
      </c>
      <c r="T395" s="238">
        <v>114151</v>
      </c>
    </row>
    <row r="396" spans="1:20">
      <c r="A396" s="231">
        <v>94109</v>
      </c>
      <c r="B396" s="232" t="s">
        <v>1105</v>
      </c>
      <c r="C396" s="92">
        <v>9.09E-5</v>
      </c>
      <c r="D396" s="92">
        <v>1.0399999999999999E-4</v>
      </c>
      <c r="E396" s="236">
        <v>138870</v>
      </c>
      <c r="F396" s="236"/>
      <c r="G396" s="237">
        <v>8000</v>
      </c>
      <c r="H396" s="225">
        <v>33718</v>
      </c>
      <c r="I396" s="237">
        <v>19833</v>
      </c>
      <c r="J396" s="236">
        <v>796</v>
      </c>
      <c r="K396" s="225">
        <f t="shared" si="12"/>
        <v>62347</v>
      </c>
      <c r="L396" s="236"/>
      <c r="M396" s="237">
        <v>3931</v>
      </c>
      <c r="N396" s="237">
        <v>0</v>
      </c>
      <c r="O396" s="236">
        <v>41294</v>
      </c>
      <c r="P396" s="225">
        <f t="shared" si="13"/>
        <v>45225</v>
      </c>
      <c r="Q396" s="236"/>
      <c r="R396" s="237">
        <v>46799</v>
      </c>
      <c r="S396" s="238">
        <v>-12890</v>
      </c>
      <c r="T396" s="238">
        <v>33909</v>
      </c>
    </row>
    <row r="397" spans="1:20">
      <c r="A397" s="231">
        <v>94111</v>
      </c>
      <c r="B397" s="232" t="s">
        <v>1106</v>
      </c>
      <c r="C397" s="92">
        <v>2.5682300000000002E-2</v>
      </c>
      <c r="D397" s="92">
        <v>2.5623300000000002E-2</v>
      </c>
      <c r="E397" s="236">
        <v>39235440</v>
      </c>
      <c r="F397" s="236"/>
      <c r="G397" s="237">
        <v>2260325</v>
      </c>
      <c r="H397" s="225">
        <v>9526412</v>
      </c>
      <c r="I397" s="237">
        <v>5603364</v>
      </c>
      <c r="J397" s="236">
        <v>7528</v>
      </c>
      <c r="K397" s="225">
        <f t="shared" si="12"/>
        <v>17397629</v>
      </c>
      <c r="L397" s="236"/>
      <c r="M397" s="237">
        <v>1110631</v>
      </c>
      <c r="N397" s="237">
        <v>0</v>
      </c>
      <c r="O397" s="236">
        <v>1491627</v>
      </c>
      <c r="P397" s="225">
        <f t="shared" si="13"/>
        <v>2602258</v>
      </c>
      <c r="Q397" s="236"/>
      <c r="R397" s="237">
        <v>13222378</v>
      </c>
      <c r="S397" s="238">
        <v>-524586</v>
      </c>
      <c r="T397" s="238">
        <v>12697792</v>
      </c>
    </row>
    <row r="398" spans="1:20">
      <c r="A398" s="231">
        <v>94112</v>
      </c>
      <c r="B398" s="232" t="s">
        <v>1107</v>
      </c>
      <c r="C398" s="92">
        <v>1.6699999999999999E-4</v>
      </c>
      <c r="D398" s="92">
        <v>1.6530000000000001E-4</v>
      </c>
      <c r="E398" s="236">
        <v>255130</v>
      </c>
      <c r="F398" s="236"/>
      <c r="G398" s="237">
        <v>14698</v>
      </c>
      <c r="H398" s="225">
        <v>61946</v>
      </c>
      <c r="I398" s="237">
        <v>36436</v>
      </c>
      <c r="J398" s="236">
        <v>0</v>
      </c>
      <c r="K398" s="225">
        <f t="shared" si="12"/>
        <v>113080</v>
      </c>
      <c r="L398" s="236"/>
      <c r="M398" s="237">
        <v>7222</v>
      </c>
      <c r="N398" s="237">
        <v>0</v>
      </c>
      <c r="O398" s="236">
        <v>18973</v>
      </c>
      <c r="P398" s="225">
        <f t="shared" si="13"/>
        <v>26195</v>
      </c>
      <c r="Q398" s="236"/>
      <c r="R398" s="237">
        <v>85979</v>
      </c>
      <c r="S398" s="238">
        <v>-8534</v>
      </c>
      <c r="T398" s="238">
        <v>77445</v>
      </c>
    </row>
    <row r="399" spans="1:20">
      <c r="A399" s="231">
        <v>94117</v>
      </c>
      <c r="B399" s="232" t="s">
        <v>1108</v>
      </c>
      <c r="C399" s="92">
        <v>3.9809999999999997E-4</v>
      </c>
      <c r="D399" s="92">
        <v>4.0709999999999997E-4</v>
      </c>
      <c r="E399" s="236">
        <v>608187</v>
      </c>
      <c r="F399" s="236"/>
      <c r="G399" s="237">
        <v>35037</v>
      </c>
      <c r="H399" s="225">
        <v>147669</v>
      </c>
      <c r="I399" s="237">
        <v>86857</v>
      </c>
      <c r="J399" s="236">
        <v>8133</v>
      </c>
      <c r="K399" s="225">
        <f t="shared" si="12"/>
        <v>277696</v>
      </c>
      <c r="L399" s="236"/>
      <c r="M399" s="237">
        <v>17216</v>
      </c>
      <c r="N399" s="237">
        <v>0</v>
      </c>
      <c r="O399" s="236">
        <v>15587</v>
      </c>
      <c r="P399" s="225">
        <f t="shared" si="13"/>
        <v>32803</v>
      </c>
      <c r="Q399" s="236"/>
      <c r="R399" s="237">
        <v>204959</v>
      </c>
      <c r="S399" s="238">
        <v>-79</v>
      </c>
      <c r="T399" s="238">
        <v>204880</v>
      </c>
    </row>
    <row r="400" spans="1:20">
      <c r="A400" s="231">
        <v>94118</v>
      </c>
      <c r="B400" s="232" t="s">
        <v>1109</v>
      </c>
      <c r="C400" s="92">
        <v>1.494E-4</v>
      </c>
      <c r="D400" s="92">
        <v>1.63E-4</v>
      </c>
      <c r="E400" s="236">
        <v>228242</v>
      </c>
      <c r="F400" s="236"/>
      <c r="G400" s="237">
        <v>13149</v>
      </c>
      <c r="H400" s="225">
        <v>55417</v>
      </c>
      <c r="I400" s="237">
        <v>32596</v>
      </c>
      <c r="J400" s="236">
        <v>0</v>
      </c>
      <c r="K400" s="225">
        <f t="shared" si="12"/>
        <v>101162</v>
      </c>
      <c r="L400" s="236"/>
      <c r="M400" s="237">
        <v>6461</v>
      </c>
      <c r="N400" s="237">
        <v>0</v>
      </c>
      <c r="O400" s="236">
        <v>56599</v>
      </c>
      <c r="P400" s="225">
        <f t="shared" si="13"/>
        <v>63060</v>
      </c>
      <c r="Q400" s="236"/>
      <c r="R400" s="237">
        <v>76918</v>
      </c>
      <c r="S400" s="238">
        <v>-24768</v>
      </c>
      <c r="T400" s="238">
        <v>52150</v>
      </c>
    </row>
    <row r="401" spans="1:20">
      <c r="A401" s="231">
        <v>94121</v>
      </c>
      <c r="B401" s="232" t="s">
        <v>1110</v>
      </c>
      <c r="C401" s="92">
        <v>1.1246000000000001E-2</v>
      </c>
      <c r="D401" s="92">
        <v>1.12823E-2</v>
      </c>
      <c r="E401" s="236">
        <v>17180773</v>
      </c>
      <c r="F401" s="236"/>
      <c r="G401" s="237">
        <v>989772</v>
      </c>
      <c r="H401" s="225">
        <v>4171512</v>
      </c>
      <c r="I401" s="237">
        <v>2453652</v>
      </c>
      <c r="J401" s="236">
        <v>65556</v>
      </c>
      <c r="K401" s="225">
        <f t="shared" si="12"/>
        <v>7680492</v>
      </c>
      <c r="L401" s="236"/>
      <c r="M401" s="237">
        <v>486333</v>
      </c>
      <c r="N401" s="237">
        <v>0</v>
      </c>
      <c r="O401" s="236">
        <v>276825</v>
      </c>
      <c r="P401" s="225">
        <f t="shared" si="13"/>
        <v>763158</v>
      </c>
      <c r="Q401" s="236"/>
      <c r="R401" s="237">
        <v>5789936</v>
      </c>
      <c r="S401" s="238">
        <v>-128084</v>
      </c>
      <c r="T401" s="238">
        <v>5661852</v>
      </c>
    </row>
    <row r="402" spans="1:20">
      <c r="A402" s="231">
        <v>94127</v>
      </c>
      <c r="B402" s="232" t="s">
        <v>1111</v>
      </c>
      <c r="C402" s="92">
        <v>1.7310000000000001E-4</v>
      </c>
      <c r="D402" s="92">
        <v>1.528E-4</v>
      </c>
      <c r="E402" s="236">
        <v>264449</v>
      </c>
      <c r="F402" s="236"/>
      <c r="G402" s="237">
        <v>15235</v>
      </c>
      <c r="H402" s="225">
        <v>64208</v>
      </c>
      <c r="I402" s="237">
        <v>37767</v>
      </c>
      <c r="J402" s="236">
        <v>8697</v>
      </c>
      <c r="K402" s="225">
        <f t="shared" si="12"/>
        <v>125907</v>
      </c>
      <c r="L402" s="236"/>
      <c r="M402" s="237">
        <v>7486</v>
      </c>
      <c r="N402" s="237">
        <v>0</v>
      </c>
      <c r="O402" s="236">
        <v>398</v>
      </c>
      <c r="P402" s="225">
        <f t="shared" si="13"/>
        <v>7884</v>
      </c>
      <c r="Q402" s="236"/>
      <c r="R402" s="237">
        <v>89119</v>
      </c>
      <c r="S402" s="238">
        <v>2605</v>
      </c>
      <c r="T402" s="238">
        <v>91724</v>
      </c>
    </row>
    <row r="403" spans="1:20">
      <c r="A403" s="231">
        <v>94131</v>
      </c>
      <c r="B403" s="232" t="s">
        <v>1112</v>
      </c>
      <c r="C403" s="92">
        <v>1.7479999999999999E-4</v>
      </c>
      <c r="D403" s="92">
        <v>2.0049999999999999E-4</v>
      </c>
      <c r="E403" s="236">
        <v>267046</v>
      </c>
      <c r="F403" s="236"/>
      <c r="G403" s="237">
        <v>15384</v>
      </c>
      <c r="H403" s="225">
        <v>64840</v>
      </c>
      <c r="I403" s="237">
        <v>38138</v>
      </c>
      <c r="J403" s="236">
        <v>3004</v>
      </c>
      <c r="K403" s="225">
        <f t="shared" si="12"/>
        <v>121366</v>
      </c>
      <c r="L403" s="236"/>
      <c r="M403" s="237">
        <v>7559</v>
      </c>
      <c r="N403" s="237">
        <v>0</v>
      </c>
      <c r="O403" s="236">
        <v>9062</v>
      </c>
      <c r="P403" s="225">
        <f t="shared" si="13"/>
        <v>16621</v>
      </c>
      <c r="Q403" s="236"/>
      <c r="R403" s="237">
        <v>89995</v>
      </c>
      <c r="S403" s="238">
        <v>-1148</v>
      </c>
      <c r="T403" s="238">
        <v>88847</v>
      </c>
    </row>
    <row r="404" spans="1:20">
      <c r="A404" s="231">
        <v>94151</v>
      </c>
      <c r="B404" s="232" t="s">
        <v>1113</v>
      </c>
      <c r="C404" s="92">
        <v>4.1590000000000003E-4</v>
      </c>
      <c r="D404" s="92">
        <v>4.2870000000000001E-4</v>
      </c>
      <c r="E404" s="236">
        <v>635380</v>
      </c>
      <c r="F404" s="236"/>
      <c r="G404" s="237">
        <v>36604</v>
      </c>
      <c r="H404" s="225">
        <v>154271</v>
      </c>
      <c r="I404" s="237">
        <v>90741</v>
      </c>
      <c r="J404" s="236">
        <v>0</v>
      </c>
      <c r="K404" s="225">
        <f t="shared" si="12"/>
        <v>281616</v>
      </c>
      <c r="L404" s="236"/>
      <c r="M404" s="237">
        <v>17986</v>
      </c>
      <c r="N404" s="237">
        <v>0</v>
      </c>
      <c r="O404" s="236">
        <v>36672</v>
      </c>
      <c r="P404" s="225">
        <f t="shared" si="13"/>
        <v>54658</v>
      </c>
      <c r="Q404" s="236"/>
      <c r="R404" s="237">
        <v>214124</v>
      </c>
      <c r="S404" s="238">
        <v>-12878</v>
      </c>
      <c r="T404" s="238">
        <v>201246</v>
      </c>
    </row>
    <row r="405" spans="1:20">
      <c r="A405" s="231">
        <v>94157</v>
      </c>
      <c r="B405" s="232" t="s">
        <v>1114</v>
      </c>
      <c r="C405" s="92">
        <v>8.8999999999999995E-6</v>
      </c>
      <c r="D405" s="92">
        <v>9.3999999999999998E-6</v>
      </c>
      <c r="E405" s="236">
        <v>13597</v>
      </c>
      <c r="F405" s="236"/>
      <c r="G405" s="237">
        <v>783</v>
      </c>
      <c r="H405" s="225">
        <v>3302</v>
      </c>
      <c r="I405" s="237">
        <v>1942</v>
      </c>
      <c r="J405" s="236">
        <v>3748</v>
      </c>
      <c r="K405" s="225">
        <f t="shared" si="12"/>
        <v>9775</v>
      </c>
      <c r="L405" s="236"/>
      <c r="M405" s="237">
        <v>385</v>
      </c>
      <c r="N405" s="237">
        <v>0</v>
      </c>
      <c r="O405" s="236">
        <v>0</v>
      </c>
      <c r="P405" s="225">
        <f t="shared" si="13"/>
        <v>385</v>
      </c>
      <c r="Q405" s="236"/>
      <c r="R405" s="237">
        <v>4582</v>
      </c>
      <c r="S405" s="238">
        <v>2084</v>
      </c>
      <c r="T405" s="238">
        <v>6666</v>
      </c>
    </row>
    <row r="406" spans="1:20">
      <c r="A406" s="231">
        <v>94161</v>
      </c>
      <c r="B406" s="232" t="s">
        <v>1115</v>
      </c>
      <c r="C406" s="92">
        <v>5.1900000000000001E-5</v>
      </c>
      <c r="D406" s="92">
        <v>5.7899999999999998E-5</v>
      </c>
      <c r="E406" s="236">
        <v>79289</v>
      </c>
      <c r="F406" s="236"/>
      <c r="G406" s="237">
        <v>4568</v>
      </c>
      <c r="H406" s="225">
        <v>19252</v>
      </c>
      <c r="I406" s="237">
        <v>11324</v>
      </c>
      <c r="J406" s="236">
        <v>5455</v>
      </c>
      <c r="K406" s="225">
        <f t="shared" si="12"/>
        <v>40599</v>
      </c>
      <c r="L406" s="236"/>
      <c r="M406" s="237">
        <v>2244</v>
      </c>
      <c r="N406" s="237">
        <v>0</v>
      </c>
      <c r="O406" s="236">
        <v>3144</v>
      </c>
      <c r="P406" s="225">
        <f t="shared" si="13"/>
        <v>5388</v>
      </c>
      <c r="Q406" s="236"/>
      <c r="R406" s="237">
        <v>26720</v>
      </c>
      <c r="S406" s="238">
        <v>2302</v>
      </c>
      <c r="T406" s="238">
        <v>29022</v>
      </c>
    </row>
    <row r="407" spans="1:20">
      <c r="A407" s="231">
        <v>94168</v>
      </c>
      <c r="B407" s="232" t="s">
        <v>1116</v>
      </c>
      <c r="C407" s="92">
        <v>2.5899999999999999E-5</v>
      </c>
      <c r="D407" s="92">
        <v>3.4E-5</v>
      </c>
      <c r="E407" s="236">
        <v>39568</v>
      </c>
      <c r="F407" s="236"/>
      <c r="G407" s="237">
        <v>2279</v>
      </c>
      <c r="H407" s="225">
        <v>9607</v>
      </c>
      <c r="I407" s="237">
        <v>5651</v>
      </c>
      <c r="J407" s="236">
        <v>0</v>
      </c>
      <c r="K407" s="225">
        <f t="shared" si="12"/>
        <v>17537</v>
      </c>
      <c r="L407" s="236"/>
      <c r="M407" s="237">
        <v>1120</v>
      </c>
      <c r="N407" s="237">
        <v>0</v>
      </c>
      <c r="O407" s="236">
        <v>11664</v>
      </c>
      <c r="P407" s="225">
        <f t="shared" si="13"/>
        <v>12784</v>
      </c>
      <c r="Q407" s="236"/>
      <c r="R407" s="237">
        <v>13334</v>
      </c>
      <c r="S407" s="238">
        <v>-5442</v>
      </c>
      <c r="T407" s="238">
        <v>7892</v>
      </c>
    </row>
    <row r="408" spans="1:20">
      <c r="A408" s="231">
        <v>94171</v>
      </c>
      <c r="B408" s="232" t="s">
        <v>1117</v>
      </c>
      <c r="C408" s="92">
        <v>6.9800000000000003E-5</v>
      </c>
      <c r="D408" s="92">
        <v>5.5000000000000002E-5</v>
      </c>
      <c r="E408" s="236">
        <v>106635</v>
      </c>
      <c r="F408" s="236"/>
      <c r="G408" s="237">
        <v>6143</v>
      </c>
      <c r="H408" s="225">
        <v>25891</v>
      </c>
      <c r="I408" s="237">
        <v>15229</v>
      </c>
      <c r="J408" s="236">
        <v>10026</v>
      </c>
      <c r="K408" s="225">
        <f t="shared" si="12"/>
        <v>57289</v>
      </c>
      <c r="L408" s="236"/>
      <c r="M408" s="237">
        <v>3019</v>
      </c>
      <c r="N408" s="237">
        <v>0</v>
      </c>
      <c r="O408" s="236">
        <v>862</v>
      </c>
      <c r="P408" s="225">
        <f t="shared" si="13"/>
        <v>3881</v>
      </c>
      <c r="Q408" s="236"/>
      <c r="R408" s="237">
        <v>35936</v>
      </c>
      <c r="S408" s="238">
        <v>2780</v>
      </c>
      <c r="T408" s="238">
        <v>38716</v>
      </c>
    </row>
    <row r="409" spans="1:20">
      <c r="A409" s="231">
        <v>94172</v>
      </c>
      <c r="B409" s="232" t="s">
        <v>1118</v>
      </c>
      <c r="C409" s="92">
        <v>2.6289999999999999E-4</v>
      </c>
      <c r="D409" s="92">
        <v>2.6699999999999998E-4</v>
      </c>
      <c r="E409" s="236">
        <v>401638</v>
      </c>
      <c r="F409" s="236"/>
      <c r="G409" s="237">
        <v>23138</v>
      </c>
      <c r="H409" s="225">
        <v>97518</v>
      </c>
      <c r="I409" s="237">
        <v>57360</v>
      </c>
      <c r="J409" s="236">
        <v>0</v>
      </c>
      <c r="K409" s="225">
        <f t="shared" si="12"/>
        <v>178016</v>
      </c>
      <c r="L409" s="236"/>
      <c r="M409" s="237">
        <v>11369</v>
      </c>
      <c r="N409" s="237">
        <v>0</v>
      </c>
      <c r="O409" s="236">
        <v>90059</v>
      </c>
      <c r="P409" s="225">
        <f t="shared" si="13"/>
        <v>101428</v>
      </c>
      <c r="Q409" s="236"/>
      <c r="R409" s="237">
        <v>135352</v>
      </c>
      <c r="S409" s="238">
        <v>-41178</v>
      </c>
      <c r="T409" s="238">
        <v>94174</v>
      </c>
    </row>
    <row r="410" spans="1:20">
      <c r="A410" s="231">
        <v>94201</v>
      </c>
      <c r="B410" s="232" t="s">
        <v>1119</v>
      </c>
      <c r="C410" s="92">
        <v>3.3658999999999998E-3</v>
      </c>
      <c r="D410" s="92">
        <v>3.4813000000000001E-3</v>
      </c>
      <c r="E410" s="236">
        <v>5142163</v>
      </c>
      <c r="F410" s="236"/>
      <c r="G410" s="237">
        <v>296236</v>
      </c>
      <c r="H410" s="225">
        <v>1248524</v>
      </c>
      <c r="I410" s="237">
        <v>734372</v>
      </c>
      <c r="J410" s="236">
        <v>37947</v>
      </c>
      <c r="K410" s="225">
        <f t="shared" si="12"/>
        <v>2317079</v>
      </c>
      <c r="L410" s="236"/>
      <c r="M410" s="237">
        <v>145558</v>
      </c>
      <c r="N410" s="237">
        <v>0</v>
      </c>
      <c r="O410" s="236">
        <v>70514</v>
      </c>
      <c r="P410" s="225">
        <f t="shared" si="13"/>
        <v>216072</v>
      </c>
      <c r="Q410" s="236"/>
      <c r="R410" s="237">
        <v>1732913</v>
      </c>
      <c r="S410" s="238">
        <v>-942</v>
      </c>
      <c r="T410" s="238">
        <v>1731971</v>
      </c>
    </row>
    <row r="411" spans="1:20">
      <c r="A411" s="231">
        <v>94204</v>
      </c>
      <c r="B411" s="232" t="s">
        <v>1120</v>
      </c>
      <c r="C411" s="92">
        <v>2.5899999999999999E-5</v>
      </c>
      <c r="D411" s="92">
        <v>2.4899999999999999E-5</v>
      </c>
      <c r="E411" s="236">
        <v>39568</v>
      </c>
      <c r="F411" s="236"/>
      <c r="G411" s="237">
        <v>2279</v>
      </c>
      <c r="H411" s="225">
        <v>9607</v>
      </c>
      <c r="I411" s="237">
        <v>5651</v>
      </c>
      <c r="J411" s="236">
        <v>12190</v>
      </c>
      <c r="K411" s="225">
        <f t="shared" si="12"/>
        <v>29727</v>
      </c>
      <c r="L411" s="236"/>
      <c r="M411" s="237">
        <v>1120</v>
      </c>
      <c r="N411" s="237">
        <v>0</v>
      </c>
      <c r="O411" s="236">
        <v>0</v>
      </c>
      <c r="P411" s="225">
        <f t="shared" si="13"/>
        <v>1120</v>
      </c>
      <c r="Q411" s="236"/>
      <c r="R411" s="237">
        <v>13334</v>
      </c>
      <c r="S411" s="238">
        <v>4996</v>
      </c>
      <c r="T411" s="238">
        <v>18330</v>
      </c>
    </row>
    <row r="412" spans="1:20">
      <c r="A412" s="231">
        <v>94205</v>
      </c>
      <c r="B412" s="232" t="s">
        <v>1121</v>
      </c>
      <c r="C412" s="92">
        <v>2.0699999999999998E-5</v>
      </c>
      <c r="D412" s="92">
        <v>2.6100000000000001E-5</v>
      </c>
      <c r="E412" s="236">
        <v>31624</v>
      </c>
      <c r="F412" s="236"/>
      <c r="G412" s="237">
        <v>1822</v>
      </c>
      <c r="H412" s="225">
        <v>7678</v>
      </c>
      <c r="I412" s="237">
        <v>4516</v>
      </c>
      <c r="J412" s="236">
        <v>1652</v>
      </c>
      <c r="K412" s="225">
        <f t="shared" si="12"/>
        <v>15668</v>
      </c>
      <c r="L412" s="236"/>
      <c r="M412" s="237">
        <v>895</v>
      </c>
      <c r="N412" s="237">
        <v>0</v>
      </c>
      <c r="O412" s="236">
        <v>5048</v>
      </c>
      <c r="P412" s="225">
        <f t="shared" si="13"/>
        <v>5943</v>
      </c>
      <c r="Q412" s="236"/>
      <c r="R412" s="237">
        <v>10657</v>
      </c>
      <c r="S412" s="238">
        <v>-3026</v>
      </c>
      <c r="T412" s="238">
        <v>7631</v>
      </c>
    </row>
    <row r="413" spans="1:20">
      <c r="A413" s="231">
        <v>94209</v>
      </c>
      <c r="B413" s="232" t="s">
        <v>1122</v>
      </c>
      <c r="C413" s="92">
        <v>3.4190000000000002E-4</v>
      </c>
      <c r="D413" s="92">
        <v>3.2909999999999998E-4</v>
      </c>
      <c r="E413" s="236">
        <v>522328</v>
      </c>
      <c r="F413" s="236"/>
      <c r="G413" s="237">
        <v>30091</v>
      </c>
      <c r="H413" s="225">
        <v>126822</v>
      </c>
      <c r="I413" s="237">
        <v>74596</v>
      </c>
      <c r="J413" s="236">
        <v>23431</v>
      </c>
      <c r="K413" s="225">
        <f t="shared" si="12"/>
        <v>254940</v>
      </c>
      <c r="L413" s="236"/>
      <c r="M413" s="237">
        <v>14785</v>
      </c>
      <c r="N413" s="237">
        <v>0</v>
      </c>
      <c r="O413" s="236">
        <v>7196</v>
      </c>
      <c r="P413" s="225">
        <f t="shared" si="13"/>
        <v>21981</v>
      </c>
      <c r="Q413" s="236"/>
      <c r="R413" s="237">
        <v>176025</v>
      </c>
      <c r="S413" s="238">
        <v>9128</v>
      </c>
      <c r="T413" s="238">
        <v>185153</v>
      </c>
    </row>
    <row r="414" spans="1:20">
      <c r="A414" s="231">
        <v>94211</v>
      </c>
      <c r="B414" s="232" t="s">
        <v>1123</v>
      </c>
      <c r="C414" s="92">
        <v>1.3660000000000001E-4</v>
      </c>
      <c r="D414" s="92">
        <v>1.2400000000000001E-4</v>
      </c>
      <c r="E414" s="236">
        <v>208687</v>
      </c>
      <c r="F414" s="236"/>
      <c r="G414" s="237">
        <v>12022</v>
      </c>
      <c r="H414" s="225">
        <v>50669</v>
      </c>
      <c r="I414" s="237">
        <v>29803</v>
      </c>
      <c r="J414" s="236">
        <v>7857</v>
      </c>
      <c r="K414" s="225">
        <f t="shared" si="12"/>
        <v>100351</v>
      </c>
      <c r="L414" s="236"/>
      <c r="M414" s="237">
        <v>5907</v>
      </c>
      <c r="N414" s="237">
        <v>0</v>
      </c>
      <c r="O414" s="236">
        <v>17326</v>
      </c>
      <c r="P414" s="225">
        <f t="shared" si="13"/>
        <v>23233</v>
      </c>
      <c r="Q414" s="236"/>
      <c r="R414" s="237">
        <v>70328</v>
      </c>
      <c r="S414" s="238">
        <v>-11553</v>
      </c>
      <c r="T414" s="238">
        <v>58775</v>
      </c>
    </row>
    <row r="415" spans="1:20">
      <c r="A415" s="231">
        <v>94221</v>
      </c>
      <c r="B415" s="232" t="s">
        <v>1124</v>
      </c>
      <c r="C415" s="92">
        <v>1.0436E-3</v>
      </c>
      <c r="D415" s="92">
        <v>1.0705999999999999E-3</v>
      </c>
      <c r="E415" s="236">
        <v>1594332</v>
      </c>
      <c r="F415" s="236"/>
      <c r="G415" s="237">
        <v>91848</v>
      </c>
      <c r="H415" s="225">
        <v>387106</v>
      </c>
      <c r="I415" s="237">
        <v>227693</v>
      </c>
      <c r="J415" s="236">
        <v>63725</v>
      </c>
      <c r="K415" s="225">
        <f t="shared" si="12"/>
        <v>770372</v>
      </c>
      <c r="L415" s="236"/>
      <c r="M415" s="237">
        <v>45130</v>
      </c>
      <c r="N415" s="237">
        <v>0</v>
      </c>
      <c r="O415" s="236">
        <v>120971</v>
      </c>
      <c r="P415" s="225">
        <f t="shared" si="13"/>
        <v>166101</v>
      </c>
      <c r="Q415" s="236"/>
      <c r="R415" s="237">
        <v>537291</v>
      </c>
      <c r="S415" s="238">
        <v>-24799</v>
      </c>
      <c r="T415" s="238">
        <v>512492</v>
      </c>
    </row>
    <row r="416" spans="1:20">
      <c r="A416" s="231">
        <v>94231</v>
      </c>
      <c r="B416" s="232" t="s">
        <v>1125</v>
      </c>
      <c r="C416" s="92">
        <v>2.2609999999999999E-4</v>
      </c>
      <c r="D416" s="92">
        <v>2.1269999999999999E-4</v>
      </c>
      <c r="E416" s="236">
        <v>345418</v>
      </c>
      <c r="F416" s="236"/>
      <c r="G416" s="237">
        <v>19899</v>
      </c>
      <c r="H416" s="225">
        <v>83868</v>
      </c>
      <c r="I416" s="237">
        <v>49330</v>
      </c>
      <c r="J416" s="236">
        <v>8354</v>
      </c>
      <c r="K416" s="225">
        <f t="shared" si="12"/>
        <v>161451</v>
      </c>
      <c r="L416" s="236"/>
      <c r="M416" s="237">
        <v>9778</v>
      </c>
      <c r="N416" s="237">
        <v>0</v>
      </c>
      <c r="O416" s="236">
        <v>6714</v>
      </c>
      <c r="P416" s="225">
        <f t="shared" si="13"/>
        <v>16492</v>
      </c>
      <c r="Q416" s="236"/>
      <c r="R416" s="237">
        <v>116406</v>
      </c>
      <c r="S416" s="238">
        <v>-2799</v>
      </c>
      <c r="T416" s="238">
        <v>113607</v>
      </c>
    </row>
    <row r="417" spans="1:20">
      <c r="A417" s="231">
        <v>94241</v>
      </c>
      <c r="B417" s="232" t="s">
        <v>1126</v>
      </c>
      <c r="C417" s="92">
        <v>1.2669999999999999E-4</v>
      </c>
      <c r="D417" s="92">
        <v>8.4099999999999998E-5</v>
      </c>
      <c r="E417" s="236">
        <v>193563</v>
      </c>
      <c r="F417" s="236"/>
      <c r="G417" s="237">
        <v>11151</v>
      </c>
      <c r="H417" s="225">
        <v>46997</v>
      </c>
      <c r="I417" s="237">
        <v>27643</v>
      </c>
      <c r="J417" s="236">
        <v>26711</v>
      </c>
      <c r="K417" s="225">
        <f t="shared" si="12"/>
        <v>112502</v>
      </c>
      <c r="L417" s="236"/>
      <c r="M417" s="237">
        <v>5479</v>
      </c>
      <c r="N417" s="237">
        <v>0</v>
      </c>
      <c r="O417" s="236">
        <v>856</v>
      </c>
      <c r="P417" s="225">
        <f t="shared" si="13"/>
        <v>6335</v>
      </c>
      <c r="Q417" s="236"/>
      <c r="R417" s="237">
        <v>65231</v>
      </c>
      <c r="S417" s="238">
        <v>6835</v>
      </c>
      <c r="T417" s="238">
        <v>72066</v>
      </c>
    </row>
    <row r="418" spans="1:20">
      <c r="A418" s="231">
        <v>94251</v>
      </c>
      <c r="B418" s="232" t="s">
        <v>1127</v>
      </c>
      <c r="C418" s="92">
        <v>1.95E-5</v>
      </c>
      <c r="D418" s="92">
        <v>1.4E-5</v>
      </c>
      <c r="E418" s="236">
        <v>29791</v>
      </c>
      <c r="F418" s="236"/>
      <c r="G418" s="237">
        <v>1716</v>
      </c>
      <c r="H418" s="225">
        <v>7233</v>
      </c>
      <c r="I418" s="237">
        <v>4255</v>
      </c>
      <c r="J418" s="236">
        <v>3290</v>
      </c>
      <c r="K418" s="225">
        <f t="shared" si="12"/>
        <v>16494</v>
      </c>
      <c r="L418" s="236"/>
      <c r="M418" s="237">
        <v>843</v>
      </c>
      <c r="N418" s="237">
        <v>0</v>
      </c>
      <c r="O418" s="236">
        <v>6508</v>
      </c>
      <c r="P418" s="225">
        <f t="shared" si="13"/>
        <v>7351</v>
      </c>
      <c r="Q418" s="236"/>
      <c r="R418" s="237">
        <v>10039</v>
      </c>
      <c r="S418" s="238">
        <v>-2297</v>
      </c>
      <c r="T418" s="238">
        <v>7742</v>
      </c>
    </row>
    <row r="419" spans="1:20">
      <c r="A419" s="231">
        <v>94261</v>
      </c>
      <c r="B419" s="232" t="s">
        <v>1128</v>
      </c>
      <c r="C419" s="92">
        <v>3.9199999999999997E-5</v>
      </c>
      <c r="D419" s="92">
        <v>2.9499999999999999E-5</v>
      </c>
      <c r="E419" s="236">
        <v>59887</v>
      </c>
      <c r="F419" s="236"/>
      <c r="G419" s="237">
        <v>3450</v>
      </c>
      <c r="H419" s="225">
        <v>14541</v>
      </c>
      <c r="I419" s="237">
        <v>8553</v>
      </c>
      <c r="J419" s="236">
        <v>15518</v>
      </c>
      <c r="K419" s="225">
        <f t="shared" si="12"/>
        <v>42062</v>
      </c>
      <c r="L419" s="236"/>
      <c r="M419" s="237">
        <v>1695</v>
      </c>
      <c r="N419" s="237">
        <v>0</v>
      </c>
      <c r="O419" s="236">
        <v>0</v>
      </c>
      <c r="P419" s="225">
        <f t="shared" si="13"/>
        <v>1695</v>
      </c>
      <c r="Q419" s="236"/>
      <c r="R419" s="237">
        <v>20182</v>
      </c>
      <c r="S419" s="238">
        <v>5508</v>
      </c>
      <c r="T419" s="238">
        <v>25690</v>
      </c>
    </row>
    <row r="420" spans="1:20">
      <c r="A420" s="231">
        <v>94301</v>
      </c>
      <c r="B420" s="232" t="s">
        <v>1129</v>
      </c>
      <c r="C420" s="92">
        <v>6.2988999999999996E-3</v>
      </c>
      <c r="D420" s="92">
        <v>6.0746999999999997E-3</v>
      </c>
      <c r="E420" s="236">
        <v>9622974</v>
      </c>
      <c r="F420" s="236"/>
      <c r="G420" s="237">
        <v>554372</v>
      </c>
      <c r="H420" s="225">
        <v>2336470</v>
      </c>
      <c r="I420" s="237">
        <v>1374294</v>
      </c>
      <c r="J420" s="236">
        <v>85982</v>
      </c>
      <c r="K420" s="225">
        <f t="shared" si="12"/>
        <v>4351118</v>
      </c>
      <c r="L420" s="236"/>
      <c r="M420" s="237">
        <v>272396</v>
      </c>
      <c r="N420" s="237">
        <v>0</v>
      </c>
      <c r="O420" s="236">
        <v>117980</v>
      </c>
      <c r="P420" s="225">
        <f t="shared" si="13"/>
        <v>390376</v>
      </c>
      <c r="Q420" s="236"/>
      <c r="R420" s="237">
        <v>3242951</v>
      </c>
      <c r="S420" s="238">
        <v>-22710</v>
      </c>
      <c r="T420" s="238">
        <v>3220241</v>
      </c>
    </row>
    <row r="421" spans="1:20">
      <c r="A421" s="231">
        <v>94311</v>
      </c>
      <c r="B421" s="232" t="s">
        <v>1130</v>
      </c>
      <c r="C421" s="92">
        <v>7.8540000000000001E-4</v>
      </c>
      <c r="D421" s="92">
        <v>7.4399999999999998E-4</v>
      </c>
      <c r="E421" s="236">
        <v>1199874</v>
      </c>
      <c r="F421" s="236"/>
      <c r="G421" s="237">
        <v>69124</v>
      </c>
      <c r="H421" s="225">
        <v>291331</v>
      </c>
      <c r="I421" s="237">
        <v>171359</v>
      </c>
      <c r="J421" s="236">
        <v>26150</v>
      </c>
      <c r="K421" s="225">
        <f t="shared" si="12"/>
        <v>557964</v>
      </c>
      <c r="L421" s="236"/>
      <c r="M421" s="237">
        <v>33965</v>
      </c>
      <c r="N421" s="237">
        <v>0</v>
      </c>
      <c r="O421" s="236">
        <v>52115</v>
      </c>
      <c r="P421" s="225">
        <f t="shared" si="13"/>
        <v>86080</v>
      </c>
      <c r="Q421" s="236"/>
      <c r="R421" s="237">
        <v>404358</v>
      </c>
      <c r="S421" s="238">
        <v>-13365</v>
      </c>
      <c r="T421" s="238">
        <v>390993</v>
      </c>
    </row>
    <row r="422" spans="1:20">
      <c r="A422" s="231">
        <v>94313</v>
      </c>
      <c r="B422" s="232" t="s">
        <v>1131</v>
      </c>
      <c r="C422" s="92">
        <v>1.8700000000000001E-5</v>
      </c>
      <c r="D422" s="92">
        <v>2.0299999999999999E-5</v>
      </c>
      <c r="E422" s="236">
        <v>28568</v>
      </c>
      <c r="F422" s="236"/>
      <c r="G422" s="237">
        <v>1646</v>
      </c>
      <c r="H422" s="225">
        <v>6936</v>
      </c>
      <c r="I422" s="237">
        <v>4080</v>
      </c>
      <c r="J422" s="236">
        <v>7421</v>
      </c>
      <c r="K422" s="225">
        <f t="shared" si="12"/>
        <v>20083</v>
      </c>
      <c r="L422" s="236"/>
      <c r="M422" s="237">
        <v>809</v>
      </c>
      <c r="N422" s="237">
        <v>0</v>
      </c>
      <c r="O422" s="236">
        <v>0</v>
      </c>
      <c r="P422" s="225">
        <f t="shared" si="13"/>
        <v>809</v>
      </c>
      <c r="Q422" s="236"/>
      <c r="R422" s="237">
        <v>9628</v>
      </c>
      <c r="S422" s="238">
        <v>3124</v>
      </c>
      <c r="T422" s="238">
        <v>12752</v>
      </c>
    </row>
    <row r="423" spans="1:20">
      <c r="A423" s="231">
        <v>94317</v>
      </c>
      <c r="B423" s="232" t="s">
        <v>1132</v>
      </c>
      <c r="C423" s="92">
        <v>1.2E-5</v>
      </c>
      <c r="D423" s="92">
        <v>1.2099999999999999E-5</v>
      </c>
      <c r="E423" s="236">
        <v>18333</v>
      </c>
      <c r="F423" s="236"/>
      <c r="G423" s="237">
        <v>1056</v>
      </c>
      <c r="H423" s="225">
        <v>4451</v>
      </c>
      <c r="I423" s="237">
        <v>2618</v>
      </c>
      <c r="J423" s="236">
        <v>7663</v>
      </c>
      <c r="K423" s="225">
        <f t="shared" si="12"/>
        <v>15788</v>
      </c>
      <c r="L423" s="236"/>
      <c r="M423" s="237">
        <v>519</v>
      </c>
      <c r="N423" s="237">
        <v>0</v>
      </c>
      <c r="O423" s="236">
        <v>0</v>
      </c>
      <c r="P423" s="225">
        <f t="shared" si="13"/>
        <v>519</v>
      </c>
      <c r="Q423" s="236"/>
      <c r="R423" s="237">
        <v>6178</v>
      </c>
      <c r="S423" s="238">
        <v>3130</v>
      </c>
      <c r="T423" s="238">
        <v>9308</v>
      </c>
    </row>
    <row r="424" spans="1:20">
      <c r="A424" s="231">
        <v>94321</v>
      </c>
      <c r="B424" s="232" t="s">
        <v>1133</v>
      </c>
      <c r="C424" s="92">
        <v>2.7760000000000003E-4</v>
      </c>
      <c r="D424" s="92">
        <v>2.7070000000000002E-4</v>
      </c>
      <c r="E424" s="236">
        <v>424096</v>
      </c>
      <c r="F424" s="236"/>
      <c r="G424" s="237">
        <v>24432</v>
      </c>
      <c r="H424" s="225">
        <v>102971</v>
      </c>
      <c r="I424" s="237">
        <v>60567</v>
      </c>
      <c r="J424" s="236">
        <v>1692</v>
      </c>
      <c r="K424" s="225">
        <f t="shared" si="12"/>
        <v>189662</v>
      </c>
      <c r="L424" s="236"/>
      <c r="M424" s="237">
        <v>12005</v>
      </c>
      <c r="N424" s="237">
        <v>0</v>
      </c>
      <c r="O424" s="236">
        <v>19924</v>
      </c>
      <c r="P424" s="225">
        <f t="shared" si="13"/>
        <v>31929</v>
      </c>
      <c r="Q424" s="236"/>
      <c r="R424" s="237">
        <v>142921</v>
      </c>
      <c r="S424" s="238">
        <v>-5646</v>
      </c>
      <c r="T424" s="238">
        <v>137275</v>
      </c>
    </row>
    <row r="425" spans="1:20">
      <c r="A425" s="231">
        <v>94331</v>
      </c>
      <c r="B425" s="232" t="s">
        <v>1134</v>
      </c>
      <c r="C425" s="92">
        <v>1.3569999999999999E-4</v>
      </c>
      <c r="D425" s="92">
        <v>1.517E-4</v>
      </c>
      <c r="E425" s="236">
        <v>207312</v>
      </c>
      <c r="F425" s="236"/>
      <c r="G425" s="237">
        <v>11943</v>
      </c>
      <c r="H425" s="225">
        <v>50336</v>
      </c>
      <c r="I425" s="237">
        <v>29607</v>
      </c>
      <c r="J425" s="236">
        <v>7715</v>
      </c>
      <c r="K425" s="225">
        <f t="shared" si="12"/>
        <v>99601</v>
      </c>
      <c r="L425" s="236"/>
      <c r="M425" s="237">
        <v>5868</v>
      </c>
      <c r="N425" s="237">
        <v>0</v>
      </c>
      <c r="O425" s="236">
        <v>10557</v>
      </c>
      <c r="P425" s="225">
        <f t="shared" si="13"/>
        <v>16425</v>
      </c>
      <c r="Q425" s="236"/>
      <c r="R425" s="237">
        <v>69864</v>
      </c>
      <c r="S425" s="238">
        <v>2981</v>
      </c>
      <c r="T425" s="238">
        <v>72845</v>
      </c>
    </row>
    <row r="426" spans="1:20">
      <c r="A426" s="231">
        <v>94341</v>
      </c>
      <c r="B426" s="232" t="s">
        <v>1135</v>
      </c>
      <c r="C426" s="92">
        <v>9.4699999999999998E-5</v>
      </c>
      <c r="D426" s="92">
        <v>8.1000000000000004E-5</v>
      </c>
      <c r="E426" s="236">
        <v>144675</v>
      </c>
      <c r="F426" s="236"/>
      <c r="G426" s="237">
        <v>8335</v>
      </c>
      <c r="H426" s="225">
        <v>35127</v>
      </c>
      <c r="I426" s="237">
        <v>20662</v>
      </c>
      <c r="J426" s="236">
        <v>5564</v>
      </c>
      <c r="K426" s="225">
        <f t="shared" si="12"/>
        <v>69688</v>
      </c>
      <c r="L426" s="236"/>
      <c r="M426" s="237">
        <v>4095</v>
      </c>
      <c r="N426" s="237">
        <v>0</v>
      </c>
      <c r="O426" s="236">
        <v>5713</v>
      </c>
      <c r="P426" s="225">
        <f t="shared" si="13"/>
        <v>9808</v>
      </c>
      <c r="Q426" s="236"/>
      <c r="R426" s="237">
        <v>48756</v>
      </c>
      <c r="S426" s="238">
        <v>-1783</v>
      </c>
      <c r="T426" s="238">
        <v>46973</v>
      </c>
    </row>
    <row r="427" spans="1:20">
      <c r="A427" s="231">
        <v>94347</v>
      </c>
      <c r="B427" s="232" t="s">
        <v>1136</v>
      </c>
      <c r="C427" s="92">
        <v>1.22E-5</v>
      </c>
      <c r="D427" s="92">
        <v>1.2300000000000001E-5</v>
      </c>
      <c r="E427" s="236">
        <v>18638</v>
      </c>
      <c r="F427" s="236"/>
      <c r="G427" s="237">
        <v>1074</v>
      </c>
      <c r="H427" s="225">
        <v>4526</v>
      </c>
      <c r="I427" s="237">
        <v>2662</v>
      </c>
      <c r="J427" s="236">
        <v>4271</v>
      </c>
      <c r="K427" s="225">
        <f t="shared" si="12"/>
        <v>12533</v>
      </c>
      <c r="L427" s="236"/>
      <c r="M427" s="237">
        <v>528</v>
      </c>
      <c r="N427" s="237">
        <v>0</v>
      </c>
      <c r="O427" s="236">
        <v>0</v>
      </c>
      <c r="P427" s="225">
        <f t="shared" si="13"/>
        <v>528</v>
      </c>
      <c r="Q427" s="236"/>
      <c r="R427" s="237">
        <v>6281</v>
      </c>
      <c r="S427" s="238">
        <v>1892</v>
      </c>
      <c r="T427" s="238">
        <v>8173</v>
      </c>
    </row>
    <row r="428" spans="1:20">
      <c r="A428" s="231">
        <v>94351</v>
      </c>
      <c r="B428" s="232" t="s">
        <v>1137</v>
      </c>
      <c r="C428" s="92">
        <v>2.433E-4</v>
      </c>
      <c r="D428" s="92">
        <v>2.377E-4</v>
      </c>
      <c r="E428" s="236">
        <v>371695</v>
      </c>
      <c r="F428" s="236"/>
      <c r="G428" s="237">
        <v>21413</v>
      </c>
      <c r="H428" s="225">
        <v>90248</v>
      </c>
      <c r="I428" s="237">
        <v>53083</v>
      </c>
      <c r="J428" s="236">
        <v>1592</v>
      </c>
      <c r="K428" s="225">
        <f t="shared" si="12"/>
        <v>166336</v>
      </c>
      <c r="L428" s="236"/>
      <c r="M428" s="237">
        <v>10522</v>
      </c>
      <c r="N428" s="237">
        <v>0</v>
      </c>
      <c r="O428" s="236">
        <v>4723</v>
      </c>
      <c r="P428" s="225">
        <f t="shared" si="13"/>
        <v>15245</v>
      </c>
      <c r="Q428" s="236"/>
      <c r="R428" s="237">
        <v>125262</v>
      </c>
      <c r="S428" s="238">
        <v>-1683</v>
      </c>
      <c r="T428" s="238">
        <v>123579</v>
      </c>
    </row>
    <row r="429" spans="1:20">
      <c r="A429" s="231">
        <v>94401</v>
      </c>
      <c r="B429" s="232" t="s">
        <v>1138</v>
      </c>
      <c r="C429" s="92">
        <v>3.2718000000000001E-3</v>
      </c>
      <c r="D429" s="92">
        <v>3.4548999999999999E-3</v>
      </c>
      <c r="E429" s="236">
        <v>4998404</v>
      </c>
      <c r="F429" s="236"/>
      <c r="G429" s="237">
        <v>287954</v>
      </c>
      <c r="H429" s="225">
        <v>1213619</v>
      </c>
      <c r="I429" s="237">
        <v>713841</v>
      </c>
      <c r="J429" s="236">
        <v>20795</v>
      </c>
      <c r="K429" s="225">
        <f t="shared" si="12"/>
        <v>2236209</v>
      </c>
      <c r="L429" s="236"/>
      <c r="M429" s="237">
        <v>141489</v>
      </c>
      <c r="N429" s="237">
        <v>0</v>
      </c>
      <c r="O429" s="236">
        <v>83776</v>
      </c>
      <c r="P429" s="225">
        <f t="shared" si="13"/>
        <v>225265</v>
      </c>
      <c r="Q429" s="236"/>
      <c r="R429" s="237">
        <v>1684467</v>
      </c>
      <c r="S429" s="238">
        <v>-11283</v>
      </c>
      <c r="T429" s="238">
        <v>1673184</v>
      </c>
    </row>
    <row r="430" spans="1:20">
      <c r="A430" s="231">
        <v>94402</v>
      </c>
      <c r="B430" s="232" t="s">
        <v>1139</v>
      </c>
      <c r="C430" s="92">
        <v>0</v>
      </c>
      <c r="D430" s="92">
        <v>0</v>
      </c>
      <c r="E430" s="236">
        <v>0</v>
      </c>
      <c r="F430" s="236"/>
      <c r="G430" s="237">
        <v>0</v>
      </c>
      <c r="H430" s="225">
        <v>0</v>
      </c>
      <c r="I430" s="237">
        <v>0</v>
      </c>
      <c r="J430" s="236">
        <v>0</v>
      </c>
      <c r="K430" s="225">
        <f t="shared" si="12"/>
        <v>0</v>
      </c>
      <c r="L430" s="236"/>
      <c r="M430" s="237">
        <v>0</v>
      </c>
      <c r="N430" s="237">
        <v>0</v>
      </c>
      <c r="O430" s="236">
        <v>1774367</v>
      </c>
      <c r="P430" s="225">
        <f t="shared" si="13"/>
        <v>1774367</v>
      </c>
      <c r="Q430" s="236"/>
      <c r="R430" s="237">
        <v>0</v>
      </c>
      <c r="S430" s="238">
        <v>-1007431</v>
      </c>
      <c r="T430" s="238">
        <v>-1007431</v>
      </c>
    </row>
    <row r="431" spans="1:20">
      <c r="A431" s="231">
        <v>94403</v>
      </c>
      <c r="B431" s="232" t="s">
        <v>1140</v>
      </c>
      <c r="C431" s="92">
        <v>2.2099999999999998E-5</v>
      </c>
      <c r="D431" s="92">
        <v>0</v>
      </c>
      <c r="E431" s="236">
        <v>33763</v>
      </c>
      <c r="F431" s="236"/>
      <c r="G431" s="237">
        <v>1945</v>
      </c>
      <c r="H431" s="225">
        <v>8198</v>
      </c>
      <c r="I431" s="237">
        <v>4822</v>
      </c>
      <c r="J431" s="236">
        <v>14624</v>
      </c>
      <c r="K431" s="225">
        <f t="shared" si="12"/>
        <v>29589</v>
      </c>
      <c r="L431" s="236"/>
      <c r="M431" s="237">
        <v>956</v>
      </c>
      <c r="N431" s="237">
        <v>0</v>
      </c>
      <c r="O431" s="236">
        <v>0</v>
      </c>
      <c r="P431" s="225">
        <f t="shared" si="13"/>
        <v>956</v>
      </c>
      <c r="Q431" s="236"/>
      <c r="R431" s="237">
        <v>11378</v>
      </c>
      <c r="S431" s="238">
        <v>3656</v>
      </c>
      <c r="T431" s="238">
        <v>15034</v>
      </c>
    </row>
    <row r="432" spans="1:20">
      <c r="A432" s="231">
        <v>94408</v>
      </c>
      <c r="B432" s="232" t="s">
        <v>1141</v>
      </c>
      <c r="C432" s="92">
        <v>4.2400000000000001E-5</v>
      </c>
      <c r="D432" s="92">
        <v>4.0099999999999999E-5</v>
      </c>
      <c r="E432" s="236">
        <v>64775</v>
      </c>
      <c r="F432" s="236"/>
      <c r="G432" s="237">
        <v>3732</v>
      </c>
      <c r="H432" s="225">
        <v>15728</v>
      </c>
      <c r="I432" s="237">
        <v>9251</v>
      </c>
      <c r="J432" s="236">
        <v>7577</v>
      </c>
      <c r="K432" s="225">
        <f t="shared" si="12"/>
        <v>36288</v>
      </c>
      <c r="L432" s="236"/>
      <c r="M432" s="237">
        <v>1834</v>
      </c>
      <c r="N432" s="237">
        <v>0</v>
      </c>
      <c r="O432" s="236">
        <v>4064</v>
      </c>
      <c r="P432" s="225">
        <f t="shared" si="13"/>
        <v>5898</v>
      </c>
      <c r="Q432" s="236"/>
      <c r="R432" s="237">
        <v>21829</v>
      </c>
      <c r="S432" s="238">
        <v>382</v>
      </c>
      <c r="T432" s="238">
        <v>22211</v>
      </c>
    </row>
    <row r="433" spans="1:20">
      <c r="A433" s="231">
        <v>94411</v>
      </c>
      <c r="B433" s="232" t="s">
        <v>1142</v>
      </c>
      <c r="C433" s="92">
        <v>1.2672E-3</v>
      </c>
      <c r="D433" s="92">
        <v>1.1592E-3</v>
      </c>
      <c r="E433" s="236">
        <v>1935931</v>
      </c>
      <c r="F433" s="236"/>
      <c r="G433" s="237">
        <v>111528</v>
      </c>
      <c r="H433" s="225">
        <v>470046</v>
      </c>
      <c r="I433" s="237">
        <v>276478</v>
      </c>
      <c r="J433" s="236">
        <v>63511</v>
      </c>
      <c r="K433" s="225">
        <f t="shared" si="12"/>
        <v>921563</v>
      </c>
      <c r="L433" s="236"/>
      <c r="M433" s="237">
        <v>54800</v>
      </c>
      <c r="N433" s="237">
        <v>0</v>
      </c>
      <c r="O433" s="236">
        <v>4125</v>
      </c>
      <c r="P433" s="225">
        <f t="shared" si="13"/>
        <v>58925</v>
      </c>
      <c r="Q433" s="236"/>
      <c r="R433" s="237">
        <v>652410</v>
      </c>
      <c r="S433" s="238">
        <v>18114</v>
      </c>
      <c r="T433" s="238">
        <v>670524</v>
      </c>
    </row>
    <row r="434" spans="1:20">
      <c r="A434" s="231">
        <v>94412</v>
      </c>
      <c r="B434" s="232" t="s">
        <v>1143</v>
      </c>
      <c r="C434" s="92">
        <v>1.5099999999999999E-5</v>
      </c>
      <c r="D434" s="92">
        <v>1.63E-5</v>
      </c>
      <c r="E434" s="236">
        <v>23069</v>
      </c>
      <c r="F434" s="236"/>
      <c r="G434" s="237">
        <v>1329</v>
      </c>
      <c r="H434" s="225">
        <v>5602</v>
      </c>
      <c r="I434" s="237">
        <v>3295</v>
      </c>
      <c r="J434" s="236">
        <v>12533</v>
      </c>
      <c r="K434" s="225">
        <f t="shared" si="12"/>
        <v>22759</v>
      </c>
      <c r="L434" s="236"/>
      <c r="M434" s="237">
        <v>653</v>
      </c>
      <c r="N434" s="237">
        <v>0</v>
      </c>
      <c r="O434" s="236">
        <v>0</v>
      </c>
      <c r="P434" s="225">
        <f t="shared" si="13"/>
        <v>653</v>
      </c>
      <c r="Q434" s="236"/>
      <c r="R434" s="237">
        <v>7774</v>
      </c>
      <c r="S434" s="238">
        <v>5893</v>
      </c>
      <c r="T434" s="238">
        <v>13667</v>
      </c>
    </row>
    <row r="435" spans="1:20">
      <c r="A435" s="231">
        <v>94421</v>
      </c>
      <c r="B435" s="232" t="s">
        <v>1144</v>
      </c>
      <c r="C435" s="92">
        <v>1.6679999999999999E-4</v>
      </c>
      <c r="D435" s="92">
        <v>1.6899999999999999E-4</v>
      </c>
      <c r="E435" s="236">
        <v>254824</v>
      </c>
      <c r="F435" s="236"/>
      <c r="G435" s="237">
        <v>14680</v>
      </c>
      <c r="H435" s="225">
        <v>61871</v>
      </c>
      <c r="I435" s="237">
        <v>36392</v>
      </c>
      <c r="J435" s="236">
        <v>4157</v>
      </c>
      <c r="K435" s="225">
        <f t="shared" si="12"/>
        <v>117100</v>
      </c>
      <c r="L435" s="236"/>
      <c r="M435" s="237">
        <v>7213</v>
      </c>
      <c r="N435" s="237">
        <v>0</v>
      </c>
      <c r="O435" s="236">
        <v>6763</v>
      </c>
      <c r="P435" s="225">
        <f t="shared" si="13"/>
        <v>13976</v>
      </c>
      <c r="Q435" s="236"/>
      <c r="R435" s="237">
        <v>85876</v>
      </c>
      <c r="S435" s="238">
        <v>-3870</v>
      </c>
      <c r="T435" s="238">
        <v>82006</v>
      </c>
    </row>
    <row r="436" spans="1:20">
      <c r="A436" s="231">
        <v>94427</v>
      </c>
      <c r="B436" s="232" t="s">
        <v>1145</v>
      </c>
      <c r="C436" s="92">
        <v>1.5699999999999999E-5</v>
      </c>
      <c r="D436" s="92">
        <v>1.29E-5</v>
      </c>
      <c r="E436" s="236">
        <v>23985</v>
      </c>
      <c r="F436" s="236"/>
      <c r="G436" s="237">
        <v>1382</v>
      </c>
      <c r="H436" s="225">
        <v>5824</v>
      </c>
      <c r="I436" s="237">
        <v>3425</v>
      </c>
      <c r="J436" s="236">
        <v>4090</v>
      </c>
      <c r="K436" s="225">
        <f t="shared" si="12"/>
        <v>14721</v>
      </c>
      <c r="L436" s="236"/>
      <c r="M436" s="237">
        <v>679</v>
      </c>
      <c r="N436" s="237">
        <v>0</v>
      </c>
      <c r="O436" s="236">
        <v>478</v>
      </c>
      <c r="P436" s="225">
        <f t="shared" si="13"/>
        <v>1157</v>
      </c>
      <c r="Q436" s="236"/>
      <c r="R436" s="237">
        <v>8083</v>
      </c>
      <c r="S436" s="238">
        <v>943</v>
      </c>
      <c r="T436" s="238">
        <v>9026</v>
      </c>
    </row>
    <row r="437" spans="1:20">
      <c r="A437" s="231">
        <v>94428</v>
      </c>
      <c r="B437" s="232" t="s">
        <v>1146</v>
      </c>
      <c r="C437" s="92">
        <v>6.5199999999999999E-5</v>
      </c>
      <c r="D437" s="92">
        <v>7.4400000000000006E-5</v>
      </c>
      <c r="E437" s="236">
        <v>99608</v>
      </c>
      <c r="F437" s="236"/>
      <c r="G437" s="237">
        <v>5738</v>
      </c>
      <c r="H437" s="225">
        <v>24185</v>
      </c>
      <c r="I437" s="237">
        <v>14225</v>
      </c>
      <c r="J437" s="236">
        <v>2315</v>
      </c>
      <c r="K437" s="225">
        <f t="shared" si="12"/>
        <v>46463</v>
      </c>
      <c r="L437" s="236"/>
      <c r="M437" s="237">
        <v>2820</v>
      </c>
      <c r="N437" s="237">
        <v>0</v>
      </c>
      <c r="O437" s="236">
        <v>3346</v>
      </c>
      <c r="P437" s="225">
        <f t="shared" si="13"/>
        <v>6166</v>
      </c>
      <c r="Q437" s="236"/>
      <c r="R437" s="237">
        <v>33568</v>
      </c>
      <c r="S437" s="238">
        <v>366</v>
      </c>
      <c r="T437" s="238">
        <v>33934</v>
      </c>
    </row>
    <row r="438" spans="1:20">
      <c r="A438" s="231">
        <v>94431</v>
      </c>
      <c r="B438" s="232" t="s">
        <v>1147</v>
      </c>
      <c r="C438" s="92">
        <v>4.2440000000000002E-4</v>
      </c>
      <c r="D438" s="92">
        <v>3.7589999999999998E-4</v>
      </c>
      <c r="E438" s="236">
        <v>648366</v>
      </c>
      <c r="F438" s="236"/>
      <c r="G438" s="237">
        <v>37352</v>
      </c>
      <c r="H438" s="225">
        <v>157424</v>
      </c>
      <c r="I438" s="237">
        <v>92596</v>
      </c>
      <c r="J438" s="236">
        <v>210809</v>
      </c>
      <c r="K438" s="225">
        <f t="shared" si="12"/>
        <v>498181</v>
      </c>
      <c r="L438" s="236"/>
      <c r="M438" s="237">
        <v>18353</v>
      </c>
      <c r="N438" s="237">
        <v>0</v>
      </c>
      <c r="O438" s="236">
        <v>611</v>
      </c>
      <c r="P438" s="225">
        <f t="shared" si="13"/>
        <v>18964</v>
      </c>
      <c r="Q438" s="236"/>
      <c r="R438" s="237">
        <v>218500</v>
      </c>
      <c r="S438" s="238">
        <v>68328</v>
      </c>
      <c r="T438" s="238">
        <v>286828</v>
      </c>
    </row>
    <row r="439" spans="1:20">
      <c r="A439" s="231">
        <v>94437</v>
      </c>
      <c r="B439" s="232" t="s">
        <v>1148</v>
      </c>
      <c r="C439" s="92">
        <v>1.5299999999999999E-5</v>
      </c>
      <c r="D439" s="92">
        <v>1.34E-5</v>
      </c>
      <c r="E439" s="236">
        <v>23374</v>
      </c>
      <c r="F439" s="236"/>
      <c r="G439" s="237">
        <v>1347</v>
      </c>
      <c r="H439" s="225">
        <v>5675</v>
      </c>
      <c r="I439" s="237">
        <v>3338</v>
      </c>
      <c r="J439" s="236">
        <v>13868</v>
      </c>
      <c r="K439" s="225">
        <f t="shared" si="12"/>
        <v>24228</v>
      </c>
      <c r="L439" s="236"/>
      <c r="M439" s="237">
        <v>662</v>
      </c>
      <c r="N439" s="237">
        <v>0</v>
      </c>
      <c r="O439" s="236">
        <v>0</v>
      </c>
      <c r="P439" s="225">
        <f t="shared" si="13"/>
        <v>662</v>
      </c>
      <c r="Q439" s="236"/>
      <c r="R439" s="237">
        <v>7877</v>
      </c>
      <c r="S439" s="238">
        <v>5640</v>
      </c>
      <c r="T439" s="238">
        <v>13517</v>
      </c>
    </row>
    <row r="440" spans="1:20">
      <c r="A440" s="231">
        <v>94501</v>
      </c>
      <c r="B440" s="232" t="s">
        <v>1149</v>
      </c>
      <c r="C440" s="92">
        <v>5.6991000000000003E-3</v>
      </c>
      <c r="D440" s="92">
        <v>5.8474E-3</v>
      </c>
      <c r="E440" s="236">
        <v>8706646</v>
      </c>
      <c r="F440" s="236"/>
      <c r="G440" s="237">
        <v>501583</v>
      </c>
      <c r="H440" s="225">
        <v>2113984</v>
      </c>
      <c r="I440" s="237">
        <v>1243430</v>
      </c>
      <c r="J440" s="236">
        <v>145440</v>
      </c>
      <c r="K440" s="225">
        <f t="shared" si="12"/>
        <v>4004437</v>
      </c>
      <c r="L440" s="236"/>
      <c r="M440" s="237">
        <v>246458</v>
      </c>
      <c r="N440" s="237">
        <v>0</v>
      </c>
      <c r="O440" s="236">
        <v>11569</v>
      </c>
      <c r="P440" s="225">
        <f t="shared" si="13"/>
        <v>258027</v>
      </c>
      <c r="Q440" s="236"/>
      <c r="R440" s="237">
        <v>2934147</v>
      </c>
      <c r="S440" s="238">
        <v>99795</v>
      </c>
      <c r="T440" s="238">
        <v>3033942</v>
      </c>
    </row>
    <row r="441" spans="1:20">
      <c r="A441" s="231">
        <v>94511</v>
      </c>
      <c r="B441" s="232" t="s">
        <v>1150</v>
      </c>
      <c r="C441" s="92">
        <v>1.8538999999999999E-3</v>
      </c>
      <c r="D441" s="92">
        <v>1.7432000000000001E-3</v>
      </c>
      <c r="E441" s="236">
        <v>2832246</v>
      </c>
      <c r="F441" s="236"/>
      <c r="G441" s="237">
        <v>163164</v>
      </c>
      <c r="H441" s="225">
        <v>687673</v>
      </c>
      <c r="I441" s="237">
        <v>404484</v>
      </c>
      <c r="J441" s="236">
        <v>155537</v>
      </c>
      <c r="K441" s="225">
        <f t="shared" si="12"/>
        <v>1410858</v>
      </c>
      <c r="L441" s="236"/>
      <c r="M441" s="237">
        <v>80172</v>
      </c>
      <c r="N441" s="237">
        <v>0</v>
      </c>
      <c r="O441" s="236">
        <v>31633</v>
      </c>
      <c r="P441" s="225">
        <f t="shared" si="13"/>
        <v>111805</v>
      </c>
      <c r="Q441" s="236"/>
      <c r="R441" s="237">
        <v>954469</v>
      </c>
      <c r="S441" s="238">
        <v>72914</v>
      </c>
      <c r="T441" s="238">
        <v>1027383</v>
      </c>
    </row>
    <row r="442" spans="1:20">
      <c r="A442" s="231">
        <v>94512</v>
      </c>
      <c r="B442" s="232" t="s">
        <v>1151</v>
      </c>
      <c r="C442" s="92">
        <v>0</v>
      </c>
      <c r="D442" s="92">
        <v>0</v>
      </c>
      <c r="E442" s="236">
        <v>0</v>
      </c>
      <c r="F442" s="236"/>
      <c r="G442" s="237">
        <v>0</v>
      </c>
      <c r="H442" s="225">
        <v>0</v>
      </c>
      <c r="I442" s="237">
        <v>0</v>
      </c>
      <c r="J442" s="236">
        <v>0</v>
      </c>
      <c r="K442" s="225">
        <f t="shared" si="12"/>
        <v>0</v>
      </c>
      <c r="L442" s="236"/>
      <c r="M442" s="237">
        <v>0</v>
      </c>
      <c r="N442" s="237">
        <v>0</v>
      </c>
      <c r="O442" s="236">
        <v>138579</v>
      </c>
      <c r="P442" s="225">
        <f t="shared" si="13"/>
        <v>138579</v>
      </c>
      <c r="Q442" s="236"/>
      <c r="R442" s="237">
        <v>0</v>
      </c>
      <c r="S442" s="238">
        <v>-78713</v>
      </c>
      <c r="T442" s="238">
        <v>-78713</v>
      </c>
    </row>
    <row r="443" spans="1:20">
      <c r="A443" s="231">
        <v>94517</v>
      </c>
      <c r="B443" s="232" t="s">
        <v>1152</v>
      </c>
      <c r="C443" s="92">
        <v>4.7599999999999998E-5</v>
      </c>
      <c r="D443" s="92">
        <v>4.9599999999999999E-5</v>
      </c>
      <c r="E443" s="236">
        <v>72720</v>
      </c>
      <c r="F443" s="236"/>
      <c r="G443" s="237">
        <v>4189</v>
      </c>
      <c r="H443" s="225">
        <v>17656</v>
      </c>
      <c r="I443" s="237">
        <v>10385</v>
      </c>
      <c r="J443" s="236">
        <v>18702</v>
      </c>
      <c r="K443" s="225">
        <f t="shared" si="12"/>
        <v>50932</v>
      </c>
      <c r="L443" s="236"/>
      <c r="M443" s="237">
        <v>2058</v>
      </c>
      <c r="N443" s="237">
        <v>0</v>
      </c>
      <c r="O443" s="236">
        <v>0</v>
      </c>
      <c r="P443" s="225">
        <f t="shared" si="13"/>
        <v>2058</v>
      </c>
      <c r="Q443" s="236"/>
      <c r="R443" s="237">
        <v>24507</v>
      </c>
      <c r="S443" s="238">
        <v>9021</v>
      </c>
      <c r="T443" s="238">
        <v>33528</v>
      </c>
    </row>
    <row r="444" spans="1:20">
      <c r="A444" s="231">
        <v>94521</v>
      </c>
      <c r="B444" s="232" t="s">
        <v>1153</v>
      </c>
      <c r="C444" s="92">
        <v>1.517E-4</v>
      </c>
      <c r="D444" s="92">
        <v>1.2410000000000001E-4</v>
      </c>
      <c r="E444" s="236">
        <v>231756</v>
      </c>
      <c r="F444" s="236"/>
      <c r="G444" s="237">
        <v>13351</v>
      </c>
      <c r="H444" s="225">
        <v>56271</v>
      </c>
      <c r="I444" s="237">
        <v>33098</v>
      </c>
      <c r="J444" s="236">
        <v>15354</v>
      </c>
      <c r="K444" s="225">
        <f t="shared" si="12"/>
        <v>118074</v>
      </c>
      <c r="L444" s="236"/>
      <c r="M444" s="237">
        <v>6560</v>
      </c>
      <c r="N444" s="237">
        <v>0</v>
      </c>
      <c r="O444" s="236">
        <v>13856</v>
      </c>
      <c r="P444" s="225">
        <f t="shared" si="13"/>
        <v>20416</v>
      </c>
      <c r="Q444" s="236"/>
      <c r="R444" s="237">
        <v>78102</v>
      </c>
      <c r="S444" s="238">
        <v>429</v>
      </c>
      <c r="T444" s="238">
        <v>78531</v>
      </c>
    </row>
    <row r="445" spans="1:20">
      <c r="A445" s="231">
        <v>94527</v>
      </c>
      <c r="B445" s="232" t="s">
        <v>1154</v>
      </c>
      <c r="C445" s="92">
        <v>5.4E-6</v>
      </c>
      <c r="D445" s="92">
        <v>6.3999999999999997E-6</v>
      </c>
      <c r="E445" s="236">
        <v>8250</v>
      </c>
      <c r="F445" s="236"/>
      <c r="G445" s="237">
        <v>475</v>
      </c>
      <c r="H445" s="225">
        <v>2003</v>
      </c>
      <c r="I445" s="237">
        <v>1178</v>
      </c>
      <c r="J445" s="236">
        <v>308</v>
      </c>
      <c r="K445" s="225">
        <f t="shared" si="12"/>
        <v>3964</v>
      </c>
      <c r="L445" s="236"/>
      <c r="M445" s="237">
        <v>234</v>
      </c>
      <c r="N445" s="237">
        <v>0</v>
      </c>
      <c r="O445" s="236">
        <v>3369</v>
      </c>
      <c r="P445" s="225">
        <f t="shared" si="13"/>
        <v>3603</v>
      </c>
      <c r="Q445" s="236"/>
      <c r="R445" s="237">
        <v>2780</v>
      </c>
      <c r="S445" s="238">
        <v>-953</v>
      </c>
      <c r="T445" s="238">
        <v>1827</v>
      </c>
    </row>
    <row r="446" spans="1:20">
      <c r="A446" s="231">
        <v>94531</v>
      </c>
      <c r="B446" s="232" t="s">
        <v>1155</v>
      </c>
      <c r="C446" s="92">
        <v>1.5E-5</v>
      </c>
      <c r="D446" s="92">
        <v>1.5500000000000001E-5</v>
      </c>
      <c r="E446" s="236">
        <v>22916</v>
      </c>
      <c r="F446" s="236"/>
      <c r="G446" s="237">
        <v>1320</v>
      </c>
      <c r="H446" s="225">
        <v>5564</v>
      </c>
      <c r="I446" s="237">
        <v>3273</v>
      </c>
      <c r="J446" s="236">
        <v>6665</v>
      </c>
      <c r="K446" s="225">
        <f t="shared" si="12"/>
        <v>16822</v>
      </c>
      <c r="L446" s="236"/>
      <c r="M446" s="237">
        <v>649</v>
      </c>
      <c r="N446" s="237">
        <v>0</v>
      </c>
      <c r="O446" s="236">
        <v>0</v>
      </c>
      <c r="P446" s="225">
        <f t="shared" si="13"/>
        <v>649</v>
      </c>
      <c r="Q446" s="236"/>
      <c r="R446" s="237">
        <v>7723</v>
      </c>
      <c r="S446" s="238">
        <v>2681</v>
      </c>
      <c r="T446" s="238">
        <v>10404</v>
      </c>
    </row>
    <row r="447" spans="1:20">
      <c r="A447" s="231">
        <v>94532</v>
      </c>
      <c r="B447" s="232" t="s">
        <v>1156</v>
      </c>
      <c r="C447" s="92">
        <v>8.7800000000000006E-5</v>
      </c>
      <c r="D447" s="92">
        <v>9.4099999999999997E-5</v>
      </c>
      <c r="E447" s="236">
        <v>134134</v>
      </c>
      <c r="F447" s="236"/>
      <c r="G447" s="237">
        <v>7727</v>
      </c>
      <c r="H447" s="225">
        <v>32568</v>
      </c>
      <c r="I447" s="237">
        <v>19156</v>
      </c>
      <c r="J447" s="236">
        <v>0</v>
      </c>
      <c r="K447" s="225">
        <f t="shared" si="12"/>
        <v>59451</v>
      </c>
      <c r="L447" s="236"/>
      <c r="M447" s="237">
        <v>3797</v>
      </c>
      <c r="N447" s="237">
        <v>0</v>
      </c>
      <c r="O447" s="236">
        <v>10367</v>
      </c>
      <c r="P447" s="225">
        <f t="shared" si="13"/>
        <v>14164</v>
      </c>
      <c r="Q447" s="236"/>
      <c r="R447" s="237">
        <v>45203</v>
      </c>
      <c r="S447" s="238">
        <v>-5525</v>
      </c>
      <c r="T447" s="238">
        <v>39678</v>
      </c>
    </row>
    <row r="448" spans="1:20">
      <c r="A448" s="231">
        <v>94541</v>
      </c>
      <c r="B448" s="232" t="s">
        <v>1157</v>
      </c>
      <c r="C448" s="92">
        <v>2.9300000000000002E-4</v>
      </c>
      <c r="D448" s="92">
        <v>2.9839999999999999E-4</v>
      </c>
      <c r="E448" s="236">
        <v>447623</v>
      </c>
      <c r="F448" s="236"/>
      <c r="G448" s="237">
        <v>25787</v>
      </c>
      <c r="H448" s="225">
        <v>108683</v>
      </c>
      <c r="I448" s="237">
        <v>63927</v>
      </c>
      <c r="J448" s="236">
        <v>0</v>
      </c>
      <c r="K448" s="225">
        <f t="shared" si="12"/>
        <v>198397</v>
      </c>
      <c r="L448" s="236"/>
      <c r="M448" s="237">
        <v>12671</v>
      </c>
      <c r="N448" s="237">
        <v>0</v>
      </c>
      <c r="O448" s="236">
        <v>27614</v>
      </c>
      <c r="P448" s="225">
        <f t="shared" si="13"/>
        <v>40285</v>
      </c>
      <c r="Q448" s="236"/>
      <c r="R448" s="237">
        <v>150849</v>
      </c>
      <c r="S448" s="238">
        <v>-10625</v>
      </c>
      <c r="T448" s="238">
        <v>140224</v>
      </c>
    </row>
    <row r="449" spans="1:20">
      <c r="A449" s="231">
        <v>94547</v>
      </c>
      <c r="B449" s="232" t="s">
        <v>1158</v>
      </c>
      <c r="C449" s="92">
        <v>1.08E-5</v>
      </c>
      <c r="D449" s="92">
        <v>1.24E-5</v>
      </c>
      <c r="E449" s="236">
        <v>16499</v>
      </c>
      <c r="F449" s="236"/>
      <c r="G449" s="237">
        <v>951</v>
      </c>
      <c r="H449" s="225">
        <v>4006</v>
      </c>
      <c r="I449" s="237">
        <v>2356</v>
      </c>
      <c r="J449" s="236">
        <v>2853</v>
      </c>
      <c r="K449" s="225">
        <f t="shared" si="12"/>
        <v>10166</v>
      </c>
      <c r="L449" s="236"/>
      <c r="M449" s="237">
        <v>467</v>
      </c>
      <c r="N449" s="237">
        <v>0</v>
      </c>
      <c r="O449" s="236">
        <v>0</v>
      </c>
      <c r="P449" s="225">
        <f t="shared" si="13"/>
        <v>467</v>
      </c>
      <c r="Q449" s="236"/>
      <c r="R449" s="237">
        <v>5560</v>
      </c>
      <c r="S449" s="238">
        <v>1000</v>
      </c>
      <c r="T449" s="238">
        <v>6560</v>
      </c>
    </row>
    <row r="450" spans="1:20">
      <c r="A450" s="231">
        <v>94551</v>
      </c>
      <c r="B450" s="232" t="s">
        <v>1159</v>
      </c>
      <c r="C450" s="92">
        <v>4.1900000000000002E-5</v>
      </c>
      <c r="D450" s="92">
        <v>4.5899999999999998E-5</v>
      </c>
      <c r="E450" s="236">
        <v>64012</v>
      </c>
      <c r="F450" s="236"/>
      <c r="G450" s="237">
        <v>3688</v>
      </c>
      <c r="H450" s="225">
        <v>15543</v>
      </c>
      <c r="I450" s="237">
        <v>9142</v>
      </c>
      <c r="J450" s="236">
        <v>11600</v>
      </c>
      <c r="K450" s="225">
        <f t="shared" si="12"/>
        <v>39973</v>
      </c>
      <c r="L450" s="236"/>
      <c r="M450" s="237">
        <v>1812</v>
      </c>
      <c r="N450" s="237">
        <v>0</v>
      </c>
      <c r="O450" s="236">
        <v>1576</v>
      </c>
      <c r="P450" s="225">
        <f t="shared" si="13"/>
        <v>3388</v>
      </c>
      <c r="Q450" s="236"/>
      <c r="R450" s="237">
        <v>21572</v>
      </c>
      <c r="S450" s="238">
        <v>4116</v>
      </c>
      <c r="T450" s="238">
        <v>25688</v>
      </c>
    </row>
    <row r="451" spans="1:20">
      <c r="A451" s="231">
        <v>94601</v>
      </c>
      <c r="B451" s="232" t="s">
        <v>1160</v>
      </c>
      <c r="C451" s="92">
        <v>1.0602999999999999E-3</v>
      </c>
      <c r="D451" s="92">
        <v>1.0011E-3</v>
      </c>
      <c r="E451" s="236">
        <v>1619845</v>
      </c>
      <c r="F451" s="236"/>
      <c r="G451" s="237">
        <v>93318</v>
      </c>
      <c r="H451" s="225">
        <v>393300</v>
      </c>
      <c r="I451" s="237">
        <v>231336</v>
      </c>
      <c r="J451" s="236">
        <v>77480</v>
      </c>
      <c r="K451" s="225">
        <f t="shared" si="12"/>
        <v>795434</v>
      </c>
      <c r="L451" s="236"/>
      <c r="M451" s="237">
        <v>45853</v>
      </c>
      <c r="N451" s="237">
        <v>0</v>
      </c>
      <c r="O451" s="236">
        <v>2182</v>
      </c>
      <c r="P451" s="225">
        <f t="shared" si="13"/>
        <v>48035</v>
      </c>
      <c r="Q451" s="236"/>
      <c r="R451" s="237">
        <v>545889</v>
      </c>
      <c r="S451" s="238">
        <v>21640</v>
      </c>
      <c r="T451" s="238">
        <v>567529</v>
      </c>
    </row>
    <row r="452" spans="1:20">
      <c r="A452" s="231">
        <v>94604</v>
      </c>
      <c r="B452" s="232" t="s">
        <v>1161</v>
      </c>
      <c r="C452" s="92">
        <v>2.62E-5</v>
      </c>
      <c r="D452" s="92">
        <v>2.65E-5</v>
      </c>
      <c r="E452" s="236">
        <v>40026</v>
      </c>
      <c r="F452" s="236"/>
      <c r="G452" s="237">
        <v>2306</v>
      </c>
      <c r="H452" s="225">
        <v>9718</v>
      </c>
      <c r="I452" s="237">
        <v>5716</v>
      </c>
      <c r="J452" s="236">
        <v>2471</v>
      </c>
      <c r="K452" s="225">
        <f t="shared" si="12"/>
        <v>20211</v>
      </c>
      <c r="L452" s="236"/>
      <c r="M452" s="237">
        <v>1133</v>
      </c>
      <c r="N452" s="237">
        <v>0</v>
      </c>
      <c r="O452" s="236">
        <v>26</v>
      </c>
      <c r="P452" s="225">
        <f t="shared" si="13"/>
        <v>1159</v>
      </c>
      <c r="Q452" s="236"/>
      <c r="R452" s="237">
        <v>13489</v>
      </c>
      <c r="S452" s="238">
        <v>697</v>
      </c>
      <c r="T452" s="238">
        <v>14186</v>
      </c>
    </row>
    <row r="453" spans="1:20">
      <c r="A453" s="231">
        <v>94606</v>
      </c>
      <c r="B453" s="232" t="s">
        <v>1162</v>
      </c>
      <c r="C453" s="92">
        <v>2.3550000000000001E-4</v>
      </c>
      <c r="D453" s="92">
        <v>2.6229999999999998E-4</v>
      </c>
      <c r="E453" s="236">
        <v>359779</v>
      </c>
      <c r="F453" s="236"/>
      <c r="G453" s="237">
        <v>20727</v>
      </c>
      <c r="H453" s="225">
        <v>87355</v>
      </c>
      <c r="I453" s="237">
        <v>51381</v>
      </c>
      <c r="J453" s="236">
        <v>0</v>
      </c>
      <c r="K453" s="225">
        <f t="shared" si="12"/>
        <v>159463</v>
      </c>
      <c r="L453" s="236"/>
      <c r="M453" s="237">
        <v>10184</v>
      </c>
      <c r="N453" s="237">
        <v>0</v>
      </c>
      <c r="O453" s="236">
        <v>51703</v>
      </c>
      <c r="P453" s="225">
        <f t="shared" si="13"/>
        <v>61887</v>
      </c>
      <c r="Q453" s="236"/>
      <c r="R453" s="237">
        <v>121246</v>
      </c>
      <c r="S453" s="238">
        <v>-24169</v>
      </c>
      <c r="T453" s="238">
        <v>97077</v>
      </c>
    </row>
    <row r="454" spans="1:20">
      <c r="A454" s="231">
        <v>94611</v>
      </c>
      <c r="B454" s="232" t="s">
        <v>1163</v>
      </c>
      <c r="C454" s="92">
        <v>3.6850000000000001E-4</v>
      </c>
      <c r="D454" s="92">
        <v>4.4450000000000002E-4</v>
      </c>
      <c r="E454" s="236">
        <v>562966</v>
      </c>
      <c r="F454" s="236"/>
      <c r="G454" s="237">
        <v>32432</v>
      </c>
      <c r="H454" s="225">
        <v>136689</v>
      </c>
      <c r="I454" s="237">
        <v>80399</v>
      </c>
      <c r="J454" s="236">
        <v>2567</v>
      </c>
      <c r="K454" s="225">
        <f t="shared" si="12"/>
        <v>252087</v>
      </c>
      <c r="L454" s="236"/>
      <c r="M454" s="237">
        <v>15936</v>
      </c>
      <c r="N454" s="237">
        <v>0</v>
      </c>
      <c r="O454" s="236">
        <v>35426</v>
      </c>
      <c r="P454" s="225">
        <f t="shared" si="13"/>
        <v>51362</v>
      </c>
      <c r="Q454" s="236"/>
      <c r="R454" s="237">
        <v>189720</v>
      </c>
      <c r="S454" s="238">
        <v>-9323</v>
      </c>
      <c r="T454" s="238">
        <v>180397</v>
      </c>
    </row>
    <row r="455" spans="1:20">
      <c r="A455" s="231">
        <v>94621</v>
      </c>
      <c r="B455" s="232" t="s">
        <v>1164</v>
      </c>
      <c r="C455" s="92">
        <v>9.7600000000000001E-5</v>
      </c>
      <c r="D455" s="92">
        <v>1.3119999999999999E-4</v>
      </c>
      <c r="E455" s="236">
        <v>149106</v>
      </c>
      <c r="F455" s="236"/>
      <c r="G455" s="237">
        <v>8590</v>
      </c>
      <c r="H455" s="225">
        <v>36203</v>
      </c>
      <c r="I455" s="237">
        <v>21294</v>
      </c>
      <c r="J455" s="236">
        <v>6585</v>
      </c>
      <c r="K455" s="225">
        <f t="shared" si="12"/>
        <v>72672</v>
      </c>
      <c r="L455" s="236"/>
      <c r="M455" s="237">
        <v>4221</v>
      </c>
      <c r="N455" s="237">
        <v>0</v>
      </c>
      <c r="O455" s="236">
        <v>18055</v>
      </c>
      <c r="P455" s="225">
        <f t="shared" si="13"/>
        <v>22276</v>
      </c>
      <c r="Q455" s="236"/>
      <c r="R455" s="237">
        <v>50249</v>
      </c>
      <c r="S455" s="238">
        <v>-1288</v>
      </c>
      <c r="T455" s="238">
        <v>48961</v>
      </c>
    </row>
    <row r="456" spans="1:20">
      <c r="A456" s="231">
        <v>94631</v>
      </c>
      <c r="B456" s="232" t="s">
        <v>1165</v>
      </c>
      <c r="C456" s="92">
        <v>3.9100000000000002E-5</v>
      </c>
      <c r="D456" s="92">
        <v>3.9799999999999998E-5</v>
      </c>
      <c r="E456" s="236">
        <v>59734</v>
      </c>
      <c r="F456" s="236"/>
      <c r="G456" s="237">
        <v>3441</v>
      </c>
      <c r="H456" s="225">
        <v>14504</v>
      </c>
      <c r="I456" s="237">
        <v>8531</v>
      </c>
      <c r="J456" s="236">
        <v>6569</v>
      </c>
      <c r="K456" s="225">
        <f t="shared" si="12"/>
        <v>33045</v>
      </c>
      <c r="L456" s="236"/>
      <c r="M456" s="237">
        <v>1691</v>
      </c>
      <c r="N456" s="237">
        <v>0</v>
      </c>
      <c r="O456" s="236">
        <v>0</v>
      </c>
      <c r="P456" s="225">
        <f t="shared" si="13"/>
        <v>1691</v>
      </c>
      <c r="Q456" s="236"/>
      <c r="R456" s="237">
        <v>20130</v>
      </c>
      <c r="S456" s="238">
        <v>2517</v>
      </c>
      <c r="T456" s="238">
        <v>22647</v>
      </c>
    </row>
    <row r="457" spans="1:20">
      <c r="A457" s="231">
        <v>94641</v>
      </c>
      <c r="B457" s="232" t="s">
        <v>1166</v>
      </c>
      <c r="C457" s="92">
        <v>3.8999999999999999E-6</v>
      </c>
      <c r="D457" s="92">
        <v>4.6999999999999999E-6</v>
      </c>
      <c r="E457" s="236">
        <v>5958</v>
      </c>
      <c r="F457" s="236"/>
      <c r="G457" s="237">
        <v>343</v>
      </c>
      <c r="H457" s="225">
        <v>1446</v>
      </c>
      <c r="I457" s="237">
        <v>851</v>
      </c>
      <c r="J457" s="236">
        <v>5156</v>
      </c>
      <c r="K457" s="225">
        <f t="shared" si="12"/>
        <v>7796</v>
      </c>
      <c r="L457" s="236"/>
      <c r="M457" s="237">
        <v>169</v>
      </c>
      <c r="N457" s="237">
        <v>0</v>
      </c>
      <c r="O457" s="236">
        <v>0</v>
      </c>
      <c r="P457" s="225">
        <f t="shared" si="13"/>
        <v>169</v>
      </c>
      <c r="Q457" s="236"/>
      <c r="R457" s="237">
        <v>2008</v>
      </c>
      <c r="S457" s="238">
        <v>2187</v>
      </c>
      <c r="T457" s="238">
        <v>4195</v>
      </c>
    </row>
    <row r="458" spans="1:20">
      <c r="A458" s="231">
        <v>94701</v>
      </c>
      <c r="B458" s="232" t="s">
        <v>1167</v>
      </c>
      <c r="C458" s="92">
        <v>2.5446000000000002E-3</v>
      </c>
      <c r="D458" s="92">
        <v>2.5636000000000001E-3</v>
      </c>
      <c r="E458" s="236">
        <v>3887444</v>
      </c>
      <c r="F458" s="236"/>
      <c r="G458" s="237">
        <v>223953</v>
      </c>
      <c r="H458" s="225">
        <v>943877</v>
      </c>
      <c r="I458" s="237">
        <v>555181</v>
      </c>
      <c r="J458" s="236">
        <v>45251</v>
      </c>
      <c r="K458" s="225">
        <f t="shared" ref="K458:K521" si="14">G458+H458+I458+J458</f>
        <v>1768262</v>
      </c>
      <c r="L458" s="236"/>
      <c r="M458" s="237">
        <v>110041</v>
      </c>
      <c r="N458" s="237">
        <v>0</v>
      </c>
      <c r="O458" s="236">
        <v>103182</v>
      </c>
      <c r="P458" s="225">
        <f t="shared" ref="P458:P521" si="15">M458+N458+O458</f>
        <v>213223</v>
      </c>
      <c r="Q458" s="236"/>
      <c r="R458" s="237">
        <v>1310072</v>
      </c>
      <c r="S458" s="238">
        <v>-2731</v>
      </c>
      <c r="T458" s="238">
        <v>1307341</v>
      </c>
    </row>
    <row r="459" spans="1:20">
      <c r="A459" s="231">
        <v>94704</v>
      </c>
      <c r="B459" s="232" t="s">
        <v>1168</v>
      </c>
      <c r="C459" s="92">
        <v>9.5000000000000005E-6</v>
      </c>
      <c r="D459" s="92">
        <v>1.04E-5</v>
      </c>
      <c r="E459" s="236">
        <v>14513</v>
      </c>
      <c r="F459" s="236"/>
      <c r="G459" s="237">
        <v>836</v>
      </c>
      <c r="H459" s="225">
        <v>3524</v>
      </c>
      <c r="I459" s="237">
        <v>2073</v>
      </c>
      <c r="J459" s="236">
        <v>77</v>
      </c>
      <c r="K459" s="225">
        <f t="shared" si="14"/>
        <v>6510</v>
      </c>
      <c r="L459" s="236"/>
      <c r="M459" s="237">
        <v>411</v>
      </c>
      <c r="N459" s="237">
        <v>0</v>
      </c>
      <c r="O459" s="236">
        <v>100</v>
      </c>
      <c r="P459" s="225">
        <f t="shared" si="15"/>
        <v>511</v>
      </c>
      <c r="Q459" s="236"/>
      <c r="R459" s="237">
        <v>4891</v>
      </c>
      <c r="S459" s="238">
        <v>38</v>
      </c>
      <c r="T459" s="238">
        <v>4929</v>
      </c>
    </row>
    <row r="460" spans="1:20">
      <c r="A460" s="231">
        <v>94711</v>
      </c>
      <c r="B460" s="232" t="s">
        <v>1169</v>
      </c>
      <c r="C460" s="92">
        <v>3.3599999999999998E-4</v>
      </c>
      <c r="D460" s="92">
        <v>3.5110000000000002E-4</v>
      </c>
      <c r="E460" s="236">
        <v>513315</v>
      </c>
      <c r="F460" s="236"/>
      <c r="G460" s="237">
        <v>29572</v>
      </c>
      <c r="H460" s="225">
        <v>124633</v>
      </c>
      <c r="I460" s="237">
        <v>73308</v>
      </c>
      <c r="J460" s="236">
        <v>9113</v>
      </c>
      <c r="K460" s="225">
        <f t="shared" si="14"/>
        <v>236626</v>
      </c>
      <c r="L460" s="236"/>
      <c r="M460" s="237">
        <v>14530</v>
      </c>
      <c r="N460" s="237">
        <v>0</v>
      </c>
      <c r="O460" s="236">
        <v>6693</v>
      </c>
      <c r="P460" s="225">
        <f t="shared" si="15"/>
        <v>21223</v>
      </c>
      <c r="Q460" s="236"/>
      <c r="R460" s="237">
        <v>172988</v>
      </c>
      <c r="S460" s="238">
        <v>1163</v>
      </c>
      <c r="T460" s="238">
        <v>174151</v>
      </c>
    </row>
    <row r="461" spans="1:20">
      <c r="A461" s="231">
        <v>94801</v>
      </c>
      <c r="B461" s="232" t="s">
        <v>1170</v>
      </c>
      <c r="C461" s="92">
        <v>7.2440000000000004E-4</v>
      </c>
      <c r="D461" s="92">
        <v>7.6539999999999996E-4</v>
      </c>
      <c r="E461" s="236">
        <v>1106683</v>
      </c>
      <c r="F461" s="236"/>
      <c r="G461" s="237">
        <v>63755</v>
      </c>
      <c r="H461" s="225">
        <v>268704</v>
      </c>
      <c r="I461" s="237">
        <v>158050</v>
      </c>
      <c r="J461" s="236">
        <v>40380</v>
      </c>
      <c r="K461" s="225">
        <f t="shared" si="14"/>
        <v>530889</v>
      </c>
      <c r="L461" s="236"/>
      <c r="M461" s="237">
        <v>31327</v>
      </c>
      <c r="N461" s="237">
        <v>0</v>
      </c>
      <c r="O461" s="236">
        <v>19605</v>
      </c>
      <c r="P461" s="225">
        <f t="shared" si="15"/>
        <v>50932</v>
      </c>
      <c r="Q461" s="236"/>
      <c r="R461" s="237">
        <v>372953</v>
      </c>
      <c r="S461" s="238">
        <v>17711</v>
      </c>
      <c r="T461" s="238">
        <v>390664</v>
      </c>
    </row>
    <row r="462" spans="1:20">
      <c r="A462" s="231">
        <v>94804</v>
      </c>
      <c r="B462" s="232" t="s">
        <v>1171</v>
      </c>
      <c r="C462" s="92">
        <v>3.8E-6</v>
      </c>
      <c r="D462" s="92">
        <v>3.8E-6</v>
      </c>
      <c r="E462" s="236">
        <v>5805</v>
      </c>
      <c r="F462" s="236"/>
      <c r="G462" s="237">
        <v>334</v>
      </c>
      <c r="H462" s="225">
        <v>1409</v>
      </c>
      <c r="I462" s="237">
        <v>829</v>
      </c>
      <c r="J462" s="236">
        <v>2556</v>
      </c>
      <c r="K462" s="225">
        <f t="shared" si="14"/>
        <v>5128</v>
      </c>
      <c r="L462" s="236"/>
      <c r="M462" s="237">
        <v>164</v>
      </c>
      <c r="N462" s="237">
        <v>0</v>
      </c>
      <c r="O462" s="236">
        <v>218</v>
      </c>
      <c r="P462" s="225">
        <f t="shared" si="15"/>
        <v>382</v>
      </c>
      <c r="Q462" s="236"/>
      <c r="R462" s="237">
        <v>1956</v>
      </c>
      <c r="S462" s="238">
        <v>1879</v>
      </c>
      <c r="T462" s="238">
        <v>3835</v>
      </c>
    </row>
    <row r="463" spans="1:20">
      <c r="A463" s="231">
        <v>94812</v>
      </c>
      <c r="B463" s="232" t="s">
        <v>1172</v>
      </c>
      <c r="C463" s="92">
        <v>3.3000000000000003E-5</v>
      </c>
      <c r="D463" s="92">
        <v>3.3500000000000001E-5</v>
      </c>
      <c r="E463" s="236">
        <v>50415</v>
      </c>
      <c r="F463" s="236"/>
      <c r="G463" s="237">
        <v>2904</v>
      </c>
      <c r="H463" s="225">
        <v>12241</v>
      </c>
      <c r="I463" s="237">
        <v>7200</v>
      </c>
      <c r="J463" s="236">
        <v>10442</v>
      </c>
      <c r="K463" s="225">
        <f t="shared" si="14"/>
        <v>32787</v>
      </c>
      <c r="L463" s="236"/>
      <c r="M463" s="237">
        <v>1427</v>
      </c>
      <c r="N463" s="237">
        <v>0</v>
      </c>
      <c r="O463" s="236">
        <v>0</v>
      </c>
      <c r="P463" s="225">
        <f t="shared" si="15"/>
        <v>1427</v>
      </c>
      <c r="Q463" s="236"/>
      <c r="R463" s="237">
        <v>16990</v>
      </c>
      <c r="S463" s="238">
        <v>4040</v>
      </c>
      <c r="T463" s="238">
        <v>21030</v>
      </c>
    </row>
    <row r="464" spans="1:20">
      <c r="A464" s="231">
        <v>94901</v>
      </c>
      <c r="B464" s="232" t="s">
        <v>1173</v>
      </c>
      <c r="C464" s="92">
        <v>6.7841999999999998E-3</v>
      </c>
      <c r="D464" s="92">
        <v>7.0014999999999999E-3</v>
      </c>
      <c r="E464" s="236">
        <v>10364378</v>
      </c>
      <c r="F464" s="236"/>
      <c r="G464" s="237">
        <v>597084</v>
      </c>
      <c r="H464" s="225">
        <v>2516484</v>
      </c>
      <c r="I464" s="237">
        <v>1480177</v>
      </c>
      <c r="J464" s="236">
        <v>16760</v>
      </c>
      <c r="K464" s="225">
        <f t="shared" si="14"/>
        <v>4610505</v>
      </c>
      <c r="L464" s="236"/>
      <c r="M464" s="237">
        <v>293383</v>
      </c>
      <c r="N464" s="237">
        <v>0</v>
      </c>
      <c r="O464" s="236">
        <v>129476</v>
      </c>
      <c r="P464" s="225">
        <f t="shared" si="15"/>
        <v>422859</v>
      </c>
      <c r="Q464" s="236"/>
      <c r="R464" s="237">
        <v>3492805</v>
      </c>
      <c r="S464" s="238">
        <v>-36324</v>
      </c>
      <c r="T464" s="238">
        <v>3456481</v>
      </c>
    </row>
    <row r="465" spans="1:20">
      <c r="A465" s="231">
        <v>94908</v>
      </c>
      <c r="B465" s="232" t="s">
        <v>1174</v>
      </c>
      <c r="C465" s="92">
        <v>7.7000000000000008E-6</v>
      </c>
      <c r="D465" s="92">
        <v>3.9799999999999998E-5</v>
      </c>
      <c r="E465" s="236">
        <v>11763</v>
      </c>
      <c r="F465" s="236"/>
      <c r="G465" s="237">
        <v>678</v>
      </c>
      <c r="H465" s="225">
        <v>2857</v>
      </c>
      <c r="I465" s="237">
        <v>1680</v>
      </c>
      <c r="J465" s="236">
        <v>0</v>
      </c>
      <c r="K465" s="225">
        <f t="shared" si="14"/>
        <v>5215</v>
      </c>
      <c r="L465" s="236"/>
      <c r="M465" s="237">
        <v>333</v>
      </c>
      <c r="N465" s="237">
        <v>0</v>
      </c>
      <c r="O465" s="236">
        <v>21664</v>
      </c>
      <c r="P465" s="225">
        <f t="shared" si="15"/>
        <v>21997</v>
      </c>
      <c r="Q465" s="236"/>
      <c r="R465" s="237">
        <v>3964</v>
      </c>
      <c r="S465" s="238">
        <v>-6783</v>
      </c>
      <c r="T465" s="238">
        <v>-2819</v>
      </c>
    </row>
    <row r="466" spans="1:20">
      <c r="A466" s="231">
        <v>94911</v>
      </c>
      <c r="B466" s="232" t="s">
        <v>1175</v>
      </c>
      <c r="C466" s="92">
        <v>2.8311E-3</v>
      </c>
      <c r="D466" s="92">
        <v>2.7745999999999999E-3</v>
      </c>
      <c r="E466" s="236">
        <v>4325137</v>
      </c>
      <c r="F466" s="236"/>
      <c r="G466" s="237">
        <v>249168</v>
      </c>
      <c r="H466" s="225">
        <v>1050149</v>
      </c>
      <c r="I466" s="237">
        <v>617689</v>
      </c>
      <c r="J466" s="236">
        <v>39747</v>
      </c>
      <c r="K466" s="225">
        <f t="shared" si="14"/>
        <v>1956753</v>
      </c>
      <c r="L466" s="236"/>
      <c r="M466" s="237">
        <v>122431</v>
      </c>
      <c r="N466" s="237">
        <v>0</v>
      </c>
      <c r="O466" s="236">
        <v>40147</v>
      </c>
      <c r="P466" s="225">
        <f t="shared" si="15"/>
        <v>162578</v>
      </c>
      <c r="Q466" s="236"/>
      <c r="R466" s="237">
        <v>1457575</v>
      </c>
      <c r="S466" s="238">
        <v>-7457</v>
      </c>
      <c r="T466" s="238">
        <v>1450118</v>
      </c>
    </row>
    <row r="467" spans="1:20">
      <c r="A467" s="231">
        <v>94917</v>
      </c>
      <c r="B467" s="232" t="s">
        <v>1176</v>
      </c>
      <c r="C467" s="92">
        <v>3.5099999999999999E-5</v>
      </c>
      <c r="D467" s="92">
        <v>3.7400000000000001E-5</v>
      </c>
      <c r="E467" s="236">
        <v>53623</v>
      </c>
      <c r="F467" s="236"/>
      <c r="G467" s="237">
        <v>3089</v>
      </c>
      <c r="H467" s="225">
        <v>13020</v>
      </c>
      <c r="I467" s="237">
        <v>7658</v>
      </c>
      <c r="J467" s="236">
        <v>16574</v>
      </c>
      <c r="K467" s="225">
        <f t="shared" si="14"/>
        <v>40341</v>
      </c>
      <c r="L467" s="236"/>
      <c r="M467" s="237">
        <v>1518</v>
      </c>
      <c r="N467" s="237">
        <v>0</v>
      </c>
      <c r="O467" s="236">
        <v>0</v>
      </c>
      <c r="P467" s="225">
        <f t="shared" si="15"/>
        <v>1518</v>
      </c>
      <c r="Q467" s="236"/>
      <c r="R467" s="237">
        <v>18071</v>
      </c>
      <c r="S467" s="238">
        <v>7114</v>
      </c>
      <c r="T467" s="238">
        <v>25185</v>
      </c>
    </row>
    <row r="468" spans="1:20">
      <c r="A468" s="231">
        <v>94921</v>
      </c>
      <c r="B468" s="232" t="s">
        <v>1177</v>
      </c>
      <c r="C468" s="92">
        <v>3.9515000000000002E-3</v>
      </c>
      <c r="D468" s="92">
        <v>3.7063E-3</v>
      </c>
      <c r="E468" s="236">
        <v>6036797</v>
      </c>
      <c r="F468" s="236"/>
      <c r="G468" s="237">
        <v>347775</v>
      </c>
      <c r="H468" s="225">
        <v>1465741</v>
      </c>
      <c r="I468" s="237">
        <v>862138</v>
      </c>
      <c r="J468" s="236">
        <v>19200</v>
      </c>
      <c r="K468" s="225">
        <f t="shared" si="14"/>
        <v>2694854</v>
      </c>
      <c r="L468" s="236"/>
      <c r="M468" s="237">
        <v>170883</v>
      </c>
      <c r="N468" s="237">
        <v>0</v>
      </c>
      <c r="O468" s="236">
        <v>350239</v>
      </c>
      <c r="P468" s="225">
        <f t="shared" si="15"/>
        <v>521122</v>
      </c>
      <c r="Q468" s="236"/>
      <c r="R468" s="237">
        <v>2034406</v>
      </c>
      <c r="S468" s="238">
        <v>-150626</v>
      </c>
      <c r="T468" s="238">
        <v>1883780</v>
      </c>
    </row>
    <row r="469" spans="1:20">
      <c r="A469" s="231">
        <v>94923</v>
      </c>
      <c r="B469" s="232" t="s">
        <v>1178</v>
      </c>
      <c r="C469" s="92">
        <v>3.0700000000000001E-5</v>
      </c>
      <c r="D469" s="92">
        <v>2.4499999999999999E-5</v>
      </c>
      <c r="E469" s="236">
        <v>46901</v>
      </c>
      <c r="F469" s="236"/>
      <c r="G469" s="237">
        <v>2702</v>
      </c>
      <c r="H469" s="225">
        <v>11387</v>
      </c>
      <c r="I469" s="237">
        <v>6698</v>
      </c>
      <c r="J469" s="236">
        <v>5727</v>
      </c>
      <c r="K469" s="225">
        <f t="shared" si="14"/>
        <v>26514</v>
      </c>
      <c r="L469" s="236"/>
      <c r="M469" s="237">
        <v>1328</v>
      </c>
      <c r="N469" s="237">
        <v>0</v>
      </c>
      <c r="O469" s="236">
        <v>86</v>
      </c>
      <c r="P469" s="225">
        <f t="shared" si="15"/>
        <v>1414</v>
      </c>
      <c r="Q469" s="236"/>
      <c r="R469" s="237">
        <v>15806</v>
      </c>
      <c r="S469" s="238">
        <v>1556</v>
      </c>
      <c r="T469" s="238">
        <v>17362</v>
      </c>
    </row>
    <row r="470" spans="1:20">
      <c r="A470" s="231">
        <v>94927</v>
      </c>
      <c r="B470" s="232" t="s">
        <v>1179</v>
      </c>
      <c r="C470" s="92">
        <v>3.0599999999999998E-5</v>
      </c>
      <c r="D470" s="92">
        <v>3.3899999999999997E-5</v>
      </c>
      <c r="E470" s="236">
        <v>46748</v>
      </c>
      <c r="F470" s="236"/>
      <c r="G470" s="237">
        <v>2693</v>
      </c>
      <c r="H470" s="225">
        <v>11350</v>
      </c>
      <c r="I470" s="237">
        <v>6676</v>
      </c>
      <c r="J470" s="236">
        <v>2683</v>
      </c>
      <c r="K470" s="225">
        <f t="shared" si="14"/>
        <v>23402</v>
      </c>
      <c r="L470" s="236"/>
      <c r="M470" s="237">
        <v>1323</v>
      </c>
      <c r="N470" s="237">
        <v>0</v>
      </c>
      <c r="O470" s="236">
        <v>26</v>
      </c>
      <c r="P470" s="225">
        <f t="shared" si="15"/>
        <v>1349</v>
      </c>
      <c r="Q470" s="236"/>
      <c r="R470" s="237">
        <v>15754</v>
      </c>
      <c r="S470" s="238">
        <v>911</v>
      </c>
      <c r="T470" s="238">
        <v>16665</v>
      </c>
    </row>
    <row r="471" spans="1:20">
      <c r="A471" s="231">
        <v>94931</v>
      </c>
      <c r="B471" s="232" t="s">
        <v>1180</v>
      </c>
      <c r="C471" s="92">
        <v>2.163E-4</v>
      </c>
      <c r="D471" s="92">
        <v>2.1130000000000001E-4</v>
      </c>
      <c r="E471" s="236">
        <v>330446</v>
      </c>
      <c r="F471" s="236"/>
      <c r="G471" s="237">
        <v>19037</v>
      </c>
      <c r="H471" s="225">
        <v>80233</v>
      </c>
      <c r="I471" s="237">
        <v>47192</v>
      </c>
      <c r="J471" s="236">
        <v>954</v>
      </c>
      <c r="K471" s="225">
        <f t="shared" si="14"/>
        <v>147416</v>
      </c>
      <c r="L471" s="236"/>
      <c r="M471" s="237">
        <v>9354</v>
      </c>
      <c r="N471" s="237">
        <v>0</v>
      </c>
      <c r="O471" s="236">
        <v>15740</v>
      </c>
      <c r="P471" s="225">
        <f t="shared" si="15"/>
        <v>25094</v>
      </c>
      <c r="Q471" s="236"/>
      <c r="R471" s="237">
        <v>111361</v>
      </c>
      <c r="S471" s="238">
        <v>-7901</v>
      </c>
      <c r="T471" s="238">
        <v>103460</v>
      </c>
    </row>
    <row r="472" spans="1:20">
      <c r="A472" s="231">
        <v>94941</v>
      </c>
      <c r="B472" s="232" t="s">
        <v>1181</v>
      </c>
      <c r="C472" s="92">
        <v>5.7879999999999997E-4</v>
      </c>
      <c r="D472" s="92">
        <v>5.2959999999999997E-4</v>
      </c>
      <c r="E472" s="236">
        <v>884246</v>
      </c>
      <c r="F472" s="236"/>
      <c r="G472" s="237">
        <v>50941</v>
      </c>
      <c r="H472" s="225">
        <v>214696</v>
      </c>
      <c r="I472" s="237">
        <v>126283</v>
      </c>
      <c r="J472" s="236">
        <v>68775</v>
      </c>
      <c r="K472" s="225">
        <f t="shared" si="14"/>
        <v>460695</v>
      </c>
      <c r="L472" s="236"/>
      <c r="M472" s="237">
        <v>25030</v>
      </c>
      <c r="N472" s="237">
        <v>0</v>
      </c>
      <c r="O472" s="236">
        <v>0</v>
      </c>
      <c r="P472" s="225">
        <f t="shared" si="15"/>
        <v>25030</v>
      </c>
      <c r="Q472" s="236"/>
      <c r="R472" s="237">
        <v>297992</v>
      </c>
      <c r="S472" s="238">
        <v>46151</v>
      </c>
      <c r="T472" s="238">
        <v>344143</v>
      </c>
    </row>
    <row r="473" spans="1:20">
      <c r="A473" s="231">
        <v>95001</v>
      </c>
      <c r="B473" s="232" t="s">
        <v>1182</v>
      </c>
      <c r="C473" s="92">
        <v>2.4867000000000001E-3</v>
      </c>
      <c r="D473" s="92">
        <v>2.3779000000000001E-3</v>
      </c>
      <c r="E473" s="236">
        <v>3798989</v>
      </c>
      <c r="F473" s="236"/>
      <c r="G473" s="237">
        <v>218857</v>
      </c>
      <c r="H473" s="225">
        <v>922399</v>
      </c>
      <c r="I473" s="237">
        <v>542548</v>
      </c>
      <c r="J473" s="236">
        <v>176888</v>
      </c>
      <c r="K473" s="225">
        <f t="shared" si="14"/>
        <v>1860692</v>
      </c>
      <c r="L473" s="236"/>
      <c r="M473" s="237">
        <v>107537</v>
      </c>
      <c r="N473" s="237">
        <v>0</v>
      </c>
      <c r="O473" s="236">
        <v>3991</v>
      </c>
      <c r="P473" s="225">
        <f t="shared" si="15"/>
        <v>111528</v>
      </c>
      <c r="Q473" s="236"/>
      <c r="R473" s="237">
        <v>1280263</v>
      </c>
      <c r="S473" s="238">
        <v>51652</v>
      </c>
      <c r="T473" s="238">
        <v>1331915</v>
      </c>
    </row>
    <row r="474" spans="1:20">
      <c r="A474" s="231">
        <v>95002</v>
      </c>
      <c r="B474" s="232" t="s">
        <v>1183</v>
      </c>
      <c r="C474" s="92">
        <v>1.907E-4</v>
      </c>
      <c r="D474" s="92">
        <v>2.0120000000000001E-4</v>
      </c>
      <c r="E474" s="236">
        <v>291337</v>
      </c>
      <c r="F474" s="236"/>
      <c r="G474" s="237">
        <v>16784</v>
      </c>
      <c r="H474" s="225">
        <v>70737</v>
      </c>
      <c r="I474" s="237">
        <v>41607</v>
      </c>
      <c r="J474" s="236">
        <v>15647</v>
      </c>
      <c r="K474" s="225">
        <f t="shared" si="14"/>
        <v>144775</v>
      </c>
      <c r="L474" s="236"/>
      <c r="M474" s="237">
        <v>8247</v>
      </c>
      <c r="N474" s="237">
        <v>0</v>
      </c>
      <c r="O474" s="236">
        <v>0</v>
      </c>
      <c r="P474" s="225">
        <f t="shared" si="15"/>
        <v>8247</v>
      </c>
      <c r="Q474" s="236"/>
      <c r="R474" s="237">
        <v>98181</v>
      </c>
      <c r="S474" s="238">
        <v>6293</v>
      </c>
      <c r="T474" s="238">
        <v>104474</v>
      </c>
    </row>
    <row r="475" spans="1:20">
      <c r="A475" s="231">
        <v>95005</v>
      </c>
      <c r="B475" s="232" t="s">
        <v>1184</v>
      </c>
      <c r="C475" s="92">
        <v>2.2949999999999999E-4</v>
      </c>
      <c r="D475" s="92">
        <v>2.3829999999999999E-4</v>
      </c>
      <c r="E475" s="236">
        <v>350612</v>
      </c>
      <c r="F475" s="236"/>
      <c r="G475" s="237">
        <v>20199</v>
      </c>
      <c r="H475" s="225">
        <v>85129</v>
      </c>
      <c r="I475" s="237">
        <v>50072</v>
      </c>
      <c r="J475" s="236">
        <v>13727</v>
      </c>
      <c r="K475" s="225">
        <f t="shared" si="14"/>
        <v>169127</v>
      </c>
      <c r="L475" s="236"/>
      <c r="M475" s="237">
        <v>9925</v>
      </c>
      <c r="N475" s="237">
        <v>0</v>
      </c>
      <c r="O475" s="236">
        <v>1630</v>
      </c>
      <c r="P475" s="225">
        <f t="shared" si="15"/>
        <v>11555</v>
      </c>
      <c r="Q475" s="236"/>
      <c r="R475" s="237">
        <v>118157</v>
      </c>
      <c r="S475" s="238">
        <v>9042</v>
      </c>
      <c r="T475" s="238">
        <v>127199</v>
      </c>
    </row>
    <row r="476" spans="1:20">
      <c r="A476" s="231">
        <v>95008</v>
      </c>
      <c r="B476" s="232" t="s">
        <v>1185</v>
      </c>
      <c r="C476" s="92">
        <v>1.1519999999999999E-4</v>
      </c>
      <c r="D476" s="92">
        <v>1.169E-4</v>
      </c>
      <c r="E476" s="236">
        <v>175994</v>
      </c>
      <c r="F476" s="236"/>
      <c r="G476" s="237">
        <v>10139</v>
      </c>
      <c r="H476" s="225">
        <v>42731</v>
      </c>
      <c r="I476" s="237">
        <v>25134</v>
      </c>
      <c r="J476" s="236">
        <v>19189</v>
      </c>
      <c r="K476" s="225">
        <f t="shared" si="14"/>
        <v>97193</v>
      </c>
      <c r="L476" s="236"/>
      <c r="M476" s="237">
        <v>4982</v>
      </c>
      <c r="N476" s="237">
        <v>0</v>
      </c>
      <c r="O476" s="236">
        <v>6239</v>
      </c>
      <c r="P476" s="225">
        <f t="shared" si="15"/>
        <v>11221</v>
      </c>
      <c r="Q476" s="236"/>
      <c r="R476" s="237">
        <v>59310</v>
      </c>
      <c r="S476" s="238">
        <v>9098</v>
      </c>
      <c r="T476" s="238">
        <v>68408</v>
      </c>
    </row>
    <row r="477" spans="1:20">
      <c r="A477" s="231">
        <v>95009</v>
      </c>
      <c r="B477" s="232" t="s">
        <v>1186</v>
      </c>
      <c r="C477" s="92">
        <v>4.2208999999999997E-3</v>
      </c>
      <c r="D477" s="92">
        <v>3.9902000000000002E-3</v>
      </c>
      <c r="E477" s="236">
        <v>6448366</v>
      </c>
      <c r="F477" s="236"/>
      <c r="G477" s="237">
        <v>371486</v>
      </c>
      <c r="H477" s="225">
        <v>1565671</v>
      </c>
      <c r="I477" s="237">
        <v>920916</v>
      </c>
      <c r="J477" s="236">
        <v>897451</v>
      </c>
      <c r="K477" s="225">
        <f t="shared" si="14"/>
        <v>3755524</v>
      </c>
      <c r="L477" s="236"/>
      <c r="M477" s="237">
        <v>182533</v>
      </c>
      <c r="N477" s="237">
        <v>0</v>
      </c>
      <c r="O477" s="236">
        <v>0</v>
      </c>
      <c r="P477" s="225">
        <f t="shared" si="15"/>
        <v>182533</v>
      </c>
      <c r="Q477" s="236"/>
      <c r="R477" s="237">
        <v>2173105</v>
      </c>
      <c r="S477" s="238">
        <v>582135</v>
      </c>
      <c r="T477" s="238">
        <v>2755240</v>
      </c>
    </row>
    <row r="478" spans="1:20">
      <c r="A478" s="231">
        <v>95011</v>
      </c>
      <c r="B478" s="232" t="s">
        <v>1187</v>
      </c>
      <c r="C478" s="92">
        <v>1.8000000000000001E-4</v>
      </c>
      <c r="D478" s="92">
        <v>1.707E-4</v>
      </c>
      <c r="E478" s="236">
        <v>274990</v>
      </c>
      <c r="F478" s="236"/>
      <c r="G478" s="237">
        <v>15842</v>
      </c>
      <c r="H478" s="225">
        <v>66768</v>
      </c>
      <c r="I478" s="237">
        <v>39272</v>
      </c>
      <c r="J478" s="236">
        <v>3275</v>
      </c>
      <c r="K478" s="225">
        <f t="shared" si="14"/>
        <v>125157</v>
      </c>
      <c r="L478" s="236"/>
      <c r="M478" s="237">
        <v>7784</v>
      </c>
      <c r="N478" s="237">
        <v>0</v>
      </c>
      <c r="O478" s="236">
        <v>8909</v>
      </c>
      <c r="P478" s="225">
        <f t="shared" si="15"/>
        <v>16693</v>
      </c>
      <c r="Q478" s="236"/>
      <c r="R478" s="237">
        <v>92672</v>
      </c>
      <c r="S478" s="238">
        <v>-3840</v>
      </c>
      <c r="T478" s="238">
        <v>88832</v>
      </c>
    </row>
    <row r="479" spans="1:20">
      <c r="A479" s="231">
        <v>95017</v>
      </c>
      <c r="B479" s="232" t="s">
        <v>1188</v>
      </c>
      <c r="C479" s="92">
        <v>3.8800000000000001E-5</v>
      </c>
      <c r="D479" s="92">
        <v>3.5800000000000003E-5</v>
      </c>
      <c r="E479" s="236">
        <v>59276</v>
      </c>
      <c r="F479" s="236"/>
      <c r="G479" s="237">
        <v>3415</v>
      </c>
      <c r="H479" s="225">
        <v>14392</v>
      </c>
      <c r="I479" s="237">
        <v>8465</v>
      </c>
      <c r="J479" s="236">
        <v>13339</v>
      </c>
      <c r="K479" s="225">
        <f t="shared" si="14"/>
        <v>39611</v>
      </c>
      <c r="L479" s="236"/>
      <c r="M479" s="237">
        <v>1678</v>
      </c>
      <c r="N479" s="237">
        <v>0</v>
      </c>
      <c r="O479" s="236">
        <v>0</v>
      </c>
      <c r="P479" s="225">
        <f t="shared" si="15"/>
        <v>1678</v>
      </c>
      <c r="Q479" s="236"/>
      <c r="R479" s="237">
        <v>19976</v>
      </c>
      <c r="S479" s="238">
        <v>7635</v>
      </c>
      <c r="T479" s="238">
        <v>27611</v>
      </c>
    </row>
    <row r="480" spans="1:20">
      <c r="A480" s="231">
        <v>95101</v>
      </c>
      <c r="B480" s="232" t="s">
        <v>1189</v>
      </c>
      <c r="C480" s="92">
        <v>8.3750999999999999E-3</v>
      </c>
      <c r="D480" s="92">
        <v>8.0955999999999997E-3</v>
      </c>
      <c r="E480" s="236">
        <v>12794833</v>
      </c>
      <c r="F480" s="236"/>
      <c r="G480" s="237">
        <v>737101</v>
      </c>
      <c r="H480" s="225">
        <v>3106601</v>
      </c>
      <c r="I480" s="237">
        <v>1827279</v>
      </c>
      <c r="J480" s="236">
        <v>39562</v>
      </c>
      <c r="K480" s="225">
        <f t="shared" si="14"/>
        <v>5710543</v>
      </c>
      <c r="L480" s="236"/>
      <c r="M480" s="237">
        <v>362181</v>
      </c>
      <c r="N480" s="237">
        <v>0</v>
      </c>
      <c r="O480" s="236">
        <v>114122</v>
      </c>
      <c r="P480" s="225">
        <f t="shared" si="15"/>
        <v>476303</v>
      </c>
      <c r="Q480" s="236"/>
      <c r="R480" s="237">
        <v>4311870</v>
      </c>
      <c r="S480" s="238">
        <v>1978</v>
      </c>
      <c r="T480" s="238">
        <v>4313848</v>
      </c>
    </row>
    <row r="481" spans="1:20">
      <c r="A481" s="231">
        <v>95103</v>
      </c>
      <c r="B481" s="232" t="s">
        <v>1190</v>
      </c>
      <c r="C481" s="92">
        <v>4.9100000000000001E-5</v>
      </c>
      <c r="D481" s="92">
        <v>6.02E-5</v>
      </c>
      <c r="E481" s="236">
        <v>75011</v>
      </c>
      <c r="F481" s="236"/>
      <c r="G481" s="237">
        <v>4321</v>
      </c>
      <c r="H481" s="225">
        <v>18213</v>
      </c>
      <c r="I481" s="237">
        <v>10713</v>
      </c>
      <c r="J481" s="236">
        <v>24203</v>
      </c>
      <c r="K481" s="225">
        <f t="shared" si="14"/>
        <v>57450</v>
      </c>
      <c r="L481" s="236"/>
      <c r="M481" s="237">
        <v>2123</v>
      </c>
      <c r="N481" s="237">
        <v>0</v>
      </c>
      <c r="O481" s="236">
        <v>0</v>
      </c>
      <c r="P481" s="225">
        <f t="shared" si="15"/>
        <v>2123</v>
      </c>
      <c r="Q481" s="236"/>
      <c r="R481" s="237">
        <v>25279</v>
      </c>
      <c r="S481" s="238">
        <v>18053</v>
      </c>
      <c r="T481" s="238">
        <v>43332</v>
      </c>
    </row>
    <row r="482" spans="1:20">
      <c r="A482" s="231">
        <v>95104</v>
      </c>
      <c r="B482" s="232" t="s">
        <v>1191</v>
      </c>
      <c r="C482" s="92">
        <v>1.02E-4</v>
      </c>
      <c r="D482" s="92">
        <v>1.011E-4</v>
      </c>
      <c r="E482" s="236">
        <v>155828</v>
      </c>
      <c r="F482" s="236"/>
      <c r="G482" s="237">
        <v>8977</v>
      </c>
      <c r="H482" s="225">
        <v>37835</v>
      </c>
      <c r="I482" s="237">
        <v>22254</v>
      </c>
      <c r="J482" s="236">
        <v>19729</v>
      </c>
      <c r="K482" s="225">
        <f t="shared" si="14"/>
        <v>88795</v>
      </c>
      <c r="L482" s="236"/>
      <c r="M482" s="237">
        <v>4411</v>
      </c>
      <c r="N482" s="237">
        <v>0</v>
      </c>
      <c r="O482" s="236">
        <v>0</v>
      </c>
      <c r="P482" s="225">
        <f t="shared" si="15"/>
        <v>4411</v>
      </c>
      <c r="Q482" s="236"/>
      <c r="R482" s="237">
        <v>52514</v>
      </c>
      <c r="S482" s="238">
        <v>8399</v>
      </c>
      <c r="T482" s="238">
        <v>60913</v>
      </c>
    </row>
    <row r="483" spans="1:20">
      <c r="A483" s="231">
        <v>95105</v>
      </c>
      <c r="B483" s="232" t="s">
        <v>1192</v>
      </c>
      <c r="C483" s="92">
        <v>6.1099999999999994E-5</v>
      </c>
      <c r="D483" s="92">
        <v>6.3700000000000003E-5</v>
      </c>
      <c r="E483" s="236">
        <v>93344</v>
      </c>
      <c r="F483" s="236"/>
      <c r="G483" s="237">
        <v>5377</v>
      </c>
      <c r="H483" s="225">
        <v>22664</v>
      </c>
      <c r="I483" s="237">
        <v>13331</v>
      </c>
      <c r="J483" s="236">
        <v>8129</v>
      </c>
      <c r="K483" s="225">
        <f t="shared" si="14"/>
        <v>49501</v>
      </c>
      <c r="L483" s="236"/>
      <c r="M483" s="237">
        <v>2642</v>
      </c>
      <c r="N483" s="237">
        <v>0</v>
      </c>
      <c r="O483" s="236">
        <v>0</v>
      </c>
      <c r="P483" s="225">
        <f t="shared" si="15"/>
        <v>2642</v>
      </c>
      <c r="Q483" s="236"/>
      <c r="R483" s="237">
        <v>31457</v>
      </c>
      <c r="S483" s="238">
        <v>4018</v>
      </c>
      <c r="T483" s="238">
        <v>35475</v>
      </c>
    </row>
    <row r="484" spans="1:20">
      <c r="A484" s="231">
        <v>95106</v>
      </c>
      <c r="B484" s="232" t="s">
        <v>1193</v>
      </c>
      <c r="C484" s="92">
        <v>1.2099999999999999E-5</v>
      </c>
      <c r="D484" s="92">
        <v>1.3900000000000001E-5</v>
      </c>
      <c r="E484" s="236">
        <v>18485</v>
      </c>
      <c r="F484" s="236"/>
      <c r="G484" s="237">
        <v>1065</v>
      </c>
      <c r="H484" s="225">
        <v>4488</v>
      </c>
      <c r="I484" s="237">
        <v>2640</v>
      </c>
      <c r="J484" s="236">
        <v>4918</v>
      </c>
      <c r="K484" s="225">
        <f t="shared" si="14"/>
        <v>13111</v>
      </c>
      <c r="L484" s="236"/>
      <c r="M484" s="237">
        <v>523</v>
      </c>
      <c r="N484" s="237">
        <v>0</v>
      </c>
      <c r="O484" s="236">
        <v>1433</v>
      </c>
      <c r="P484" s="225">
        <f t="shared" si="15"/>
        <v>1956</v>
      </c>
      <c r="Q484" s="236"/>
      <c r="R484" s="237">
        <v>6230</v>
      </c>
      <c r="S484" s="238">
        <v>2234</v>
      </c>
      <c r="T484" s="238">
        <v>8464</v>
      </c>
    </row>
    <row r="485" spans="1:20">
      <c r="A485" s="231">
        <v>95110</v>
      </c>
      <c r="B485" s="232" t="s">
        <v>1194</v>
      </c>
      <c r="C485" s="92">
        <v>4.2902000000000001E-3</v>
      </c>
      <c r="D485" s="92">
        <v>4.4609000000000003E-3</v>
      </c>
      <c r="E485" s="236">
        <v>6554237</v>
      </c>
      <c r="F485" s="236"/>
      <c r="G485" s="237">
        <v>377585</v>
      </c>
      <c r="H485" s="225">
        <v>1591377</v>
      </c>
      <c r="I485" s="237">
        <v>936036</v>
      </c>
      <c r="J485" s="236">
        <v>0</v>
      </c>
      <c r="K485" s="225">
        <f t="shared" si="14"/>
        <v>2904998</v>
      </c>
      <c r="L485" s="236"/>
      <c r="M485" s="237">
        <v>185530</v>
      </c>
      <c r="N485" s="237">
        <v>0</v>
      </c>
      <c r="O485" s="236">
        <v>1097124</v>
      </c>
      <c r="P485" s="225">
        <f t="shared" si="15"/>
        <v>1282654</v>
      </c>
      <c r="Q485" s="236"/>
      <c r="R485" s="237">
        <v>2208784</v>
      </c>
      <c r="S485" s="238">
        <v>-636198</v>
      </c>
      <c r="T485" s="238">
        <v>1572586</v>
      </c>
    </row>
    <row r="486" spans="1:20">
      <c r="A486" s="231">
        <v>95111</v>
      </c>
      <c r="B486" s="232" t="s">
        <v>1195</v>
      </c>
      <c r="C486" s="92">
        <v>1.0778999999999999E-3</v>
      </c>
      <c r="D486" s="92">
        <v>1.0709000000000001E-3</v>
      </c>
      <c r="E486" s="236">
        <v>1646733</v>
      </c>
      <c r="F486" s="236"/>
      <c r="G486" s="237">
        <v>94867</v>
      </c>
      <c r="H486" s="225">
        <v>399829</v>
      </c>
      <c r="I486" s="237">
        <v>235176</v>
      </c>
      <c r="J486" s="236">
        <v>0</v>
      </c>
      <c r="K486" s="225">
        <f t="shared" si="14"/>
        <v>729872</v>
      </c>
      <c r="L486" s="236"/>
      <c r="M486" s="237">
        <v>46614</v>
      </c>
      <c r="N486" s="237">
        <v>0</v>
      </c>
      <c r="O486" s="236">
        <v>120462</v>
      </c>
      <c r="P486" s="225">
        <f t="shared" si="15"/>
        <v>167076</v>
      </c>
      <c r="Q486" s="236"/>
      <c r="R486" s="237">
        <v>554950</v>
      </c>
      <c r="S486" s="238">
        <v>-59518</v>
      </c>
      <c r="T486" s="238">
        <v>495432</v>
      </c>
    </row>
    <row r="487" spans="1:20">
      <c r="A487" s="231">
        <v>95113</v>
      </c>
      <c r="B487" s="232" t="s">
        <v>1196</v>
      </c>
      <c r="C487" s="92">
        <v>4.6699999999999997E-5</v>
      </c>
      <c r="D487" s="92">
        <v>4.7500000000000003E-5</v>
      </c>
      <c r="E487" s="236">
        <v>71345</v>
      </c>
      <c r="F487" s="236"/>
      <c r="G487" s="237">
        <v>4110</v>
      </c>
      <c r="H487" s="225">
        <v>17322</v>
      </c>
      <c r="I487" s="237">
        <v>10189</v>
      </c>
      <c r="J487" s="236">
        <v>82563</v>
      </c>
      <c r="K487" s="225">
        <f t="shared" si="14"/>
        <v>114184</v>
      </c>
      <c r="L487" s="236"/>
      <c r="M487" s="237">
        <v>2020</v>
      </c>
      <c r="N487" s="237">
        <v>0</v>
      </c>
      <c r="O487" s="236">
        <v>0</v>
      </c>
      <c r="P487" s="225">
        <f t="shared" si="15"/>
        <v>2020</v>
      </c>
      <c r="Q487" s="236"/>
      <c r="R487" s="237">
        <v>24043</v>
      </c>
      <c r="S487" s="238">
        <v>31359</v>
      </c>
      <c r="T487" s="238">
        <v>55402</v>
      </c>
    </row>
    <row r="488" spans="1:20">
      <c r="A488" s="231">
        <v>95121</v>
      </c>
      <c r="B488" s="232" t="s">
        <v>1197</v>
      </c>
      <c r="C488" s="92">
        <v>4.9770000000000001E-4</v>
      </c>
      <c r="D488" s="92">
        <v>4.9580000000000002E-4</v>
      </c>
      <c r="E488" s="236">
        <v>760348</v>
      </c>
      <c r="F488" s="236"/>
      <c r="G488" s="237">
        <v>43803</v>
      </c>
      <c r="H488" s="225">
        <v>184613</v>
      </c>
      <c r="I488" s="237">
        <v>108588</v>
      </c>
      <c r="J488" s="236">
        <v>12640</v>
      </c>
      <c r="K488" s="225">
        <f t="shared" si="14"/>
        <v>349644</v>
      </c>
      <c r="L488" s="236"/>
      <c r="M488" s="237">
        <v>21523</v>
      </c>
      <c r="N488" s="237">
        <v>0</v>
      </c>
      <c r="O488" s="236">
        <v>14371</v>
      </c>
      <c r="P488" s="225">
        <f t="shared" si="15"/>
        <v>35894</v>
      </c>
      <c r="Q488" s="236"/>
      <c r="R488" s="237">
        <v>256238</v>
      </c>
      <c r="S488" s="238">
        <v>-7628</v>
      </c>
      <c r="T488" s="238">
        <v>248610</v>
      </c>
    </row>
    <row r="489" spans="1:20">
      <c r="A489" s="231">
        <v>95122</v>
      </c>
      <c r="B489" s="232" t="s">
        <v>1198</v>
      </c>
      <c r="C489" s="92">
        <v>6.4999999999999996E-6</v>
      </c>
      <c r="D489" s="92">
        <v>2.7999999999999999E-6</v>
      </c>
      <c r="E489" s="236">
        <v>9930</v>
      </c>
      <c r="F489" s="236"/>
      <c r="G489" s="237">
        <v>572</v>
      </c>
      <c r="H489" s="225">
        <v>2411</v>
      </c>
      <c r="I489" s="237">
        <v>1418</v>
      </c>
      <c r="J489" s="236">
        <v>3675</v>
      </c>
      <c r="K489" s="225">
        <f t="shared" si="14"/>
        <v>8076</v>
      </c>
      <c r="L489" s="236"/>
      <c r="M489" s="237">
        <v>281</v>
      </c>
      <c r="N489" s="237">
        <v>0</v>
      </c>
      <c r="O489" s="236">
        <v>0</v>
      </c>
      <c r="P489" s="225">
        <f t="shared" si="15"/>
        <v>281</v>
      </c>
      <c r="Q489" s="236"/>
      <c r="R489" s="237">
        <v>3346</v>
      </c>
      <c r="S489" s="238">
        <v>1103</v>
      </c>
      <c r="T489" s="238">
        <v>4449</v>
      </c>
    </row>
    <row r="490" spans="1:20">
      <c r="A490" s="231">
        <v>95123</v>
      </c>
      <c r="B490" s="232" t="s">
        <v>1199</v>
      </c>
      <c r="C490" s="92">
        <v>5.7399999999999999E-5</v>
      </c>
      <c r="D490" s="92">
        <v>5.6700000000000003E-5</v>
      </c>
      <c r="E490" s="236">
        <v>87691</v>
      </c>
      <c r="F490" s="236"/>
      <c r="G490" s="237">
        <v>5052</v>
      </c>
      <c r="H490" s="225">
        <v>21291</v>
      </c>
      <c r="I490" s="237">
        <v>12524</v>
      </c>
      <c r="J490" s="236">
        <v>8811</v>
      </c>
      <c r="K490" s="225">
        <f t="shared" si="14"/>
        <v>47678</v>
      </c>
      <c r="L490" s="236"/>
      <c r="M490" s="237">
        <v>2482</v>
      </c>
      <c r="N490" s="237">
        <v>0</v>
      </c>
      <c r="O490" s="236">
        <v>1459</v>
      </c>
      <c r="P490" s="225">
        <f t="shared" si="15"/>
        <v>3941</v>
      </c>
      <c r="Q490" s="236"/>
      <c r="R490" s="237">
        <v>29552</v>
      </c>
      <c r="S490" s="238">
        <v>1830</v>
      </c>
      <c r="T490" s="238">
        <v>31382</v>
      </c>
    </row>
    <row r="491" spans="1:20">
      <c r="A491" s="231">
        <v>95131</v>
      </c>
      <c r="B491" s="232" t="s">
        <v>1200</v>
      </c>
      <c r="C491" s="92">
        <v>1.6682999999999999E-3</v>
      </c>
      <c r="D491" s="92">
        <v>1.5451E-3</v>
      </c>
      <c r="E491" s="236">
        <v>2548700</v>
      </c>
      <c r="F491" s="236"/>
      <c r="G491" s="237">
        <v>146829</v>
      </c>
      <c r="H491" s="225">
        <v>618827</v>
      </c>
      <c r="I491" s="237">
        <v>363990</v>
      </c>
      <c r="J491" s="236">
        <v>105945</v>
      </c>
      <c r="K491" s="225">
        <f t="shared" si="14"/>
        <v>1235591</v>
      </c>
      <c r="L491" s="236"/>
      <c r="M491" s="237">
        <v>72146</v>
      </c>
      <c r="N491" s="237">
        <v>0</v>
      </c>
      <c r="O491" s="236">
        <v>846</v>
      </c>
      <c r="P491" s="225">
        <f t="shared" si="15"/>
        <v>72992</v>
      </c>
      <c r="Q491" s="236"/>
      <c r="R491" s="237">
        <v>858914</v>
      </c>
      <c r="S491" s="238">
        <v>33842</v>
      </c>
      <c r="T491" s="238">
        <v>892756</v>
      </c>
    </row>
    <row r="492" spans="1:20">
      <c r="A492" s="231">
        <v>95141</v>
      </c>
      <c r="B492" s="232" t="s">
        <v>1201</v>
      </c>
      <c r="C492" s="92">
        <v>3.2220000000000003E-4</v>
      </c>
      <c r="D492" s="92">
        <v>3.1819999999999998E-4</v>
      </c>
      <c r="E492" s="236">
        <v>492232</v>
      </c>
      <c r="F492" s="236"/>
      <c r="G492" s="237">
        <v>28357</v>
      </c>
      <c r="H492" s="225">
        <v>119515</v>
      </c>
      <c r="I492" s="237">
        <v>70298</v>
      </c>
      <c r="J492" s="236">
        <v>1251</v>
      </c>
      <c r="K492" s="225">
        <f t="shared" si="14"/>
        <v>219421</v>
      </c>
      <c r="L492" s="236"/>
      <c r="M492" s="237">
        <v>13934</v>
      </c>
      <c r="N492" s="237">
        <v>0</v>
      </c>
      <c r="O492" s="236">
        <v>29129</v>
      </c>
      <c r="P492" s="225">
        <f t="shared" si="15"/>
        <v>43063</v>
      </c>
      <c r="Q492" s="236"/>
      <c r="R492" s="237">
        <v>165883</v>
      </c>
      <c r="S492" s="238">
        <v>-11233</v>
      </c>
      <c r="T492" s="238">
        <v>154650</v>
      </c>
    </row>
    <row r="493" spans="1:20">
      <c r="A493" s="231">
        <v>95151</v>
      </c>
      <c r="B493" s="232" t="s">
        <v>1202</v>
      </c>
      <c r="C493" s="92">
        <v>1.092E-4</v>
      </c>
      <c r="D493" s="92">
        <v>1.158E-4</v>
      </c>
      <c r="E493" s="236">
        <v>166827</v>
      </c>
      <c r="F493" s="236"/>
      <c r="G493" s="237">
        <v>9611</v>
      </c>
      <c r="H493" s="225">
        <v>40506</v>
      </c>
      <c r="I493" s="237">
        <v>23825</v>
      </c>
      <c r="J493" s="236">
        <v>364</v>
      </c>
      <c r="K493" s="225">
        <f t="shared" si="14"/>
        <v>74306</v>
      </c>
      <c r="L493" s="236"/>
      <c r="M493" s="237">
        <v>4722</v>
      </c>
      <c r="N493" s="237">
        <v>0</v>
      </c>
      <c r="O493" s="236">
        <v>10802</v>
      </c>
      <c r="P493" s="225">
        <f t="shared" si="15"/>
        <v>15524</v>
      </c>
      <c r="Q493" s="236"/>
      <c r="R493" s="237">
        <v>56221</v>
      </c>
      <c r="S493" s="238">
        <v>-3332</v>
      </c>
      <c r="T493" s="238">
        <v>52889</v>
      </c>
    </row>
    <row r="494" spans="1:20">
      <c r="A494" s="231">
        <v>95161</v>
      </c>
      <c r="B494" s="232" t="s">
        <v>1203</v>
      </c>
      <c r="C494" s="92">
        <v>6.8100000000000002E-5</v>
      </c>
      <c r="D494" s="92">
        <v>7.4800000000000002E-5</v>
      </c>
      <c r="E494" s="236">
        <v>104038</v>
      </c>
      <c r="F494" s="236"/>
      <c r="G494" s="237">
        <v>5994</v>
      </c>
      <c r="H494" s="225">
        <v>25261</v>
      </c>
      <c r="I494" s="237">
        <v>14858</v>
      </c>
      <c r="J494" s="236">
        <v>5468</v>
      </c>
      <c r="K494" s="225">
        <f t="shared" si="14"/>
        <v>51581</v>
      </c>
      <c r="L494" s="236"/>
      <c r="M494" s="237">
        <v>2945</v>
      </c>
      <c r="N494" s="237">
        <v>0</v>
      </c>
      <c r="O494" s="236">
        <v>1353</v>
      </c>
      <c r="P494" s="225">
        <f t="shared" si="15"/>
        <v>4298</v>
      </c>
      <c r="Q494" s="236"/>
      <c r="R494" s="237">
        <v>35061</v>
      </c>
      <c r="S494" s="238">
        <v>1287</v>
      </c>
      <c r="T494" s="238">
        <v>36348</v>
      </c>
    </row>
    <row r="495" spans="1:20">
      <c r="A495" s="231">
        <v>95171</v>
      </c>
      <c r="B495" s="232" t="s">
        <v>1204</v>
      </c>
      <c r="C495" s="92">
        <v>1.0459999999999999E-4</v>
      </c>
      <c r="D495" s="92">
        <v>1.2300000000000001E-4</v>
      </c>
      <c r="E495" s="236">
        <v>159800</v>
      </c>
      <c r="F495" s="236"/>
      <c r="G495" s="237">
        <v>9206</v>
      </c>
      <c r="H495" s="225">
        <v>38799</v>
      </c>
      <c r="I495" s="237">
        <v>22822</v>
      </c>
      <c r="J495" s="236">
        <v>6705</v>
      </c>
      <c r="K495" s="225">
        <f t="shared" si="14"/>
        <v>77532</v>
      </c>
      <c r="L495" s="236"/>
      <c r="M495" s="237">
        <v>4523</v>
      </c>
      <c r="N495" s="237">
        <v>0</v>
      </c>
      <c r="O495" s="236">
        <v>14987</v>
      </c>
      <c r="P495" s="225">
        <f t="shared" si="15"/>
        <v>19510</v>
      </c>
      <c r="Q495" s="236"/>
      <c r="R495" s="237">
        <v>53853</v>
      </c>
      <c r="S495" s="238">
        <v>-3646</v>
      </c>
      <c r="T495" s="238">
        <v>50207</v>
      </c>
    </row>
    <row r="496" spans="1:20">
      <c r="A496" s="231">
        <v>95181</v>
      </c>
      <c r="B496" s="232" t="s">
        <v>1205</v>
      </c>
      <c r="C496" s="92">
        <v>7.7100000000000004E-5</v>
      </c>
      <c r="D496" s="92">
        <v>7.7899999999999996E-5</v>
      </c>
      <c r="E496" s="236">
        <v>117787</v>
      </c>
      <c r="F496" s="236"/>
      <c r="G496" s="237">
        <v>6786</v>
      </c>
      <c r="H496" s="225">
        <v>28599</v>
      </c>
      <c r="I496" s="237">
        <v>16822</v>
      </c>
      <c r="J496" s="236">
        <v>1069</v>
      </c>
      <c r="K496" s="225">
        <f t="shared" si="14"/>
        <v>53276</v>
      </c>
      <c r="L496" s="236"/>
      <c r="M496" s="237">
        <v>3334</v>
      </c>
      <c r="N496" s="237">
        <v>0</v>
      </c>
      <c r="O496" s="236">
        <v>9474</v>
      </c>
      <c r="P496" s="225">
        <f t="shared" si="15"/>
        <v>12808</v>
      </c>
      <c r="Q496" s="236"/>
      <c r="R496" s="237">
        <v>39694</v>
      </c>
      <c r="S496" s="238">
        <v>-2444</v>
      </c>
      <c r="T496" s="238">
        <v>37250</v>
      </c>
    </row>
    <row r="497" spans="1:20">
      <c r="A497" s="231">
        <v>95191</v>
      </c>
      <c r="B497" s="232" t="s">
        <v>1206</v>
      </c>
      <c r="C497" s="92">
        <v>5.3999999999999998E-5</v>
      </c>
      <c r="D497" s="92">
        <v>5.3999999999999998E-5</v>
      </c>
      <c r="E497" s="236">
        <v>82497</v>
      </c>
      <c r="F497" s="236"/>
      <c r="G497" s="237">
        <v>4753</v>
      </c>
      <c r="H497" s="225">
        <v>20031</v>
      </c>
      <c r="I497" s="237">
        <v>11782</v>
      </c>
      <c r="J497" s="236">
        <v>12522</v>
      </c>
      <c r="K497" s="225">
        <f t="shared" si="14"/>
        <v>49088</v>
      </c>
      <c r="L497" s="236"/>
      <c r="M497" s="237">
        <v>2335</v>
      </c>
      <c r="N497" s="237">
        <v>0</v>
      </c>
      <c r="O497" s="236">
        <v>5293</v>
      </c>
      <c r="P497" s="225">
        <f t="shared" si="15"/>
        <v>7628</v>
      </c>
      <c r="Q497" s="236"/>
      <c r="R497" s="237">
        <v>27802</v>
      </c>
      <c r="S497" s="238">
        <v>4438</v>
      </c>
      <c r="T497" s="238">
        <v>32240</v>
      </c>
    </row>
    <row r="498" spans="1:20">
      <c r="A498" s="231">
        <v>95201</v>
      </c>
      <c r="B498" s="232" t="s">
        <v>1207</v>
      </c>
      <c r="C498" s="92">
        <v>7.0969999999999996E-4</v>
      </c>
      <c r="D498" s="92">
        <v>6.8329999999999997E-4</v>
      </c>
      <c r="E498" s="236">
        <v>1084225</v>
      </c>
      <c r="F498" s="236"/>
      <c r="G498" s="237">
        <v>62461</v>
      </c>
      <c r="H498" s="225">
        <v>263252</v>
      </c>
      <c r="I498" s="237">
        <v>154842</v>
      </c>
      <c r="J498" s="236">
        <v>6474</v>
      </c>
      <c r="K498" s="225">
        <f t="shared" si="14"/>
        <v>487029</v>
      </c>
      <c r="L498" s="236"/>
      <c r="M498" s="237">
        <v>30691</v>
      </c>
      <c r="N498" s="237">
        <v>0</v>
      </c>
      <c r="O498" s="236">
        <v>21158</v>
      </c>
      <c r="P498" s="225">
        <f t="shared" si="15"/>
        <v>51849</v>
      </c>
      <c r="Q498" s="236"/>
      <c r="R498" s="237">
        <v>365385</v>
      </c>
      <c r="S498" s="238">
        <v>-9663</v>
      </c>
      <c r="T498" s="238">
        <v>355722</v>
      </c>
    </row>
    <row r="499" spans="1:20">
      <c r="A499" s="231">
        <v>95204</v>
      </c>
      <c r="B499" s="232" t="s">
        <v>1208</v>
      </c>
      <c r="C499" s="92">
        <v>1.26E-5</v>
      </c>
      <c r="D499" s="92">
        <v>1.1600000000000001E-5</v>
      </c>
      <c r="E499" s="236">
        <v>19249</v>
      </c>
      <c r="F499" s="236"/>
      <c r="G499" s="237">
        <v>1109</v>
      </c>
      <c r="H499" s="225">
        <v>4674</v>
      </c>
      <c r="I499" s="237">
        <v>2749</v>
      </c>
      <c r="J499" s="236">
        <v>1824</v>
      </c>
      <c r="K499" s="225">
        <f t="shared" si="14"/>
        <v>10356</v>
      </c>
      <c r="L499" s="236"/>
      <c r="M499" s="237">
        <v>545</v>
      </c>
      <c r="N499" s="237">
        <v>0</v>
      </c>
      <c r="O499" s="236">
        <v>1143</v>
      </c>
      <c r="P499" s="225">
        <f t="shared" si="15"/>
        <v>1688</v>
      </c>
      <c r="Q499" s="236"/>
      <c r="R499" s="237">
        <v>6487</v>
      </c>
      <c r="S499" s="238">
        <v>-195</v>
      </c>
      <c r="T499" s="238">
        <v>6292</v>
      </c>
    </row>
    <row r="500" spans="1:20">
      <c r="A500" s="231">
        <v>95205</v>
      </c>
      <c r="B500" s="232" t="s">
        <v>1209</v>
      </c>
      <c r="C500" s="92">
        <v>4.5000000000000001E-6</v>
      </c>
      <c r="D500" s="92">
        <v>4.7999999999999998E-6</v>
      </c>
      <c r="E500" s="236">
        <v>6875</v>
      </c>
      <c r="F500" s="236"/>
      <c r="G500" s="237">
        <v>396</v>
      </c>
      <c r="H500" s="225">
        <v>1669</v>
      </c>
      <c r="I500" s="237">
        <v>982</v>
      </c>
      <c r="J500" s="236">
        <v>605</v>
      </c>
      <c r="K500" s="225">
        <f t="shared" si="14"/>
        <v>3652</v>
      </c>
      <c r="L500" s="236"/>
      <c r="M500" s="237">
        <v>195</v>
      </c>
      <c r="N500" s="237">
        <v>0</v>
      </c>
      <c r="O500" s="236">
        <v>0</v>
      </c>
      <c r="P500" s="225">
        <f t="shared" si="15"/>
        <v>195</v>
      </c>
      <c r="Q500" s="236"/>
      <c r="R500" s="237">
        <v>2317</v>
      </c>
      <c r="S500" s="238">
        <v>311</v>
      </c>
      <c r="T500" s="238">
        <v>2628</v>
      </c>
    </row>
    <row r="501" spans="1:20">
      <c r="A501" s="231">
        <v>95211</v>
      </c>
      <c r="B501" s="232" t="s">
        <v>1210</v>
      </c>
      <c r="C501" s="92">
        <v>8.3999999999999992E-6</v>
      </c>
      <c r="D501" s="92">
        <v>9.2E-6</v>
      </c>
      <c r="E501" s="236">
        <v>12833</v>
      </c>
      <c r="F501" s="236"/>
      <c r="G501" s="237">
        <v>739</v>
      </c>
      <c r="H501" s="225">
        <v>3115</v>
      </c>
      <c r="I501" s="237">
        <v>1833</v>
      </c>
      <c r="J501" s="236">
        <v>1455</v>
      </c>
      <c r="K501" s="225">
        <f t="shared" si="14"/>
        <v>7142</v>
      </c>
      <c r="L501" s="236"/>
      <c r="M501" s="237">
        <v>363</v>
      </c>
      <c r="N501" s="237">
        <v>0</v>
      </c>
      <c r="O501" s="236">
        <v>1231</v>
      </c>
      <c r="P501" s="225">
        <f t="shared" si="15"/>
        <v>1594</v>
      </c>
      <c r="Q501" s="236"/>
      <c r="R501" s="237">
        <v>4325</v>
      </c>
      <c r="S501" s="238">
        <v>-523</v>
      </c>
      <c r="T501" s="238">
        <v>3802</v>
      </c>
    </row>
    <row r="502" spans="1:20">
      <c r="A502" s="231">
        <v>95221</v>
      </c>
      <c r="B502" s="232" t="s">
        <v>1211</v>
      </c>
      <c r="C502" s="92">
        <v>4.4100000000000001E-5</v>
      </c>
      <c r="D502" s="92">
        <v>1.6900000000000001E-5</v>
      </c>
      <c r="E502" s="236">
        <v>67373</v>
      </c>
      <c r="F502" s="236"/>
      <c r="G502" s="237">
        <v>3881</v>
      </c>
      <c r="H502" s="225">
        <v>16358</v>
      </c>
      <c r="I502" s="237">
        <v>9622</v>
      </c>
      <c r="J502" s="236">
        <v>21037</v>
      </c>
      <c r="K502" s="225">
        <f t="shared" si="14"/>
        <v>50898</v>
      </c>
      <c r="L502" s="236"/>
      <c r="M502" s="237">
        <v>1907</v>
      </c>
      <c r="N502" s="237">
        <v>0</v>
      </c>
      <c r="O502" s="236">
        <v>11299</v>
      </c>
      <c r="P502" s="225">
        <f t="shared" si="15"/>
        <v>13206</v>
      </c>
      <c r="Q502" s="236"/>
      <c r="R502" s="237">
        <v>22705</v>
      </c>
      <c r="S502" s="238">
        <v>2535</v>
      </c>
      <c r="T502" s="238">
        <v>25240</v>
      </c>
    </row>
    <row r="503" spans="1:20">
      <c r="A503" s="231">
        <v>95301</v>
      </c>
      <c r="B503" s="232" t="s">
        <v>1212</v>
      </c>
      <c r="C503" s="92">
        <v>2.3917999999999999E-3</v>
      </c>
      <c r="D503" s="92">
        <v>2.4063999999999999E-3</v>
      </c>
      <c r="E503" s="236">
        <v>3654008</v>
      </c>
      <c r="F503" s="236"/>
      <c r="G503" s="237">
        <v>210505</v>
      </c>
      <c r="H503" s="225">
        <v>887197</v>
      </c>
      <c r="I503" s="237">
        <v>521843</v>
      </c>
      <c r="J503" s="236">
        <v>73478</v>
      </c>
      <c r="K503" s="225">
        <f t="shared" si="14"/>
        <v>1693023</v>
      </c>
      <c r="L503" s="236"/>
      <c r="M503" s="237">
        <v>103433</v>
      </c>
      <c r="N503" s="237">
        <v>0</v>
      </c>
      <c r="O503" s="236">
        <v>11228</v>
      </c>
      <c r="P503" s="225">
        <f t="shared" si="15"/>
        <v>114661</v>
      </c>
      <c r="Q503" s="236"/>
      <c r="R503" s="237">
        <v>1231404</v>
      </c>
      <c r="S503" s="238">
        <v>19362</v>
      </c>
      <c r="T503" s="238">
        <f>1250765+1</f>
        <v>1250766</v>
      </c>
    </row>
    <row r="504" spans="1:20">
      <c r="A504" s="231">
        <v>95311</v>
      </c>
      <c r="B504" s="232" t="s">
        <v>1213</v>
      </c>
      <c r="C504" s="92">
        <v>2.6873999999999999E-3</v>
      </c>
      <c r="D504" s="92">
        <v>2.6841999999999999E-3</v>
      </c>
      <c r="E504" s="236">
        <v>4105603</v>
      </c>
      <c r="F504" s="236"/>
      <c r="G504" s="237">
        <v>236521</v>
      </c>
      <c r="H504" s="225">
        <v>996846</v>
      </c>
      <c r="I504" s="237">
        <v>586337</v>
      </c>
      <c r="J504" s="236">
        <v>41083</v>
      </c>
      <c r="K504" s="225">
        <f t="shared" si="14"/>
        <v>1860787</v>
      </c>
      <c r="L504" s="236"/>
      <c r="M504" s="237">
        <v>116217</v>
      </c>
      <c r="N504" s="237">
        <v>0</v>
      </c>
      <c r="O504" s="236">
        <v>117171</v>
      </c>
      <c r="P504" s="225">
        <f t="shared" si="15"/>
        <v>233388</v>
      </c>
      <c r="Q504" s="236"/>
      <c r="R504" s="237">
        <v>1383592</v>
      </c>
      <c r="S504" s="238">
        <v>-46704</v>
      </c>
      <c r="T504" s="238">
        <v>1336888</v>
      </c>
    </row>
    <row r="505" spans="1:20">
      <c r="A505" s="231">
        <v>95317</v>
      </c>
      <c r="B505" s="232" t="s">
        <v>1214</v>
      </c>
      <c r="C505" s="92">
        <v>4.8900000000000003E-5</v>
      </c>
      <c r="D505" s="92">
        <v>5.1400000000000003E-5</v>
      </c>
      <c r="E505" s="236">
        <v>74706</v>
      </c>
      <c r="F505" s="236"/>
      <c r="G505" s="237">
        <v>4304</v>
      </c>
      <c r="H505" s="225">
        <v>18138</v>
      </c>
      <c r="I505" s="237">
        <v>10669</v>
      </c>
      <c r="J505" s="236">
        <v>6328</v>
      </c>
      <c r="K505" s="225">
        <f t="shared" si="14"/>
        <v>39439</v>
      </c>
      <c r="L505" s="236"/>
      <c r="M505" s="237">
        <v>2115</v>
      </c>
      <c r="N505" s="237">
        <v>0</v>
      </c>
      <c r="O505" s="236">
        <v>38</v>
      </c>
      <c r="P505" s="225">
        <f t="shared" si="15"/>
        <v>2153</v>
      </c>
      <c r="Q505" s="236"/>
      <c r="R505" s="237">
        <v>25176</v>
      </c>
      <c r="S505" s="238">
        <v>2474</v>
      </c>
      <c r="T505" s="238">
        <v>27650</v>
      </c>
    </row>
    <row r="506" spans="1:20">
      <c r="A506" s="231">
        <v>95321</v>
      </c>
      <c r="B506" s="232" t="s">
        <v>1215</v>
      </c>
      <c r="C506" s="92">
        <v>4.71E-5</v>
      </c>
      <c r="D506" s="92">
        <v>5.7000000000000003E-5</v>
      </c>
      <c r="E506" s="236">
        <v>71956</v>
      </c>
      <c r="F506" s="236"/>
      <c r="G506" s="237">
        <v>4145</v>
      </c>
      <c r="H506" s="225">
        <v>17471</v>
      </c>
      <c r="I506" s="237">
        <v>10276</v>
      </c>
      <c r="J506" s="236">
        <v>3087</v>
      </c>
      <c r="K506" s="225">
        <f t="shared" si="14"/>
        <v>34979</v>
      </c>
      <c r="L506" s="236"/>
      <c r="M506" s="237">
        <v>2037</v>
      </c>
      <c r="N506" s="237">
        <v>0</v>
      </c>
      <c r="O506" s="236">
        <v>2158</v>
      </c>
      <c r="P506" s="225">
        <f t="shared" si="15"/>
        <v>4195</v>
      </c>
      <c r="Q506" s="236"/>
      <c r="R506" s="237">
        <v>24249</v>
      </c>
      <c r="S506" s="238">
        <v>1089</v>
      </c>
      <c r="T506" s="238">
        <v>25338</v>
      </c>
    </row>
    <row r="507" spans="1:20">
      <c r="A507" s="231">
        <v>95401</v>
      </c>
      <c r="B507" s="232" t="s">
        <v>1216</v>
      </c>
      <c r="C507" s="92">
        <v>2.9992E-3</v>
      </c>
      <c r="D507" s="92">
        <v>2.9979999999999998E-3</v>
      </c>
      <c r="E507" s="236">
        <v>4581947</v>
      </c>
      <c r="F507" s="236"/>
      <c r="G507" s="237">
        <v>263963</v>
      </c>
      <c r="H507" s="225">
        <v>1112502</v>
      </c>
      <c r="I507" s="237">
        <v>654365</v>
      </c>
      <c r="J507" s="236">
        <v>27695</v>
      </c>
      <c r="K507" s="225">
        <f t="shared" si="14"/>
        <v>2058525</v>
      </c>
      <c r="L507" s="236"/>
      <c r="M507" s="237">
        <v>129700</v>
      </c>
      <c r="N507" s="237">
        <v>0</v>
      </c>
      <c r="O507" s="236">
        <v>19902</v>
      </c>
      <c r="P507" s="225">
        <f t="shared" si="15"/>
        <v>149602</v>
      </c>
      <c r="Q507" s="236"/>
      <c r="R507" s="237">
        <v>1544120</v>
      </c>
      <c r="S507" s="238">
        <v>10089</v>
      </c>
      <c r="T507" s="238">
        <v>1554209</v>
      </c>
    </row>
    <row r="508" spans="1:20">
      <c r="A508" s="231">
        <v>95404</v>
      </c>
      <c r="B508" s="232" t="s">
        <v>1217</v>
      </c>
      <c r="C508" s="92">
        <v>5.3100000000000003E-5</v>
      </c>
      <c r="D508" s="92">
        <v>4.9799999999999998E-5</v>
      </c>
      <c r="E508" s="236">
        <v>81122</v>
      </c>
      <c r="F508" s="236"/>
      <c r="G508" s="237">
        <v>4673</v>
      </c>
      <c r="H508" s="225">
        <v>19697</v>
      </c>
      <c r="I508" s="237">
        <v>11585</v>
      </c>
      <c r="J508" s="236">
        <v>5158</v>
      </c>
      <c r="K508" s="225">
        <f t="shared" si="14"/>
        <v>41113</v>
      </c>
      <c r="L508" s="236"/>
      <c r="M508" s="237">
        <v>2296</v>
      </c>
      <c r="N508" s="237">
        <v>0</v>
      </c>
      <c r="O508" s="236">
        <v>0</v>
      </c>
      <c r="P508" s="225">
        <f t="shared" si="15"/>
        <v>2296</v>
      </c>
      <c r="Q508" s="236"/>
      <c r="R508" s="237">
        <v>27338</v>
      </c>
      <c r="S508" s="238">
        <v>1949</v>
      </c>
      <c r="T508" s="238">
        <v>29287</v>
      </c>
    </row>
    <row r="509" spans="1:20">
      <c r="A509" s="231">
        <v>95405</v>
      </c>
      <c r="B509" s="232" t="s">
        <v>1218</v>
      </c>
      <c r="C509" s="92">
        <v>1.84E-5</v>
      </c>
      <c r="D509" s="92">
        <v>1.84E-5</v>
      </c>
      <c r="E509" s="236">
        <v>28110</v>
      </c>
      <c r="F509" s="236"/>
      <c r="G509" s="237">
        <v>1619</v>
      </c>
      <c r="H509" s="225">
        <v>6826</v>
      </c>
      <c r="I509" s="237">
        <v>4015</v>
      </c>
      <c r="J509" s="236">
        <v>15544</v>
      </c>
      <c r="K509" s="225">
        <f t="shared" si="14"/>
        <v>28004</v>
      </c>
      <c r="L509" s="236"/>
      <c r="M509" s="237">
        <v>796</v>
      </c>
      <c r="N509" s="237">
        <v>0</v>
      </c>
      <c r="O509" s="236">
        <v>0</v>
      </c>
      <c r="P509" s="225">
        <f t="shared" si="15"/>
        <v>796</v>
      </c>
      <c r="Q509" s="236"/>
      <c r="R509" s="237">
        <v>9473</v>
      </c>
      <c r="S509" s="238">
        <v>5475</v>
      </c>
      <c r="T509" s="238">
        <v>14948</v>
      </c>
    </row>
    <row r="510" spans="1:20">
      <c r="A510" s="231">
        <v>95411</v>
      </c>
      <c r="B510" s="232" t="s">
        <v>1219</v>
      </c>
      <c r="C510" s="92">
        <v>2.2173000000000002E-3</v>
      </c>
      <c r="D510" s="92">
        <v>2.3272000000000002E-3</v>
      </c>
      <c r="E510" s="236">
        <v>3387420</v>
      </c>
      <c r="F510" s="236"/>
      <c r="G510" s="237">
        <v>195147</v>
      </c>
      <c r="H510" s="225">
        <v>822470</v>
      </c>
      <c r="I510" s="237">
        <v>483771</v>
      </c>
      <c r="J510" s="236">
        <v>14015</v>
      </c>
      <c r="K510" s="225">
        <f t="shared" si="14"/>
        <v>1515403</v>
      </c>
      <c r="L510" s="236"/>
      <c r="M510" s="237">
        <v>95887</v>
      </c>
      <c r="N510" s="237">
        <v>0</v>
      </c>
      <c r="O510" s="236">
        <v>60237</v>
      </c>
      <c r="P510" s="225">
        <f t="shared" si="15"/>
        <v>156124</v>
      </c>
      <c r="Q510" s="236"/>
      <c r="R510" s="237">
        <v>1141564</v>
      </c>
      <c r="S510" s="238">
        <v>-23907</v>
      </c>
      <c r="T510" s="238">
        <f>1117656+1</f>
        <v>1117657</v>
      </c>
    </row>
    <row r="511" spans="1:20">
      <c r="A511" s="231">
        <v>95412</v>
      </c>
      <c r="B511" s="232" t="s">
        <v>1220</v>
      </c>
      <c r="C511" s="92">
        <v>0</v>
      </c>
      <c r="D511" s="92">
        <v>0</v>
      </c>
      <c r="E511" s="236">
        <v>0</v>
      </c>
      <c r="F511" s="236"/>
      <c r="G511" s="237">
        <v>0</v>
      </c>
      <c r="H511" s="225">
        <v>0</v>
      </c>
      <c r="I511" s="237">
        <v>0</v>
      </c>
      <c r="J511" s="236">
        <v>0</v>
      </c>
      <c r="K511" s="225">
        <f t="shared" si="14"/>
        <v>0</v>
      </c>
      <c r="L511" s="236"/>
      <c r="M511" s="237">
        <v>0</v>
      </c>
      <c r="N511" s="237">
        <v>0</v>
      </c>
      <c r="O511" s="236">
        <v>27831</v>
      </c>
      <c r="P511" s="225">
        <f t="shared" si="15"/>
        <v>27831</v>
      </c>
      <c r="Q511" s="236"/>
      <c r="R511" s="237">
        <v>0</v>
      </c>
      <c r="S511" s="238">
        <v>-18518</v>
      </c>
      <c r="T511" s="238">
        <v>-18518</v>
      </c>
    </row>
    <row r="512" spans="1:20">
      <c r="A512" s="231">
        <v>95413</v>
      </c>
      <c r="B512" s="232" t="s">
        <v>1221</v>
      </c>
      <c r="C512" s="92">
        <v>2.5809999999999999E-4</v>
      </c>
      <c r="D512" s="92">
        <v>2.945E-4</v>
      </c>
      <c r="E512" s="236">
        <v>394305</v>
      </c>
      <c r="F512" s="236"/>
      <c r="G512" s="237">
        <v>22716</v>
      </c>
      <c r="H512" s="225">
        <v>95737</v>
      </c>
      <c r="I512" s="237">
        <v>56312</v>
      </c>
      <c r="J512" s="236">
        <v>247679</v>
      </c>
      <c r="K512" s="225">
        <f t="shared" si="14"/>
        <v>422444</v>
      </c>
      <c r="L512" s="236"/>
      <c r="M512" s="237">
        <v>11162</v>
      </c>
      <c r="N512" s="237">
        <v>0</v>
      </c>
      <c r="O512" s="236">
        <v>9401</v>
      </c>
      <c r="P512" s="225">
        <f t="shared" si="15"/>
        <v>20563</v>
      </c>
      <c r="Q512" s="236"/>
      <c r="R512" s="237">
        <v>132881</v>
      </c>
      <c r="S512" s="238">
        <v>77340</v>
      </c>
      <c r="T512" s="238">
        <v>210221</v>
      </c>
    </row>
    <row r="513" spans="1:20">
      <c r="A513" s="231">
        <v>95415</v>
      </c>
      <c r="B513" s="232" t="s">
        <v>1222</v>
      </c>
      <c r="C513" s="92">
        <v>6.2899999999999997E-5</v>
      </c>
      <c r="D513" s="92">
        <v>7.9499999999999994E-5</v>
      </c>
      <c r="E513" s="236">
        <v>96094</v>
      </c>
      <c r="F513" s="236"/>
      <c r="G513" s="237">
        <v>5536</v>
      </c>
      <c r="H513" s="225">
        <v>23331</v>
      </c>
      <c r="I513" s="237">
        <v>13724</v>
      </c>
      <c r="J513" s="236">
        <v>5301</v>
      </c>
      <c r="K513" s="225">
        <f t="shared" si="14"/>
        <v>47892</v>
      </c>
      <c r="L513" s="236"/>
      <c r="M513" s="237">
        <v>2720</v>
      </c>
      <c r="N513" s="237">
        <v>0</v>
      </c>
      <c r="O513" s="236">
        <v>16874</v>
      </c>
      <c r="P513" s="225">
        <f t="shared" si="15"/>
        <v>19594</v>
      </c>
      <c r="Q513" s="236"/>
      <c r="R513" s="237">
        <v>32384</v>
      </c>
      <c r="S513" s="238">
        <v>-165</v>
      </c>
      <c r="T513" s="238">
        <v>32219</v>
      </c>
    </row>
    <row r="514" spans="1:20">
      <c r="A514" s="231">
        <v>95421</v>
      </c>
      <c r="B514" s="232" t="s">
        <v>1223</v>
      </c>
      <c r="C514" s="92">
        <v>3.8699999999999999E-5</v>
      </c>
      <c r="D514" s="92">
        <v>3.9100000000000002E-5</v>
      </c>
      <c r="E514" s="236">
        <v>59123</v>
      </c>
      <c r="F514" s="236"/>
      <c r="G514" s="237">
        <v>3406</v>
      </c>
      <c r="H514" s="225">
        <v>14355</v>
      </c>
      <c r="I514" s="237">
        <v>8444</v>
      </c>
      <c r="J514" s="236">
        <v>226</v>
      </c>
      <c r="K514" s="225">
        <f t="shared" si="14"/>
        <v>26431</v>
      </c>
      <c r="L514" s="236"/>
      <c r="M514" s="237">
        <v>1674</v>
      </c>
      <c r="N514" s="237">
        <v>0</v>
      </c>
      <c r="O514" s="236">
        <v>9353</v>
      </c>
      <c r="P514" s="225">
        <f t="shared" si="15"/>
        <v>11027</v>
      </c>
      <c r="Q514" s="236"/>
      <c r="R514" s="237">
        <v>19924</v>
      </c>
      <c r="S514" s="238">
        <v>-4913</v>
      </c>
      <c r="T514" s="238">
        <f>15012-1</f>
        <v>15011</v>
      </c>
    </row>
    <row r="515" spans="1:20">
      <c r="A515" s="231">
        <v>95431</v>
      </c>
      <c r="B515" s="232" t="s">
        <v>1224</v>
      </c>
      <c r="C515" s="92">
        <v>1.5300000000000001E-4</v>
      </c>
      <c r="D515" s="92">
        <v>1.8009999999999999E-4</v>
      </c>
      <c r="E515" s="236">
        <v>233742</v>
      </c>
      <c r="F515" s="236"/>
      <c r="G515" s="237">
        <v>13466</v>
      </c>
      <c r="H515" s="225">
        <v>56753</v>
      </c>
      <c r="I515" s="237">
        <v>33382</v>
      </c>
      <c r="J515" s="236">
        <v>224</v>
      </c>
      <c r="K515" s="225">
        <f t="shared" si="14"/>
        <v>103825</v>
      </c>
      <c r="L515" s="236"/>
      <c r="M515" s="237">
        <v>6616</v>
      </c>
      <c r="N515" s="237">
        <v>0</v>
      </c>
      <c r="O515" s="236">
        <v>34003</v>
      </c>
      <c r="P515" s="225">
        <f t="shared" si="15"/>
        <v>40619</v>
      </c>
      <c r="Q515" s="236"/>
      <c r="R515" s="237">
        <v>78771</v>
      </c>
      <c r="S515" s="238">
        <v>-9919</v>
      </c>
      <c r="T515" s="238">
        <v>68852</v>
      </c>
    </row>
    <row r="516" spans="1:20">
      <c r="A516" s="231">
        <v>95501</v>
      </c>
      <c r="B516" s="232" t="s">
        <v>1225</v>
      </c>
      <c r="C516" s="92">
        <v>4.8764999999999998E-3</v>
      </c>
      <c r="D516" s="92">
        <v>4.7917999999999997E-3</v>
      </c>
      <c r="E516" s="236">
        <v>7449941</v>
      </c>
      <c r="F516" s="236"/>
      <c r="G516" s="237">
        <v>429186</v>
      </c>
      <c r="H516" s="225">
        <v>1808855</v>
      </c>
      <c r="I516" s="237">
        <v>1063955</v>
      </c>
      <c r="J516" s="236">
        <v>31695</v>
      </c>
      <c r="K516" s="225">
        <f t="shared" si="14"/>
        <v>3333691</v>
      </c>
      <c r="L516" s="236"/>
      <c r="M516" s="237">
        <v>210884</v>
      </c>
      <c r="N516" s="237">
        <v>0</v>
      </c>
      <c r="O516" s="236">
        <v>124610</v>
      </c>
      <c r="P516" s="225">
        <f t="shared" si="15"/>
        <v>335494</v>
      </c>
      <c r="Q516" s="236"/>
      <c r="R516" s="237">
        <v>2510637</v>
      </c>
      <c r="S516" s="238">
        <v>-8646</v>
      </c>
      <c r="T516" s="238">
        <v>2501991</v>
      </c>
    </row>
    <row r="517" spans="1:20">
      <c r="A517" s="231">
        <v>95504</v>
      </c>
      <c r="B517" s="232" t="s">
        <v>1226</v>
      </c>
      <c r="C517" s="92">
        <v>9.3999999999999998E-6</v>
      </c>
      <c r="D517" s="92">
        <v>8.8999999999999995E-6</v>
      </c>
      <c r="E517" s="236">
        <v>14361</v>
      </c>
      <c r="F517" s="236"/>
      <c r="G517" s="237">
        <v>827</v>
      </c>
      <c r="H517" s="225">
        <v>3487</v>
      </c>
      <c r="I517" s="237">
        <v>2051</v>
      </c>
      <c r="J517" s="236">
        <v>7912</v>
      </c>
      <c r="K517" s="225">
        <f t="shared" si="14"/>
        <v>14277</v>
      </c>
      <c r="L517" s="236"/>
      <c r="M517" s="237">
        <v>407</v>
      </c>
      <c r="N517" s="237">
        <v>0</v>
      </c>
      <c r="O517" s="236">
        <v>0</v>
      </c>
      <c r="P517" s="225">
        <f t="shared" si="15"/>
        <v>407</v>
      </c>
      <c r="Q517" s="236"/>
      <c r="R517" s="237">
        <v>4840</v>
      </c>
      <c r="S517" s="238">
        <v>2952</v>
      </c>
      <c r="T517" s="238">
        <f>7791+1</f>
        <v>7792</v>
      </c>
    </row>
    <row r="518" spans="1:20">
      <c r="A518" s="231">
        <v>95511</v>
      </c>
      <c r="B518" s="232" t="s">
        <v>1227</v>
      </c>
      <c r="C518" s="92">
        <v>9.7460000000000005E-4</v>
      </c>
      <c r="D518" s="92">
        <v>9.6049999999999998E-4</v>
      </c>
      <c r="E518" s="236">
        <v>1488919</v>
      </c>
      <c r="F518" s="236"/>
      <c r="G518" s="237">
        <v>85776</v>
      </c>
      <c r="H518" s="225">
        <v>361511</v>
      </c>
      <c r="I518" s="237">
        <v>212638</v>
      </c>
      <c r="J518" s="236">
        <v>44242</v>
      </c>
      <c r="K518" s="225">
        <f t="shared" si="14"/>
        <v>704167</v>
      </c>
      <c r="L518" s="236"/>
      <c r="M518" s="237">
        <v>42147</v>
      </c>
      <c r="N518" s="237">
        <v>0</v>
      </c>
      <c r="O518" s="236">
        <v>52155</v>
      </c>
      <c r="P518" s="225">
        <f t="shared" si="15"/>
        <v>94302</v>
      </c>
      <c r="Q518" s="236"/>
      <c r="R518" s="237">
        <v>501767</v>
      </c>
      <c r="S518" s="238">
        <v>-4607</v>
      </c>
      <c r="T518" s="238">
        <v>497160</v>
      </c>
    </row>
    <row r="519" spans="1:20">
      <c r="A519" s="231">
        <v>95513</v>
      </c>
      <c r="B519" s="232" t="s">
        <v>1228</v>
      </c>
      <c r="C519" s="92">
        <v>4.6699999999999997E-5</v>
      </c>
      <c r="D519" s="92">
        <v>4.5500000000000001E-5</v>
      </c>
      <c r="E519" s="236">
        <v>71345</v>
      </c>
      <c r="F519" s="236"/>
      <c r="G519" s="237">
        <v>4110</v>
      </c>
      <c r="H519" s="225">
        <v>17322</v>
      </c>
      <c r="I519" s="237">
        <v>10189</v>
      </c>
      <c r="J519" s="236">
        <v>21773</v>
      </c>
      <c r="K519" s="225">
        <f t="shared" si="14"/>
        <v>53394</v>
      </c>
      <c r="L519" s="236"/>
      <c r="M519" s="237">
        <v>2020</v>
      </c>
      <c r="N519" s="237">
        <v>0</v>
      </c>
      <c r="O519" s="236">
        <v>0</v>
      </c>
      <c r="P519" s="225">
        <f t="shared" si="15"/>
        <v>2020</v>
      </c>
      <c r="Q519" s="236"/>
      <c r="R519" s="237">
        <v>24043</v>
      </c>
      <c r="S519" s="238">
        <v>9103</v>
      </c>
      <c r="T519" s="238">
        <v>33146</v>
      </c>
    </row>
    <row r="520" spans="1:20">
      <c r="A520" s="231">
        <v>95517</v>
      </c>
      <c r="B520" s="232" t="s">
        <v>1229</v>
      </c>
      <c r="C520" s="92">
        <v>2.4499999999999999E-5</v>
      </c>
      <c r="D520" s="92">
        <v>1.66E-5</v>
      </c>
      <c r="E520" s="236">
        <v>37429</v>
      </c>
      <c r="F520" s="236"/>
      <c r="G520" s="237">
        <v>2156</v>
      </c>
      <c r="H520" s="225">
        <v>9087</v>
      </c>
      <c r="I520" s="237">
        <v>5345</v>
      </c>
      <c r="J520" s="236">
        <v>17989</v>
      </c>
      <c r="K520" s="225">
        <f t="shared" si="14"/>
        <v>34577</v>
      </c>
      <c r="L520" s="236"/>
      <c r="M520" s="237">
        <v>1060</v>
      </c>
      <c r="N520" s="237">
        <v>0</v>
      </c>
      <c r="O520" s="236">
        <v>0</v>
      </c>
      <c r="P520" s="225">
        <f t="shared" si="15"/>
        <v>1060</v>
      </c>
      <c r="Q520" s="236"/>
      <c r="R520" s="237">
        <v>12614</v>
      </c>
      <c r="S520" s="238">
        <v>6544</v>
      </c>
      <c r="T520" s="238">
        <v>19158</v>
      </c>
    </row>
    <row r="521" spans="1:20">
      <c r="A521" s="231">
        <v>95601</v>
      </c>
      <c r="B521" s="232" t="s">
        <v>1230</v>
      </c>
      <c r="C521" s="92">
        <v>2.6280000000000001E-3</v>
      </c>
      <c r="D521" s="92">
        <v>2.6592999999999999E-3</v>
      </c>
      <c r="E521" s="236">
        <v>4014856</v>
      </c>
      <c r="F521" s="236"/>
      <c r="G521" s="237">
        <v>231293</v>
      </c>
      <c r="H521" s="225">
        <v>974812</v>
      </c>
      <c r="I521" s="237">
        <v>573377</v>
      </c>
      <c r="J521" s="236">
        <v>85590</v>
      </c>
      <c r="K521" s="225">
        <f t="shared" si="14"/>
        <v>1865072</v>
      </c>
      <c r="L521" s="236"/>
      <c r="M521" s="237">
        <v>113648</v>
      </c>
      <c r="N521" s="237">
        <v>0</v>
      </c>
      <c r="O521" s="236">
        <v>19082</v>
      </c>
      <c r="P521" s="225">
        <f t="shared" si="15"/>
        <v>132730</v>
      </c>
      <c r="Q521" s="236"/>
      <c r="R521" s="237">
        <v>1353010</v>
      </c>
      <c r="S521" s="238">
        <v>47697</v>
      </c>
      <c r="T521" s="238">
        <v>1400707</v>
      </c>
    </row>
    <row r="522" spans="1:20">
      <c r="A522" s="231">
        <v>95611</v>
      </c>
      <c r="B522" s="232" t="s">
        <v>1231</v>
      </c>
      <c r="C522" s="92">
        <v>4.0660000000000002E-4</v>
      </c>
      <c r="D522" s="92">
        <v>3.9540000000000002E-4</v>
      </c>
      <c r="E522" s="236">
        <v>621172</v>
      </c>
      <c r="F522" s="236"/>
      <c r="G522" s="237">
        <v>35785</v>
      </c>
      <c r="H522" s="225">
        <v>150821</v>
      </c>
      <c r="I522" s="237">
        <v>88712</v>
      </c>
      <c r="J522" s="236">
        <v>8653</v>
      </c>
      <c r="K522" s="225">
        <f t="shared" ref="K522:K585" si="16">G522+H522+I522+J522</f>
        <v>283971</v>
      </c>
      <c r="L522" s="236"/>
      <c r="M522" s="237">
        <v>17583</v>
      </c>
      <c r="N522" s="237">
        <v>0</v>
      </c>
      <c r="O522" s="236">
        <v>3649</v>
      </c>
      <c r="P522" s="225">
        <f t="shared" ref="P522:P585" si="17">M522+N522+O522</f>
        <v>21232</v>
      </c>
      <c r="Q522" s="236"/>
      <c r="R522" s="237">
        <v>209336</v>
      </c>
      <c r="S522" s="238">
        <v>1212</v>
      </c>
      <c r="T522" s="238">
        <f>210547+1</f>
        <v>210548</v>
      </c>
    </row>
    <row r="523" spans="1:20">
      <c r="A523" s="231">
        <v>95617</v>
      </c>
      <c r="B523" s="232" t="s">
        <v>1232</v>
      </c>
      <c r="C523" s="92">
        <v>1.6399999999999999E-5</v>
      </c>
      <c r="D523" s="92">
        <v>1.6500000000000001E-5</v>
      </c>
      <c r="E523" s="236">
        <v>25055</v>
      </c>
      <c r="F523" s="236"/>
      <c r="G523" s="237">
        <v>1443</v>
      </c>
      <c r="H523" s="225">
        <v>6084</v>
      </c>
      <c r="I523" s="237">
        <v>3578</v>
      </c>
      <c r="J523" s="236">
        <v>722</v>
      </c>
      <c r="K523" s="225">
        <f t="shared" si="16"/>
        <v>11827</v>
      </c>
      <c r="L523" s="236"/>
      <c r="M523" s="237">
        <v>709</v>
      </c>
      <c r="N523" s="237">
        <v>0</v>
      </c>
      <c r="O523" s="236">
        <v>1277</v>
      </c>
      <c r="P523" s="225">
        <f t="shared" si="17"/>
        <v>1986</v>
      </c>
      <c r="Q523" s="236"/>
      <c r="R523" s="237">
        <v>8443</v>
      </c>
      <c r="S523" s="238">
        <v>-659</v>
      </c>
      <c r="T523" s="238">
        <v>7784</v>
      </c>
    </row>
    <row r="524" spans="1:20">
      <c r="A524" s="231">
        <v>95621</v>
      </c>
      <c r="B524" s="232" t="s">
        <v>1233</v>
      </c>
      <c r="C524" s="92">
        <v>4.5360000000000002E-4</v>
      </c>
      <c r="D524" s="92">
        <v>4.8020000000000002E-4</v>
      </c>
      <c r="E524" s="236">
        <v>692975</v>
      </c>
      <c r="F524" s="236"/>
      <c r="G524" s="237">
        <v>39922</v>
      </c>
      <c r="H524" s="225">
        <v>168255</v>
      </c>
      <c r="I524" s="237">
        <v>98966</v>
      </c>
      <c r="J524" s="236">
        <v>3166</v>
      </c>
      <c r="K524" s="225">
        <f t="shared" si="16"/>
        <v>310309</v>
      </c>
      <c r="L524" s="236"/>
      <c r="M524" s="237">
        <v>19616</v>
      </c>
      <c r="N524" s="237">
        <v>0</v>
      </c>
      <c r="O524" s="236">
        <v>4423</v>
      </c>
      <c r="P524" s="225">
        <f t="shared" si="17"/>
        <v>24039</v>
      </c>
      <c r="Q524" s="236"/>
      <c r="R524" s="237">
        <v>233533</v>
      </c>
      <c r="S524" s="238">
        <v>1481</v>
      </c>
      <c r="T524" s="238">
        <f>235015-1</f>
        <v>235014</v>
      </c>
    </row>
    <row r="525" spans="1:20">
      <c r="A525" s="231">
        <v>95701</v>
      </c>
      <c r="B525" s="232" t="s">
        <v>1234</v>
      </c>
      <c r="C525" s="92">
        <v>1.3747E-3</v>
      </c>
      <c r="D525" s="92">
        <v>1.291E-3</v>
      </c>
      <c r="E525" s="236">
        <v>2100161</v>
      </c>
      <c r="F525" s="236"/>
      <c r="G525" s="237">
        <v>120989</v>
      </c>
      <c r="H525" s="225">
        <v>509922</v>
      </c>
      <c r="I525" s="237">
        <v>299932</v>
      </c>
      <c r="J525" s="236">
        <v>62898</v>
      </c>
      <c r="K525" s="225">
        <f t="shared" si="16"/>
        <v>993741</v>
      </c>
      <c r="L525" s="236"/>
      <c r="M525" s="237">
        <v>59449</v>
      </c>
      <c r="N525" s="237">
        <v>0</v>
      </c>
      <c r="O525" s="236">
        <v>0</v>
      </c>
      <c r="P525" s="225">
        <f t="shared" si="17"/>
        <v>59449</v>
      </c>
      <c r="Q525" s="236"/>
      <c r="R525" s="237">
        <v>707756</v>
      </c>
      <c r="S525" s="238">
        <v>28646</v>
      </c>
      <c r="T525" s="238">
        <v>736402</v>
      </c>
    </row>
    <row r="526" spans="1:20">
      <c r="A526" s="231">
        <v>95711</v>
      </c>
      <c r="B526" s="232" t="s">
        <v>1235</v>
      </c>
      <c r="C526" s="92">
        <v>1.394E-4</v>
      </c>
      <c r="D526" s="92">
        <v>1.382E-4</v>
      </c>
      <c r="E526" s="236">
        <v>212965</v>
      </c>
      <c r="F526" s="236"/>
      <c r="G526" s="237">
        <v>12269</v>
      </c>
      <c r="H526" s="225">
        <v>51708</v>
      </c>
      <c r="I526" s="237">
        <v>30414</v>
      </c>
      <c r="J526" s="236">
        <v>6056</v>
      </c>
      <c r="K526" s="225">
        <f t="shared" si="16"/>
        <v>100447</v>
      </c>
      <c r="L526" s="236"/>
      <c r="M526" s="237">
        <v>6028</v>
      </c>
      <c r="N526" s="237">
        <v>0</v>
      </c>
      <c r="O526" s="236">
        <v>5836</v>
      </c>
      <c r="P526" s="225">
        <f t="shared" si="17"/>
        <v>11864</v>
      </c>
      <c r="Q526" s="236"/>
      <c r="R526" s="237">
        <v>71769</v>
      </c>
      <c r="S526" s="238">
        <v>1663</v>
      </c>
      <c r="T526" s="238">
        <v>73432</v>
      </c>
    </row>
    <row r="527" spans="1:20">
      <c r="A527" s="231">
        <v>95721</v>
      </c>
      <c r="B527" s="232" t="s">
        <v>1236</v>
      </c>
      <c r="C527" s="92">
        <v>6.7600000000000003E-5</v>
      </c>
      <c r="D527" s="92">
        <v>6.6199999999999996E-5</v>
      </c>
      <c r="E527" s="236">
        <v>103274</v>
      </c>
      <c r="F527" s="236"/>
      <c r="G527" s="237">
        <v>5950</v>
      </c>
      <c r="H527" s="225">
        <v>25075</v>
      </c>
      <c r="I527" s="237">
        <v>14749</v>
      </c>
      <c r="J527" s="236">
        <v>0</v>
      </c>
      <c r="K527" s="225">
        <f t="shared" si="16"/>
        <v>45774</v>
      </c>
      <c r="L527" s="236"/>
      <c r="M527" s="237">
        <v>2923</v>
      </c>
      <c r="N527" s="237">
        <v>0</v>
      </c>
      <c r="O527" s="236">
        <v>9622</v>
      </c>
      <c r="P527" s="225">
        <f t="shared" si="17"/>
        <v>12545</v>
      </c>
      <c r="Q527" s="236"/>
      <c r="R527" s="237">
        <v>34803</v>
      </c>
      <c r="S527" s="238">
        <v>-4619</v>
      </c>
      <c r="T527" s="238">
        <f>30185-1</f>
        <v>30184</v>
      </c>
    </row>
    <row r="528" spans="1:20">
      <c r="A528" s="231">
        <v>95733</v>
      </c>
      <c r="B528" s="232" t="s">
        <v>1237</v>
      </c>
      <c r="C528" s="92">
        <v>1.5400000000000002E-5</v>
      </c>
      <c r="D528" s="92">
        <v>1.56E-5</v>
      </c>
      <c r="E528" s="236">
        <v>23527</v>
      </c>
      <c r="F528" s="236"/>
      <c r="G528" s="237">
        <v>1355</v>
      </c>
      <c r="H528" s="225">
        <v>5712</v>
      </c>
      <c r="I528" s="237">
        <v>3360</v>
      </c>
      <c r="J528" s="236">
        <v>581</v>
      </c>
      <c r="K528" s="225">
        <f t="shared" si="16"/>
        <v>11008</v>
      </c>
      <c r="L528" s="236"/>
      <c r="M528" s="237">
        <v>666</v>
      </c>
      <c r="N528" s="237">
        <v>0</v>
      </c>
      <c r="O528" s="236">
        <v>464</v>
      </c>
      <c r="P528" s="225">
        <f t="shared" si="17"/>
        <v>1130</v>
      </c>
      <c r="Q528" s="236"/>
      <c r="R528" s="237">
        <v>7929</v>
      </c>
      <c r="S528" s="238">
        <v>209</v>
      </c>
      <c r="T528" s="238">
        <v>8138</v>
      </c>
    </row>
    <row r="529" spans="1:20">
      <c r="A529" s="231">
        <v>95801</v>
      </c>
      <c r="B529" s="232" t="s">
        <v>1238</v>
      </c>
      <c r="C529" s="92">
        <v>9.6310000000000005E-4</v>
      </c>
      <c r="D529" s="92">
        <v>8.9349999999999998E-4</v>
      </c>
      <c r="E529" s="236">
        <v>1471350</v>
      </c>
      <c r="F529" s="236"/>
      <c r="G529" s="237">
        <v>84763</v>
      </c>
      <c r="H529" s="225">
        <v>357246</v>
      </c>
      <c r="I529" s="237">
        <v>210129</v>
      </c>
      <c r="J529" s="236">
        <v>62205</v>
      </c>
      <c r="K529" s="225">
        <f t="shared" si="16"/>
        <v>714343</v>
      </c>
      <c r="L529" s="236"/>
      <c r="M529" s="237">
        <v>41649</v>
      </c>
      <c r="N529" s="237">
        <v>0</v>
      </c>
      <c r="O529" s="236">
        <v>4103</v>
      </c>
      <c r="P529" s="225">
        <f t="shared" si="17"/>
        <v>45752</v>
      </c>
      <c r="Q529" s="236"/>
      <c r="R529" s="237">
        <v>495846</v>
      </c>
      <c r="S529" s="238">
        <v>14399</v>
      </c>
      <c r="T529" s="238">
        <v>510245</v>
      </c>
    </row>
    <row r="530" spans="1:20">
      <c r="A530" s="231">
        <v>95802</v>
      </c>
      <c r="B530" s="232" t="s">
        <v>1239</v>
      </c>
      <c r="C530" s="92">
        <v>6.1E-6</v>
      </c>
      <c r="D530" s="92">
        <v>6.8000000000000001E-6</v>
      </c>
      <c r="E530" s="236">
        <v>9319</v>
      </c>
      <c r="F530" s="236"/>
      <c r="G530" s="237">
        <v>537</v>
      </c>
      <c r="H530" s="225">
        <v>2263</v>
      </c>
      <c r="I530" s="237">
        <v>1331</v>
      </c>
      <c r="J530" s="236">
        <v>3297</v>
      </c>
      <c r="K530" s="225">
        <f t="shared" si="16"/>
        <v>7428</v>
      </c>
      <c r="L530" s="236"/>
      <c r="M530" s="237">
        <v>264</v>
      </c>
      <c r="N530" s="237">
        <v>0</v>
      </c>
      <c r="O530" s="236">
        <v>1248</v>
      </c>
      <c r="P530" s="225">
        <f t="shared" si="17"/>
        <v>1512</v>
      </c>
      <c r="Q530" s="236"/>
      <c r="R530" s="237">
        <v>3141</v>
      </c>
      <c r="S530" s="238">
        <v>-81</v>
      </c>
      <c r="T530" s="238">
        <v>3060</v>
      </c>
    </row>
    <row r="531" spans="1:20">
      <c r="A531" s="231">
        <v>95804</v>
      </c>
      <c r="B531" s="232" t="s">
        <v>1240</v>
      </c>
      <c r="C531" s="92">
        <v>2.19E-5</v>
      </c>
      <c r="D531" s="92">
        <v>1.63E-5</v>
      </c>
      <c r="E531" s="236">
        <v>33457</v>
      </c>
      <c r="F531" s="236"/>
      <c r="G531" s="237">
        <v>1927</v>
      </c>
      <c r="H531" s="225">
        <v>8123</v>
      </c>
      <c r="I531" s="237">
        <v>4778</v>
      </c>
      <c r="J531" s="236">
        <v>3631</v>
      </c>
      <c r="K531" s="225">
        <f t="shared" si="16"/>
        <v>18459</v>
      </c>
      <c r="L531" s="236"/>
      <c r="M531" s="237">
        <v>947</v>
      </c>
      <c r="N531" s="237">
        <v>0</v>
      </c>
      <c r="O531" s="236">
        <v>0</v>
      </c>
      <c r="P531" s="225">
        <f t="shared" si="17"/>
        <v>947</v>
      </c>
      <c r="Q531" s="236"/>
      <c r="R531" s="237">
        <v>11275</v>
      </c>
      <c r="S531" s="238">
        <v>1628</v>
      </c>
      <c r="T531" s="238">
        <f>12904-1</f>
        <v>12903</v>
      </c>
    </row>
    <row r="532" spans="1:20">
      <c r="A532" s="231">
        <v>95811</v>
      </c>
      <c r="B532" s="232" t="s">
        <v>1241</v>
      </c>
      <c r="C532" s="92">
        <v>5.3129999999999996E-4</v>
      </c>
      <c r="D532" s="92">
        <v>5.3410000000000003E-4</v>
      </c>
      <c r="E532" s="236">
        <v>811679</v>
      </c>
      <c r="F532" s="236"/>
      <c r="G532" s="237">
        <v>46760</v>
      </c>
      <c r="H532" s="225">
        <v>197076</v>
      </c>
      <c r="I532" s="237">
        <v>115919</v>
      </c>
      <c r="J532" s="236">
        <v>1678</v>
      </c>
      <c r="K532" s="225">
        <f t="shared" si="16"/>
        <v>361433</v>
      </c>
      <c r="L532" s="236"/>
      <c r="M532" s="237">
        <v>22976</v>
      </c>
      <c r="N532" s="237">
        <v>0</v>
      </c>
      <c r="O532" s="236">
        <v>5329</v>
      </c>
      <c r="P532" s="225">
        <f t="shared" si="17"/>
        <v>28305</v>
      </c>
      <c r="Q532" s="236"/>
      <c r="R532" s="237">
        <v>273537</v>
      </c>
      <c r="S532" s="238">
        <v>-1501</v>
      </c>
      <c r="T532" s="238">
        <f>272035+1</f>
        <v>272036</v>
      </c>
    </row>
    <row r="533" spans="1:20">
      <c r="A533" s="231">
        <v>95813</v>
      </c>
      <c r="B533" s="232" t="s">
        <v>1242</v>
      </c>
      <c r="C533" s="92">
        <v>4.88E-5</v>
      </c>
      <c r="D533" s="92">
        <v>4.4400000000000002E-5</v>
      </c>
      <c r="E533" s="236">
        <v>74553</v>
      </c>
      <c r="F533" s="236"/>
      <c r="G533" s="237">
        <v>4295</v>
      </c>
      <c r="H533" s="225">
        <v>18101</v>
      </c>
      <c r="I533" s="237">
        <v>10647</v>
      </c>
      <c r="J533" s="236">
        <v>72000</v>
      </c>
      <c r="K533" s="225">
        <f t="shared" si="16"/>
        <v>105043</v>
      </c>
      <c r="L533" s="236"/>
      <c r="M533" s="237">
        <v>2110</v>
      </c>
      <c r="N533" s="237">
        <v>0</v>
      </c>
      <c r="O533" s="236">
        <v>0</v>
      </c>
      <c r="P533" s="225">
        <f t="shared" si="17"/>
        <v>2110</v>
      </c>
      <c r="Q533" s="236"/>
      <c r="R533" s="237">
        <v>25124</v>
      </c>
      <c r="S533" s="238">
        <v>24457</v>
      </c>
      <c r="T533" s="238">
        <v>49581</v>
      </c>
    </row>
    <row r="534" spans="1:20">
      <c r="A534" s="231">
        <v>95821</v>
      </c>
      <c r="B534" s="232" t="s">
        <v>1243</v>
      </c>
      <c r="C534" s="92">
        <v>0</v>
      </c>
      <c r="D534" s="92">
        <v>1.7E-6</v>
      </c>
      <c r="E534" s="236">
        <v>0</v>
      </c>
      <c r="F534" s="236"/>
      <c r="G534" s="237">
        <v>0</v>
      </c>
      <c r="H534" s="225">
        <v>0</v>
      </c>
      <c r="I534" s="237">
        <v>0</v>
      </c>
      <c r="J534" s="236">
        <v>1293</v>
      </c>
      <c r="K534" s="225">
        <f t="shared" si="16"/>
        <v>1293</v>
      </c>
      <c r="L534" s="236"/>
      <c r="M534" s="237">
        <v>0</v>
      </c>
      <c r="N534" s="237">
        <v>0</v>
      </c>
      <c r="O534" s="236">
        <v>652</v>
      </c>
      <c r="P534" s="225">
        <f t="shared" si="17"/>
        <v>652</v>
      </c>
      <c r="Q534" s="236"/>
      <c r="R534" s="237">
        <v>0</v>
      </c>
      <c r="S534" s="238">
        <v>460</v>
      </c>
      <c r="T534" s="238">
        <v>460</v>
      </c>
    </row>
    <row r="535" spans="1:20">
      <c r="A535" s="231">
        <v>95831</v>
      </c>
      <c r="B535" s="232" t="s">
        <v>1244</v>
      </c>
      <c r="C535" s="92">
        <v>1.6799999999999998E-5</v>
      </c>
      <c r="D535" s="92">
        <v>1.36E-5</v>
      </c>
      <c r="E535" s="236">
        <v>25666</v>
      </c>
      <c r="F535" s="236"/>
      <c r="G535" s="237">
        <v>1479</v>
      </c>
      <c r="H535" s="225">
        <v>6232</v>
      </c>
      <c r="I535" s="237">
        <v>3665</v>
      </c>
      <c r="J535" s="236">
        <v>23962</v>
      </c>
      <c r="K535" s="225">
        <f t="shared" si="16"/>
        <v>35338</v>
      </c>
      <c r="L535" s="236"/>
      <c r="M535" s="237">
        <v>727</v>
      </c>
      <c r="N535" s="237">
        <v>0</v>
      </c>
      <c r="O535" s="236">
        <v>0</v>
      </c>
      <c r="P535" s="225">
        <f t="shared" si="17"/>
        <v>727</v>
      </c>
      <c r="Q535" s="236"/>
      <c r="R535" s="237">
        <v>8649</v>
      </c>
      <c r="S535" s="238">
        <v>8068</v>
      </c>
      <c r="T535" s="238">
        <v>16717</v>
      </c>
    </row>
    <row r="536" spans="1:20">
      <c r="A536" s="231">
        <v>95841</v>
      </c>
      <c r="B536" s="232" t="s">
        <v>1245</v>
      </c>
      <c r="C536" s="92">
        <v>2.0999999999999999E-5</v>
      </c>
      <c r="D536" s="92">
        <v>2.1100000000000001E-5</v>
      </c>
      <c r="E536" s="236">
        <v>32082</v>
      </c>
      <c r="F536" s="236"/>
      <c r="G536" s="237">
        <v>1848</v>
      </c>
      <c r="H536" s="225">
        <v>7790</v>
      </c>
      <c r="I536" s="237">
        <v>4582</v>
      </c>
      <c r="J536" s="236">
        <v>2103</v>
      </c>
      <c r="K536" s="225">
        <f t="shared" si="16"/>
        <v>16323</v>
      </c>
      <c r="L536" s="236"/>
      <c r="M536" s="237">
        <v>908</v>
      </c>
      <c r="N536" s="237">
        <v>0</v>
      </c>
      <c r="O536" s="236">
        <v>0</v>
      </c>
      <c r="P536" s="225">
        <f t="shared" si="17"/>
        <v>908</v>
      </c>
      <c r="Q536" s="236"/>
      <c r="R536" s="237">
        <v>10812</v>
      </c>
      <c r="S536" s="238">
        <v>817</v>
      </c>
      <c r="T536" s="238">
        <v>11629</v>
      </c>
    </row>
    <row r="537" spans="1:20">
      <c r="A537" s="231">
        <v>95851</v>
      </c>
      <c r="B537" s="232" t="s">
        <v>1246</v>
      </c>
      <c r="C537" s="92">
        <v>1.327E-4</v>
      </c>
      <c r="D537" s="92">
        <v>1.3009999999999999E-4</v>
      </c>
      <c r="E537" s="236">
        <v>202729</v>
      </c>
      <c r="F537" s="236"/>
      <c r="G537" s="237">
        <v>11679</v>
      </c>
      <c r="H537" s="225">
        <v>49223</v>
      </c>
      <c r="I537" s="237">
        <v>28952</v>
      </c>
      <c r="J537" s="236">
        <v>130637</v>
      </c>
      <c r="K537" s="225">
        <f t="shared" si="16"/>
        <v>220491</v>
      </c>
      <c r="L537" s="236"/>
      <c r="M537" s="237">
        <v>5739</v>
      </c>
      <c r="N537" s="237">
        <v>0</v>
      </c>
      <c r="O537" s="236">
        <v>4180</v>
      </c>
      <c r="P537" s="225">
        <f t="shared" si="17"/>
        <v>9919</v>
      </c>
      <c r="Q537" s="236"/>
      <c r="R537" s="237">
        <v>68320</v>
      </c>
      <c r="S537" s="238">
        <v>39831</v>
      </c>
      <c r="T537" s="238">
        <v>108151</v>
      </c>
    </row>
    <row r="538" spans="1:20">
      <c r="A538" s="231">
        <v>95853</v>
      </c>
      <c r="B538" s="232" t="s">
        <v>1247</v>
      </c>
      <c r="C538" s="92">
        <v>2.69E-5</v>
      </c>
      <c r="D538" s="92">
        <v>2.4000000000000001E-5</v>
      </c>
      <c r="E538" s="236">
        <v>41096</v>
      </c>
      <c r="F538" s="236"/>
      <c r="G538" s="237">
        <v>2367</v>
      </c>
      <c r="H538" s="225">
        <v>9978</v>
      </c>
      <c r="I538" s="237">
        <v>5869</v>
      </c>
      <c r="J538" s="236">
        <v>8793</v>
      </c>
      <c r="K538" s="225">
        <f t="shared" si="16"/>
        <v>27007</v>
      </c>
      <c r="L538" s="236"/>
      <c r="M538" s="237">
        <v>1163</v>
      </c>
      <c r="N538" s="237">
        <v>0</v>
      </c>
      <c r="O538" s="236">
        <v>0</v>
      </c>
      <c r="P538" s="225">
        <f t="shared" si="17"/>
        <v>1163</v>
      </c>
      <c r="Q538" s="236"/>
      <c r="R538" s="237">
        <v>13849</v>
      </c>
      <c r="S538" s="238">
        <v>3675</v>
      </c>
      <c r="T538" s="238">
        <f>17525-1</f>
        <v>17524</v>
      </c>
    </row>
    <row r="539" spans="1:20">
      <c r="A539" s="231">
        <v>95901</v>
      </c>
      <c r="B539" s="232" t="s">
        <v>1248</v>
      </c>
      <c r="C539" s="92">
        <v>1.8714999999999999E-3</v>
      </c>
      <c r="D539" s="92">
        <v>1.8266999999999999E-3</v>
      </c>
      <c r="E539" s="236">
        <v>2859134</v>
      </c>
      <c r="F539" s="236"/>
      <c r="G539" s="237">
        <v>164713</v>
      </c>
      <c r="H539" s="225">
        <v>694201</v>
      </c>
      <c r="I539" s="237">
        <v>408324</v>
      </c>
      <c r="J539" s="236">
        <v>36652</v>
      </c>
      <c r="K539" s="225">
        <f t="shared" si="16"/>
        <v>1303890</v>
      </c>
      <c r="L539" s="236"/>
      <c r="M539" s="237">
        <v>80933</v>
      </c>
      <c r="N539" s="237">
        <v>0</v>
      </c>
      <c r="O539" s="236">
        <v>13191</v>
      </c>
      <c r="P539" s="225">
        <f t="shared" si="17"/>
        <v>94124</v>
      </c>
      <c r="Q539" s="236"/>
      <c r="R539" s="237">
        <v>963531</v>
      </c>
      <c r="S539" s="238">
        <v>28466</v>
      </c>
      <c r="T539" s="238">
        <v>991997</v>
      </c>
    </row>
    <row r="540" spans="1:20">
      <c r="A540" s="231">
        <v>95908</v>
      </c>
      <c r="B540" s="232" t="s">
        <v>1249</v>
      </c>
      <c r="C540" s="92">
        <v>7.2200000000000007E-5</v>
      </c>
      <c r="D540" s="92">
        <v>7.2000000000000002E-5</v>
      </c>
      <c r="E540" s="236">
        <v>110302</v>
      </c>
      <c r="F540" s="236"/>
      <c r="G540" s="237">
        <v>6354</v>
      </c>
      <c r="H540" s="225">
        <v>26781</v>
      </c>
      <c r="I540" s="237">
        <v>15753</v>
      </c>
      <c r="J540" s="236">
        <v>0</v>
      </c>
      <c r="K540" s="225">
        <f t="shared" si="16"/>
        <v>48888</v>
      </c>
      <c r="L540" s="236"/>
      <c r="M540" s="237">
        <v>3122</v>
      </c>
      <c r="N540" s="237">
        <v>0</v>
      </c>
      <c r="O540" s="236">
        <v>22164</v>
      </c>
      <c r="P540" s="225">
        <f t="shared" si="17"/>
        <v>25286</v>
      </c>
      <c r="Q540" s="236"/>
      <c r="R540" s="237">
        <v>37172</v>
      </c>
      <c r="S540" s="238">
        <v>-10736</v>
      </c>
      <c r="T540" s="238">
        <v>26436</v>
      </c>
    </row>
    <row r="541" spans="1:20">
      <c r="A541" s="231">
        <v>95911</v>
      </c>
      <c r="B541" s="232" t="s">
        <v>1250</v>
      </c>
      <c r="C541" s="92">
        <v>5.7450000000000003E-4</v>
      </c>
      <c r="D541" s="92">
        <v>5.6979999999999997E-4</v>
      </c>
      <c r="E541" s="236">
        <v>877677</v>
      </c>
      <c r="F541" s="236"/>
      <c r="G541" s="237">
        <v>50562</v>
      </c>
      <c r="H541" s="225">
        <v>213101</v>
      </c>
      <c r="I541" s="237">
        <v>125344</v>
      </c>
      <c r="J541" s="236">
        <v>2898</v>
      </c>
      <c r="K541" s="225">
        <f t="shared" si="16"/>
        <v>391905</v>
      </c>
      <c r="L541" s="236"/>
      <c r="M541" s="237">
        <v>24844</v>
      </c>
      <c r="N541" s="237">
        <v>0</v>
      </c>
      <c r="O541" s="236">
        <v>40952</v>
      </c>
      <c r="P541" s="225">
        <f t="shared" si="17"/>
        <v>65796</v>
      </c>
      <c r="Q541" s="236"/>
      <c r="R541" s="237">
        <v>295778</v>
      </c>
      <c r="S541" s="238">
        <v>-14076</v>
      </c>
      <c r="T541" s="238">
        <v>281702</v>
      </c>
    </row>
    <row r="542" spans="1:20">
      <c r="A542" s="231">
        <v>95917</v>
      </c>
      <c r="B542" s="232" t="s">
        <v>1251</v>
      </c>
      <c r="C542" s="92">
        <v>2.6699999999999998E-5</v>
      </c>
      <c r="D542" s="92">
        <v>2.2399999999999999E-5</v>
      </c>
      <c r="E542" s="236">
        <v>40790</v>
      </c>
      <c r="F542" s="236"/>
      <c r="G542" s="237">
        <v>2350</v>
      </c>
      <c r="H542" s="225">
        <v>9904</v>
      </c>
      <c r="I542" s="237">
        <v>5825</v>
      </c>
      <c r="J542" s="236">
        <v>4378</v>
      </c>
      <c r="K542" s="225">
        <f t="shared" si="16"/>
        <v>22457</v>
      </c>
      <c r="L542" s="236"/>
      <c r="M542" s="237">
        <v>1155</v>
      </c>
      <c r="N542" s="237">
        <v>0</v>
      </c>
      <c r="O542" s="236">
        <v>501</v>
      </c>
      <c r="P542" s="225">
        <f t="shared" si="17"/>
        <v>1656</v>
      </c>
      <c r="Q542" s="236"/>
      <c r="R542" s="237">
        <v>13746</v>
      </c>
      <c r="S542" s="238">
        <v>2216</v>
      </c>
      <c r="T542" s="238">
        <v>15962</v>
      </c>
    </row>
    <row r="543" spans="1:20">
      <c r="A543" s="231">
        <v>95921</v>
      </c>
      <c r="B543" s="232" t="s">
        <v>1252</v>
      </c>
      <c r="C543" s="92">
        <v>4.7500000000000003E-5</v>
      </c>
      <c r="D543" s="92">
        <v>4.4700000000000002E-5</v>
      </c>
      <c r="E543" s="236">
        <v>72567</v>
      </c>
      <c r="F543" s="236"/>
      <c r="G543" s="237">
        <v>4181</v>
      </c>
      <c r="H543" s="225">
        <v>17619</v>
      </c>
      <c r="I543" s="237">
        <v>10364</v>
      </c>
      <c r="J543" s="236">
        <v>3925</v>
      </c>
      <c r="K543" s="225">
        <f t="shared" si="16"/>
        <v>36089</v>
      </c>
      <c r="L543" s="236"/>
      <c r="M543" s="237">
        <v>2054</v>
      </c>
      <c r="N543" s="237">
        <v>0</v>
      </c>
      <c r="O543" s="236">
        <v>948</v>
      </c>
      <c r="P543" s="225">
        <f t="shared" si="17"/>
        <v>3002</v>
      </c>
      <c r="Q543" s="236"/>
      <c r="R543" s="237">
        <v>24455</v>
      </c>
      <c r="S543" s="238">
        <v>526</v>
      </c>
      <c r="T543" s="238">
        <v>24981</v>
      </c>
    </row>
    <row r="544" spans="1:20">
      <c r="A544" s="231">
        <v>96001</v>
      </c>
      <c r="B544" s="232" t="s">
        <v>1253</v>
      </c>
      <c r="C544" s="92">
        <v>4.4386399999999999E-2</v>
      </c>
      <c r="D544" s="92">
        <v>4.43519E-2</v>
      </c>
      <c r="E544" s="236">
        <v>67810124</v>
      </c>
      <c r="F544" s="236"/>
      <c r="G544" s="237">
        <v>3906491</v>
      </c>
      <c r="H544" s="225">
        <v>16464380</v>
      </c>
      <c r="I544" s="237">
        <v>9684225</v>
      </c>
      <c r="J544" s="236">
        <v>1457342</v>
      </c>
      <c r="K544" s="225">
        <f t="shared" si="16"/>
        <v>31512438</v>
      </c>
      <c r="L544" s="236"/>
      <c r="M544" s="237">
        <v>1919490</v>
      </c>
      <c r="N544" s="237">
        <v>0</v>
      </c>
      <c r="O544" s="236">
        <v>477903</v>
      </c>
      <c r="P544" s="225">
        <f t="shared" si="17"/>
        <v>2397393</v>
      </c>
      <c r="Q544" s="236"/>
      <c r="R544" s="237">
        <v>22852072</v>
      </c>
      <c r="S544" s="238">
        <v>1208760</v>
      </c>
      <c r="T544" s="238">
        <v>24060832</v>
      </c>
    </row>
    <row r="545" spans="1:20">
      <c r="A545" s="231">
        <v>96003</v>
      </c>
      <c r="B545" s="232" t="s">
        <v>1254</v>
      </c>
      <c r="C545" s="92">
        <v>1.6523E-3</v>
      </c>
      <c r="D545" s="92">
        <v>1.7309000000000001E-3</v>
      </c>
      <c r="E545" s="236">
        <v>2524257</v>
      </c>
      <c r="F545" s="236"/>
      <c r="G545" s="237">
        <v>145421</v>
      </c>
      <c r="H545" s="225">
        <v>612893</v>
      </c>
      <c r="I545" s="237">
        <v>360499</v>
      </c>
      <c r="J545" s="236">
        <v>3089</v>
      </c>
      <c r="K545" s="225">
        <f t="shared" si="16"/>
        <v>1121902</v>
      </c>
      <c r="L545" s="236"/>
      <c r="M545" s="237">
        <v>71454</v>
      </c>
      <c r="N545" s="237">
        <v>0</v>
      </c>
      <c r="O545" s="236">
        <v>135978</v>
      </c>
      <c r="P545" s="225">
        <f t="shared" si="17"/>
        <v>207432</v>
      </c>
      <c r="Q545" s="236"/>
      <c r="R545" s="237">
        <v>850677</v>
      </c>
      <c r="S545" s="238">
        <v>-56030</v>
      </c>
      <c r="T545" s="238">
        <v>794647</v>
      </c>
    </row>
    <row r="546" spans="1:20">
      <c r="A546" s="231">
        <v>96004</v>
      </c>
      <c r="B546" s="232" t="s">
        <v>1255</v>
      </c>
      <c r="C546" s="92">
        <v>8.9439999999999995E-4</v>
      </c>
      <c r="D546" s="92">
        <v>8.7699999999999996E-4</v>
      </c>
      <c r="E546" s="236">
        <v>1366395</v>
      </c>
      <c r="F546" s="236"/>
      <c r="G546" s="237">
        <v>78717</v>
      </c>
      <c r="H546" s="225">
        <v>331762</v>
      </c>
      <c r="I546" s="237">
        <v>195140</v>
      </c>
      <c r="J546" s="236">
        <v>149546</v>
      </c>
      <c r="K546" s="225">
        <f t="shared" si="16"/>
        <v>755165</v>
      </c>
      <c r="L546" s="236"/>
      <c r="M546" s="237">
        <v>38678</v>
      </c>
      <c r="N546" s="237">
        <v>0</v>
      </c>
      <c r="O546" s="236">
        <v>0</v>
      </c>
      <c r="P546" s="225">
        <f t="shared" si="17"/>
        <v>38678</v>
      </c>
      <c r="Q546" s="236"/>
      <c r="R546" s="237">
        <v>460476</v>
      </c>
      <c r="S546" s="238">
        <v>65505</v>
      </c>
      <c r="T546" s="238">
        <f>525982-1</f>
        <v>525981</v>
      </c>
    </row>
    <row r="547" spans="1:20">
      <c r="A547" s="231">
        <v>96005</v>
      </c>
      <c r="B547" s="232" t="s">
        <v>1256</v>
      </c>
      <c r="C547" s="92">
        <v>2.6733999999999998E-3</v>
      </c>
      <c r="D547" s="92">
        <v>2.6457E-3</v>
      </c>
      <c r="E547" s="236">
        <v>4084215</v>
      </c>
      <c r="F547" s="236"/>
      <c r="G547" s="237">
        <v>235289</v>
      </c>
      <c r="H547" s="225">
        <v>991653</v>
      </c>
      <c r="I547" s="237">
        <v>583282</v>
      </c>
      <c r="J547" s="236">
        <v>222285</v>
      </c>
      <c r="K547" s="225">
        <f t="shared" si="16"/>
        <v>2032509</v>
      </c>
      <c r="L547" s="236"/>
      <c r="M547" s="237">
        <v>115611</v>
      </c>
      <c r="N547" s="237">
        <v>0</v>
      </c>
      <c r="O547" s="236">
        <v>0</v>
      </c>
      <c r="P547" s="225">
        <f t="shared" si="17"/>
        <v>115611</v>
      </c>
      <c r="Q547" s="236"/>
      <c r="R547" s="237">
        <v>1376384</v>
      </c>
      <c r="S547" s="238">
        <v>159087</v>
      </c>
      <c r="T547" s="238">
        <v>1535471</v>
      </c>
    </row>
    <row r="548" spans="1:20">
      <c r="A548" s="231">
        <v>96008</v>
      </c>
      <c r="B548" s="232" t="s">
        <v>1257</v>
      </c>
      <c r="C548" s="92">
        <v>5.9955E-3</v>
      </c>
      <c r="D548" s="92">
        <v>5.9388000000000002E-3</v>
      </c>
      <c r="E548" s="236">
        <v>9159463</v>
      </c>
      <c r="F548" s="236"/>
      <c r="G548" s="237">
        <v>527670</v>
      </c>
      <c r="H548" s="225">
        <v>2223929</v>
      </c>
      <c r="I548" s="237">
        <v>1308098</v>
      </c>
      <c r="J548" s="236">
        <v>0</v>
      </c>
      <c r="K548" s="225">
        <f t="shared" si="16"/>
        <v>4059697</v>
      </c>
      <c r="L548" s="236"/>
      <c r="M548" s="237">
        <v>259275</v>
      </c>
      <c r="N548" s="237">
        <v>0</v>
      </c>
      <c r="O548" s="236">
        <v>767021</v>
      </c>
      <c r="P548" s="225">
        <f t="shared" si="17"/>
        <v>1026296</v>
      </c>
      <c r="Q548" s="236"/>
      <c r="R548" s="237">
        <v>3086747</v>
      </c>
      <c r="S548" s="238">
        <v>-274630</v>
      </c>
      <c r="T548" s="238">
        <v>2812117</v>
      </c>
    </row>
    <row r="549" spans="1:20">
      <c r="A549" s="231">
        <v>96009</v>
      </c>
      <c r="B549" s="232" t="s">
        <v>1258</v>
      </c>
      <c r="C549" s="92">
        <v>3.7609999999999998E-4</v>
      </c>
      <c r="D549" s="92">
        <v>3.5980000000000002E-4</v>
      </c>
      <c r="E549" s="236">
        <v>574577</v>
      </c>
      <c r="F549" s="236"/>
      <c r="G549" s="237">
        <v>33101</v>
      </c>
      <c r="H549" s="225">
        <v>139508</v>
      </c>
      <c r="I549" s="237">
        <v>82057</v>
      </c>
      <c r="J549" s="236">
        <v>33181</v>
      </c>
      <c r="K549" s="225">
        <f t="shared" si="16"/>
        <v>287847</v>
      </c>
      <c r="L549" s="236"/>
      <c r="M549" s="237">
        <v>16264</v>
      </c>
      <c r="N549" s="237">
        <v>0</v>
      </c>
      <c r="O549" s="236">
        <v>2595</v>
      </c>
      <c r="P549" s="225">
        <f t="shared" si="17"/>
        <v>18859</v>
      </c>
      <c r="Q549" s="236"/>
      <c r="R549" s="237">
        <v>193633</v>
      </c>
      <c r="S549" s="238">
        <v>11508</v>
      </c>
      <c r="T549" s="238">
        <v>205141</v>
      </c>
    </row>
    <row r="550" spans="1:20">
      <c r="A550" s="231">
        <v>96011</v>
      </c>
      <c r="B550" s="232" t="s">
        <v>1259</v>
      </c>
      <c r="C550" s="92">
        <v>6.1150400000000001E-2</v>
      </c>
      <c r="D550" s="92">
        <v>6.0489000000000001E-2</v>
      </c>
      <c r="E550" s="236">
        <v>93420873</v>
      </c>
      <c r="F550" s="236"/>
      <c r="G550" s="237">
        <v>5381908</v>
      </c>
      <c r="H550" s="225">
        <v>22682701</v>
      </c>
      <c r="I550" s="237">
        <v>13341794</v>
      </c>
      <c r="J550" s="236">
        <v>796221</v>
      </c>
      <c r="K550" s="225">
        <f t="shared" si="16"/>
        <v>42202624</v>
      </c>
      <c r="L550" s="236"/>
      <c r="M550" s="237">
        <v>2644449</v>
      </c>
      <c r="N550" s="237">
        <v>0</v>
      </c>
      <c r="O550" s="236">
        <v>51460</v>
      </c>
      <c r="P550" s="225">
        <f t="shared" si="17"/>
        <v>2695909</v>
      </c>
      <c r="Q550" s="236"/>
      <c r="R550" s="237">
        <v>31482917</v>
      </c>
      <c r="S550" s="238">
        <v>212508</v>
      </c>
      <c r="T550" s="238">
        <v>31695425</v>
      </c>
    </row>
    <row r="551" spans="1:20">
      <c r="A551" s="231">
        <v>96012</v>
      </c>
      <c r="B551" s="232" t="s">
        <v>1260</v>
      </c>
      <c r="C551" s="92">
        <v>2.4417000000000002E-3</v>
      </c>
      <c r="D551" s="92">
        <v>2.4095000000000002E-3</v>
      </c>
      <c r="E551" s="236">
        <v>3730241</v>
      </c>
      <c r="F551" s="236"/>
      <c r="G551" s="237">
        <v>214896</v>
      </c>
      <c r="H551" s="225">
        <v>905707</v>
      </c>
      <c r="I551" s="237">
        <v>532730</v>
      </c>
      <c r="J551" s="236">
        <v>77080</v>
      </c>
      <c r="K551" s="225">
        <f t="shared" si="16"/>
        <v>1730413</v>
      </c>
      <c r="L551" s="236"/>
      <c r="M551" s="237">
        <v>105591</v>
      </c>
      <c r="N551" s="237">
        <v>0</v>
      </c>
      <c r="O551" s="236">
        <v>937</v>
      </c>
      <c r="P551" s="225">
        <f t="shared" si="17"/>
        <v>106528</v>
      </c>
      <c r="Q551" s="236"/>
      <c r="R551" s="237">
        <v>1257095</v>
      </c>
      <c r="S551" s="238">
        <v>35595</v>
      </c>
      <c r="T551" s="238">
        <v>1292690</v>
      </c>
    </row>
    <row r="552" spans="1:20">
      <c r="A552" s="231">
        <v>96018</v>
      </c>
      <c r="B552" s="232" t="s">
        <v>1261</v>
      </c>
      <c r="C552" s="92">
        <v>4.3600000000000003E-5</v>
      </c>
      <c r="D552" s="92">
        <v>3.6199999999999999E-5</v>
      </c>
      <c r="E552" s="236">
        <v>66609</v>
      </c>
      <c r="F552" s="236"/>
      <c r="G552" s="237">
        <v>3837</v>
      </c>
      <c r="H552" s="225">
        <v>16173</v>
      </c>
      <c r="I552" s="237">
        <v>9513</v>
      </c>
      <c r="J552" s="236">
        <v>9704</v>
      </c>
      <c r="K552" s="225">
        <f t="shared" si="16"/>
        <v>39227</v>
      </c>
      <c r="L552" s="236"/>
      <c r="M552" s="237">
        <v>1885</v>
      </c>
      <c r="N552" s="237">
        <v>0</v>
      </c>
      <c r="O552" s="236">
        <v>0</v>
      </c>
      <c r="P552" s="225">
        <f t="shared" si="17"/>
        <v>1885</v>
      </c>
      <c r="Q552" s="236"/>
      <c r="R552" s="237">
        <v>22447</v>
      </c>
      <c r="S552" s="238">
        <v>5913</v>
      </c>
      <c r="T552" s="238">
        <v>28360</v>
      </c>
    </row>
    <row r="553" spans="1:20">
      <c r="A553" s="231">
        <v>96021</v>
      </c>
      <c r="B553" s="232" t="s">
        <v>1262</v>
      </c>
      <c r="C553" s="92">
        <v>7.2090000000000001E-4</v>
      </c>
      <c r="D553" s="92">
        <v>8.5829999999999999E-4</v>
      </c>
      <c r="E553" s="236">
        <v>1101336</v>
      </c>
      <c r="F553" s="236"/>
      <c r="G553" s="237">
        <v>63447</v>
      </c>
      <c r="H553" s="225">
        <v>267406</v>
      </c>
      <c r="I553" s="237">
        <v>157286</v>
      </c>
      <c r="J553" s="236">
        <v>31959</v>
      </c>
      <c r="K553" s="225">
        <f t="shared" si="16"/>
        <v>520098</v>
      </c>
      <c r="L553" s="236"/>
      <c r="M553" s="237">
        <v>31175</v>
      </c>
      <c r="N553" s="237">
        <v>0</v>
      </c>
      <c r="O553" s="236">
        <v>119309</v>
      </c>
      <c r="P553" s="225">
        <f t="shared" si="17"/>
        <v>150484</v>
      </c>
      <c r="Q553" s="236"/>
      <c r="R553" s="237">
        <v>371151</v>
      </c>
      <c r="S553" s="238">
        <v>-13869</v>
      </c>
      <c r="T553" s="238">
        <v>357282</v>
      </c>
    </row>
    <row r="554" spans="1:20">
      <c r="A554" s="231">
        <v>96031</v>
      </c>
      <c r="B554" s="232" t="s">
        <v>1263</v>
      </c>
      <c r="C554" s="92">
        <v>8.2580000000000001E-4</v>
      </c>
      <c r="D554" s="92">
        <v>9.0189999999999997E-4</v>
      </c>
      <c r="E554" s="236">
        <v>1261594</v>
      </c>
      <c r="F554" s="236"/>
      <c r="G554" s="237">
        <v>72679</v>
      </c>
      <c r="H554" s="225">
        <v>306317</v>
      </c>
      <c r="I554" s="237">
        <v>180173</v>
      </c>
      <c r="J554" s="236">
        <v>0</v>
      </c>
      <c r="K554" s="225">
        <f t="shared" si="16"/>
        <v>559169</v>
      </c>
      <c r="L554" s="236"/>
      <c r="M554" s="237">
        <v>35712</v>
      </c>
      <c r="N554" s="237">
        <v>0</v>
      </c>
      <c r="O554" s="236">
        <v>179263</v>
      </c>
      <c r="P554" s="225">
        <f t="shared" si="17"/>
        <v>214975</v>
      </c>
      <c r="Q554" s="236"/>
      <c r="R554" s="237">
        <v>425158</v>
      </c>
      <c r="S554" s="238">
        <v>-74461</v>
      </c>
      <c r="T554" s="238">
        <v>350697</v>
      </c>
    </row>
    <row r="555" spans="1:20">
      <c r="A555" s="231">
        <v>96041</v>
      </c>
      <c r="B555" s="232" t="s">
        <v>1264</v>
      </c>
      <c r="C555" s="92">
        <v>1.7361E-3</v>
      </c>
      <c r="D555" s="92">
        <v>1.7323E-3</v>
      </c>
      <c r="E555" s="236">
        <v>2652280</v>
      </c>
      <c r="F555" s="236"/>
      <c r="G555" s="237">
        <v>152796</v>
      </c>
      <c r="H555" s="225">
        <v>643977</v>
      </c>
      <c r="I555" s="237">
        <v>378782</v>
      </c>
      <c r="J555" s="236">
        <v>0</v>
      </c>
      <c r="K555" s="225">
        <f t="shared" si="16"/>
        <v>1175555</v>
      </c>
      <c r="L555" s="236"/>
      <c r="M555" s="237">
        <v>75078</v>
      </c>
      <c r="N555" s="237">
        <v>0</v>
      </c>
      <c r="O555" s="236">
        <v>139404</v>
      </c>
      <c r="P555" s="225">
        <f t="shared" si="17"/>
        <v>214482</v>
      </c>
      <c r="Q555" s="236"/>
      <c r="R555" s="237">
        <v>893821</v>
      </c>
      <c r="S555" s="238">
        <v>-60075</v>
      </c>
      <c r="T555" s="238">
        <v>833746</v>
      </c>
    </row>
    <row r="556" spans="1:20">
      <c r="A556" s="231">
        <v>96051</v>
      </c>
      <c r="B556" s="232" t="s">
        <v>1265</v>
      </c>
      <c r="C556" s="92">
        <v>1.0062000000000001E-3</v>
      </c>
      <c r="D556" s="92">
        <v>1.0258000000000001E-3</v>
      </c>
      <c r="E556" s="236">
        <v>1537195</v>
      </c>
      <c r="F556" s="236"/>
      <c r="G556" s="237">
        <v>88557</v>
      </c>
      <c r="H556" s="225">
        <v>373233</v>
      </c>
      <c r="I556" s="237">
        <v>219533</v>
      </c>
      <c r="J556" s="236">
        <v>0</v>
      </c>
      <c r="K556" s="225">
        <f t="shared" si="16"/>
        <v>681323</v>
      </c>
      <c r="L556" s="236"/>
      <c r="M556" s="237">
        <v>43513</v>
      </c>
      <c r="N556" s="237">
        <v>0</v>
      </c>
      <c r="O556" s="236">
        <v>109605</v>
      </c>
      <c r="P556" s="225">
        <f t="shared" si="17"/>
        <v>153118</v>
      </c>
      <c r="Q556" s="236"/>
      <c r="R556" s="237">
        <v>518036</v>
      </c>
      <c r="S556" s="238">
        <v>-44751</v>
      </c>
      <c r="T556" s="238">
        <v>473285</v>
      </c>
    </row>
    <row r="557" spans="1:20">
      <c r="A557" s="231">
        <v>96061</v>
      </c>
      <c r="B557" s="232" t="s">
        <v>1266</v>
      </c>
      <c r="C557" s="92">
        <v>3.3950000000000001E-4</v>
      </c>
      <c r="D557" s="92">
        <v>3.0800000000000001E-4</v>
      </c>
      <c r="E557" s="236">
        <v>518662</v>
      </c>
      <c r="F557" s="236"/>
      <c r="G557" s="237">
        <v>29880</v>
      </c>
      <c r="H557" s="225">
        <v>125932</v>
      </c>
      <c r="I557" s="237">
        <v>74072</v>
      </c>
      <c r="J557" s="236">
        <v>21868</v>
      </c>
      <c r="K557" s="225">
        <f t="shared" si="16"/>
        <v>251752</v>
      </c>
      <c r="L557" s="236"/>
      <c r="M557" s="237">
        <v>14682</v>
      </c>
      <c r="N557" s="237">
        <v>0</v>
      </c>
      <c r="O557" s="236">
        <v>7447</v>
      </c>
      <c r="P557" s="225">
        <f t="shared" si="17"/>
        <v>22129</v>
      </c>
      <c r="Q557" s="236"/>
      <c r="R557" s="237">
        <v>174790</v>
      </c>
      <c r="S557" s="238">
        <v>2241</v>
      </c>
      <c r="T557" s="238">
        <v>177031</v>
      </c>
    </row>
    <row r="558" spans="1:20">
      <c r="A558" s="231">
        <v>96071</v>
      </c>
      <c r="B558" s="232" t="s">
        <v>1267</v>
      </c>
      <c r="C558" s="92">
        <v>1.1367E-3</v>
      </c>
      <c r="D558" s="92">
        <v>1.1280999999999999E-3</v>
      </c>
      <c r="E558" s="236">
        <v>1736563</v>
      </c>
      <c r="F558" s="236"/>
      <c r="G558" s="237">
        <v>100042</v>
      </c>
      <c r="H558" s="225">
        <v>421639</v>
      </c>
      <c r="I558" s="237">
        <v>248005</v>
      </c>
      <c r="J558" s="236">
        <v>72999</v>
      </c>
      <c r="K558" s="225">
        <f t="shared" si="16"/>
        <v>842685</v>
      </c>
      <c r="L558" s="236"/>
      <c r="M558" s="237">
        <v>49157</v>
      </c>
      <c r="N558" s="237">
        <v>0</v>
      </c>
      <c r="O558" s="236">
        <v>71715</v>
      </c>
      <c r="P558" s="225">
        <f t="shared" si="17"/>
        <v>120872</v>
      </c>
      <c r="Q558" s="236"/>
      <c r="R558" s="237">
        <v>585223</v>
      </c>
      <c r="S558" s="238">
        <v>-1282</v>
      </c>
      <c r="T558" s="238">
        <v>583941</v>
      </c>
    </row>
    <row r="559" spans="1:20">
      <c r="A559" s="231">
        <v>96081</v>
      </c>
      <c r="B559" s="232" t="s">
        <v>1268</v>
      </c>
      <c r="C559" s="92">
        <v>5.0900000000000001E-4</v>
      </c>
      <c r="D559" s="92">
        <v>4.7820000000000002E-4</v>
      </c>
      <c r="E559" s="236">
        <v>777611</v>
      </c>
      <c r="F559" s="236"/>
      <c r="G559" s="237">
        <v>44798</v>
      </c>
      <c r="H559" s="225">
        <v>188805</v>
      </c>
      <c r="I559" s="237">
        <v>111054</v>
      </c>
      <c r="J559" s="236">
        <v>10640</v>
      </c>
      <c r="K559" s="225">
        <f t="shared" si="16"/>
        <v>355297</v>
      </c>
      <c r="L559" s="236"/>
      <c r="M559" s="237">
        <v>22012</v>
      </c>
      <c r="N559" s="237">
        <v>0</v>
      </c>
      <c r="O559" s="236">
        <v>4115</v>
      </c>
      <c r="P559" s="225">
        <f t="shared" si="17"/>
        <v>26127</v>
      </c>
      <c r="Q559" s="236"/>
      <c r="R559" s="237">
        <v>262056</v>
      </c>
      <c r="S559" s="238">
        <v>5137</v>
      </c>
      <c r="T559" s="238">
        <v>267193</v>
      </c>
    </row>
    <row r="560" spans="1:20">
      <c r="A560" s="231">
        <v>96101</v>
      </c>
      <c r="B560" s="232" t="s">
        <v>1269</v>
      </c>
      <c r="C560" s="92">
        <v>7.6749999999999995E-4</v>
      </c>
      <c r="D560" s="92">
        <v>7.5860000000000001E-4</v>
      </c>
      <c r="E560" s="236">
        <v>1172527</v>
      </c>
      <c r="F560" s="236"/>
      <c r="G560" s="237">
        <v>67548</v>
      </c>
      <c r="H560" s="225">
        <v>284691</v>
      </c>
      <c r="I560" s="237">
        <v>167453</v>
      </c>
      <c r="J560" s="236">
        <v>39221</v>
      </c>
      <c r="K560" s="225">
        <f t="shared" si="16"/>
        <v>558913</v>
      </c>
      <c r="L560" s="236"/>
      <c r="M560" s="237">
        <v>33191</v>
      </c>
      <c r="N560" s="237">
        <v>0</v>
      </c>
      <c r="O560" s="236">
        <v>3498</v>
      </c>
      <c r="P560" s="225">
        <f t="shared" si="17"/>
        <v>36689</v>
      </c>
      <c r="Q560" s="236"/>
      <c r="R560" s="237">
        <v>395143</v>
      </c>
      <c r="S560" s="238">
        <v>17230</v>
      </c>
      <c r="T560" s="238">
        <v>412373</v>
      </c>
    </row>
    <row r="561" spans="1:20">
      <c r="A561" s="231">
        <v>96102</v>
      </c>
      <c r="B561" s="232" t="s">
        <v>1270</v>
      </c>
      <c r="C561" s="92">
        <v>1.36E-5</v>
      </c>
      <c r="D561" s="92">
        <v>1.42E-5</v>
      </c>
      <c r="E561" s="236">
        <v>20777</v>
      </c>
      <c r="F561" s="236"/>
      <c r="G561" s="237">
        <v>1197</v>
      </c>
      <c r="H561" s="225">
        <v>5045</v>
      </c>
      <c r="I561" s="237">
        <v>2967</v>
      </c>
      <c r="J561" s="236">
        <v>0</v>
      </c>
      <c r="K561" s="225">
        <f t="shared" si="16"/>
        <v>9209</v>
      </c>
      <c r="L561" s="236"/>
      <c r="M561" s="237">
        <v>588</v>
      </c>
      <c r="N561" s="237">
        <v>0</v>
      </c>
      <c r="O561" s="236">
        <v>3137</v>
      </c>
      <c r="P561" s="225">
        <f t="shared" si="17"/>
        <v>3725</v>
      </c>
      <c r="Q561" s="236"/>
      <c r="R561" s="237">
        <v>7002</v>
      </c>
      <c r="S561" s="238">
        <v>-1435</v>
      </c>
      <c r="T561" s="238">
        <v>5567</v>
      </c>
    </row>
    <row r="562" spans="1:20">
      <c r="A562" s="231">
        <v>96111</v>
      </c>
      <c r="B562" s="232" t="s">
        <v>1271</v>
      </c>
      <c r="C562" s="92">
        <v>1.5349999999999999E-4</v>
      </c>
      <c r="D562" s="92">
        <v>1.6119999999999999E-4</v>
      </c>
      <c r="E562" s="236">
        <v>234505</v>
      </c>
      <c r="F562" s="236"/>
      <c r="G562" s="237">
        <v>13510</v>
      </c>
      <c r="H562" s="225">
        <v>56938</v>
      </c>
      <c r="I562" s="237">
        <v>33491</v>
      </c>
      <c r="J562" s="236">
        <v>9403</v>
      </c>
      <c r="K562" s="225">
        <f t="shared" si="16"/>
        <v>113342</v>
      </c>
      <c r="L562" s="236"/>
      <c r="M562" s="237">
        <v>6638</v>
      </c>
      <c r="N562" s="237">
        <v>0</v>
      </c>
      <c r="O562" s="236">
        <v>1683</v>
      </c>
      <c r="P562" s="225">
        <f t="shared" si="17"/>
        <v>8321</v>
      </c>
      <c r="Q562" s="236"/>
      <c r="R562" s="237">
        <v>79029</v>
      </c>
      <c r="S562" s="238">
        <v>6754</v>
      </c>
      <c r="T562" s="238">
        <v>85783</v>
      </c>
    </row>
    <row r="563" spans="1:20">
      <c r="A563" s="231">
        <v>96121</v>
      </c>
      <c r="B563" s="232" t="s">
        <v>1272</v>
      </c>
      <c r="C563" s="92">
        <v>2.2500000000000001E-5</v>
      </c>
      <c r="D563" s="92">
        <v>2.2099999999999998E-5</v>
      </c>
      <c r="E563" s="236">
        <v>34374</v>
      </c>
      <c r="F563" s="236"/>
      <c r="G563" s="237">
        <v>1980</v>
      </c>
      <c r="H563" s="225">
        <v>8346</v>
      </c>
      <c r="I563" s="237">
        <v>4909</v>
      </c>
      <c r="J563" s="236">
        <v>397</v>
      </c>
      <c r="K563" s="225">
        <f t="shared" si="16"/>
        <v>15632</v>
      </c>
      <c r="L563" s="236"/>
      <c r="M563" s="237">
        <v>973</v>
      </c>
      <c r="N563" s="237">
        <v>0</v>
      </c>
      <c r="O563" s="236">
        <v>1764</v>
      </c>
      <c r="P563" s="225">
        <f t="shared" si="17"/>
        <v>2737</v>
      </c>
      <c r="Q563" s="236"/>
      <c r="R563" s="237">
        <v>11584</v>
      </c>
      <c r="S563" s="238">
        <v>-946</v>
      </c>
      <c r="T563" s="238">
        <v>10638</v>
      </c>
    </row>
    <row r="564" spans="1:20">
      <c r="A564" s="231">
        <v>96201</v>
      </c>
      <c r="B564" s="232" t="s">
        <v>1273</v>
      </c>
      <c r="C564" s="92">
        <v>1.1788E-3</v>
      </c>
      <c r="D564" s="92">
        <v>1.2302999999999999E-3</v>
      </c>
      <c r="E564" s="236">
        <v>1800880</v>
      </c>
      <c r="F564" s="236"/>
      <c r="G564" s="237">
        <v>103747</v>
      </c>
      <c r="H564" s="225">
        <v>437256</v>
      </c>
      <c r="I564" s="237">
        <v>257191</v>
      </c>
      <c r="J564" s="236">
        <v>0</v>
      </c>
      <c r="K564" s="225">
        <f t="shared" si="16"/>
        <v>798194</v>
      </c>
      <c r="L564" s="236"/>
      <c r="M564" s="237">
        <v>50977</v>
      </c>
      <c r="N564" s="237">
        <v>0</v>
      </c>
      <c r="O564" s="236">
        <v>73119</v>
      </c>
      <c r="P564" s="225">
        <f t="shared" si="17"/>
        <v>124096</v>
      </c>
      <c r="Q564" s="236"/>
      <c r="R564" s="237">
        <v>606898</v>
      </c>
      <c r="S564" s="238">
        <v>-23257</v>
      </c>
      <c r="T564" s="238">
        <v>583641</v>
      </c>
    </row>
    <row r="565" spans="1:20">
      <c r="A565" s="231">
        <v>96204</v>
      </c>
      <c r="B565" s="232" t="s">
        <v>1274</v>
      </c>
      <c r="C565" s="92">
        <v>1.5099999999999999E-5</v>
      </c>
      <c r="D565" s="92">
        <v>1.5400000000000002E-5</v>
      </c>
      <c r="E565" s="236">
        <v>23069</v>
      </c>
      <c r="F565" s="236"/>
      <c r="G565" s="237">
        <v>1329</v>
      </c>
      <c r="H565" s="225">
        <v>5602</v>
      </c>
      <c r="I565" s="237">
        <v>3295</v>
      </c>
      <c r="J565" s="236">
        <v>3517</v>
      </c>
      <c r="K565" s="225">
        <f t="shared" si="16"/>
        <v>13743</v>
      </c>
      <c r="L565" s="236"/>
      <c r="M565" s="237">
        <v>653</v>
      </c>
      <c r="N565" s="237">
        <v>0</v>
      </c>
      <c r="O565" s="236">
        <v>0</v>
      </c>
      <c r="P565" s="225">
        <f t="shared" si="17"/>
        <v>653</v>
      </c>
      <c r="Q565" s="236"/>
      <c r="R565" s="237">
        <v>7774</v>
      </c>
      <c r="S565" s="238">
        <v>1655</v>
      </c>
      <c r="T565" s="238">
        <f>9430-1</f>
        <v>9429</v>
      </c>
    </row>
    <row r="566" spans="1:20">
      <c r="A566" s="231">
        <v>96211</v>
      </c>
      <c r="B566" s="232" t="s">
        <v>1275</v>
      </c>
      <c r="C566" s="92">
        <v>2.62E-5</v>
      </c>
      <c r="D566" s="92">
        <v>3.0700000000000001E-5</v>
      </c>
      <c r="E566" s="236">
        <v>40026</v>
      </c>
      <c r="F566" s="236"/>
      <c r="G566" s="237">
        <v>2306</v>
      </c>
      <c r="H566" s="225">
        <v>9718</v>
      </c>
      <c r="I566" s="237">
        <v>5716</v>
      </c>
      <c r="J566" s="236">
        <v>4494</v>
      </c>
      <c r="K566" s="225">
        <f t="shared" si="16"/>
        <v>22234</v>
      </c>
      <c r="L566" s="236"/>
      <c r="M566" s="237">
        <v>1133</v>
      </c>
      <c r="N566" s="237">
        <v>0</v>
      </c>
      <c r="O566" s="236">
        <v>4462</v>
      </c>
      <c r="P566" s="225">
        <f t="shared" si="17"/>
        <v>5595</v>
      </c>
      <c r="Q566" s="236"/>
      <c r="R566" s="237">
        <v>13489</v>
      </c>
      <c r="S566" s="238">
        <v>-2681</v>
      </c>
      <c r="T566" s="238">
        <v>10808</v>
      </c>
    </row>
    <row r="567" spans="1:20">
      <c r="A567" s="231">
        <v>96221</v>
      </c>
      <c r="B567" s="232" t="s">
        <v>1276</v>
      </c>
      <c r="C567" s="92">
        <v>2.3350000000000001E-4</v>
      </c>
      <c r="D567" s="92">
        <v>2.287E-4</v>
      </c>
      <c r="E567" s="236">
        <v>356723</v>
      </c>
      <c r="F567" s="236"/>
      <c r="G567" s="237">
        <v>20551</v>
      </c>
      <c r="H567" s="225">
        <v>86613</v>
      </c>
      <c r="I567" s="237">
        <v>50945</v>
      </c>
      <c r="J567" s="236">
        <v>2439</v>
      </c>
      <c r="K567" s="225">
        <f t="shared" si="16"/>
        <v>160548</v>
      </c>
      <c r="L567" s="236"/>
      <c r="M567" s="237">
        <v>10098</v>
      </c>
      <c r="N567" s="237">
        <v>0</v>
      </c>
      <c r="O567" s="236">
        <v>15042</v>
      </c>
      <c r="P567" s="225">
        <f t="shared" si="17"/>
        <v>25140</v>
      </c>
      <c r="Q567" s="236"/>
      <c r="R567" s="237">
        <v>120216</v>
      </c>
      <c r="S567" s="238">
        <v>-3357</v>
      </c>
      <c r="T567" s="238">
        <f>116860-1</f>
        <v>116859</v>
      </c>
    </row>
    <row r="568" spans="1:20">
      <c r="A568" s="231">
        <v>96231</v>
      </c>
      <c r="B568" s="232" t="s">
        <v>1277</v>
      </c>
      <c r="C568" s="92">
        <v>1.3339999999999999E-4</v>
      </c>
      <c r="D568" s="92">
        <v>1.145E-4</v>
      </c>
      <c r="E568" s="236">
        <v>203798</v>
      </c>
      <c r="F568" s="236"/>
      <c r="G568" s="237">
        <v>11741</v>
      </c>
      <c r="H568" s="225">
        <v>49482</v>
      </c>
      <c r="I568" s="237">
        <v>29105</v>
      </c>
      <c r="J568" s="236">
        <v>2554</v>
      </c>
      <c r="K568" s="225">
        <f t="shared" si="16"/>
        <v>92882</v>
      </c>
      <c r="L568" s="236"/>
      <c r="M568" s="237">
        <v>5769</v>
      </c>
      <c r="N568" s="237">
        <v>0</v>
      </c>
      <c r="O568" s="236">
        <v>14959</v>
      </c>
      <c r="P568" s="225">
        <f t="shared" si="17"/>
        <v>20728</v>
      </c>
      <c r="Q568" s="236"/>
      <c r="R568" s="237">
        <v>68680</v>
      </c>
      <c r="S568" s="238">
        <v>-7094</v>
      </c>
      <c r="T568" s="238">
        <v>61586</v>
      </c>
    </row>
    <row r="569" spans="1:20">
      <c r="A569" s="231">
        <v>96241</v>
      </c>
      <c r="B569" s="232" t="s">
        <v>1278</v>
      </c>
      <c r="C569" s="92">
        <v>4.4700000000000002E-5</v>
      </c>
      <c r="D569" s="92">
        <v>4.6100000000000002E-5</v>
      </c>
      <c r="E569" s="236">
        <v>68289</v>
      </c>
      <c r="F569" s="236"/>
      <c r="G569" s="237">
        <v>3934</v>
      </c>
      <c r="H569" s="225">
        <v>16580</v>
      </c>
      <c r="I569" s="237">
        <v>9753</v>
      </c>
      <c r="J569" s="236">
        <v>5027</v>
      </c>
      <c r="K569" s="225">
        <f t="shared" si="16"/>
        <v>35294</v>
      </c>
      <c r="L569" s="236"/>
      <c r="M569" s="237">
        <v>1933</v>
      </c>
      <c r="N569" s="237">
        <v>0</v>
      </c>
      <c r="O569" s="236">
        <v>4371</v>
      </c>
      <c r="P569" s="225">
        <f t="shared" si="17"/>
        <v>6304</v>
      </c>
      <c r="Q569" s="236"/>
      <c r="R569" s="237">
        <v>23014</v>
      </c>
      <c r="S569" s="238">
        <v>2407</v>
      </c>
      <c r="T569" s="238">
        <f>25420+1</f>
        <v>25421</v>
      </c>
    </row>
    <row r="570" spans="1:20">
      <c r="A570" s="231">
        <v>96251</v>
      </c>
      <c r="B570" s="232" t="s">
        <v>1279</v>
      </c>
      <c r="C570" s="92">
        <v>9.3999999999999994E-5</v>
      </c>
      <c r="D570" s="92">
        <v>7.7100000000000004E-5</v>
      </c>
      <c r="E570" s="236">
        <v>143606</v>
      </c>
      <c r="F570" s="236"/>
      <c r="G570" s="237">
        <v>8273</v>
      </c>
      <c r="H570" s="225">
        <v>34868</v>
      </c>
      <c r="I570" s="237">
        <v>20509</v>
      </c>
      <c r="J570" s="236">
        <v>6198</v>
      </c>
      <c r="K570" s="225">
        <f t="shared" si="16"/>
        <v>69848</v>
      </c>
      <c r="L570" s="236"/>
      <c r="M570" s="237">
        <v>4065</v>
      </c>
      <c r="N570" s="237">
        <v>0</v>
      </c>
      <c r="O570" s="236">
        <v>16886</v>
      </c>
      <c r="P570" s="225">
        <f t="shared" si="17"/>
        <v>20951</v>
      </c>
      <c r="Q570" s="236"/>
      <c r="R570" s="237">
        <v>48395</v>
      </c>
      <c r="S570" s="238">
        <v>-7102</v>
      </c>
      <c r="T570" s="238">
        <v>41293</v>
      </c>
    </row>
    <row r="571" spans="1:20">
      <c r="A571" s="231">
        <v>96301</v>
      </c>
      <c r="B571" s="232" t="s">
        <v>1280</v>
      </c>
      <c r="C571" s="92">
        <v>4.3712999999999998E-3</v>
      </c>
      <c r="D571" s="92">
        <v>4.3785999999999999E-3</v>
      </c>
      <c r="E571" s="236">
        <v>6678136</v>
      </c>
      <c r="F571" s="236"/>
      <c r="G571" s="237">
        <v>384722</v>
      </c>
      <c r="H571" s="225">
        <v>1621460</v>
      </c>
      <c r="I571" s="237">
        <v>953730</v>
      </c>
      <c r="J571" s="236">
        <v>60786</v>
      </c>
      <c r="K571" s="225">
        <f t="shared" si="16"/>
        <v>3020698</v>
      </c>
      <c r="L571" s="236"/>
      <c r="M571" s="237">
        <v>189037</v>
      </c>
      <c r="N571" s="237">
        <v>0</v>
      </c>
      <c r="O571" s="236">
        <v>160488</v>
      </c>
      <c r="P571" s="225">
        <f t="shared" si="17"/>
        <v>349525</v>
      </c>
      <c r="Q571" s="236"/>
      <c r="R571" s="237">
        <v>2250538</v>
      </c>
      <c r="S571" s="238">
        <v>-27776</v>
      </c>
      <c r="T571" s="238">
        <v>2222762</v>
      </c>
    </row>
    <row r="572" spans="1:20">
      <c r="A572" s="231">
        <v>96302</v>
      </c>
      <c r="B572" s="232" t="s">
        <v>1281</v>
      </c>
      <c r="C572" s="92">
        <v>2.5199999999999999E-5</v>
      </c>
      <c r="D572" s="92">
        <v>1.9199999999999999E-5</v>
      </c>
      <c r="E572" s="236">
        <v>38499</v>
      </c>
      <c r="F572" s="236"/>
      <c r="G572" s="237">
        <v>2218</v>
      </c>
      <c r="H572" s="225">
        <v>9347</v>
      </c>
      <c r="I572" s="237">
        <v>5498</v>
      </c>
      <c r="J572" s="236">
        <v>7399</v>
      </c>
      <c r="K572" s="225">
        <f t="shared" si="16"/>
        <v>24462</v>
      </c>
      <c r="L572" s="236"/>
      <c r="M572" s="237">
        <v>1090</v>
      </c>
      <c r="N572" s="237">
        <v>0</v>
      </c>
      <c r="O572" s="236">
        <v>0</v>
      </c>
      <c r="P572" s="225">
        <f t="shared" si="17"/>
        <v>1090</v>
      </c>
      <c r="Q572" s="236"/>
      <c r="R572" s="237">
        <v>12974</v>
      </c>
      <c r="S572" s="238">
        <v>2631</v>
      </c>
      <c r="T572" s="238">
        <v>15605</v>
      </c>
    </row>
    <row r="573" spans="1:20">
      <c r="A573" s="231">
        <v>96304</v>
      </c>
      <c r="B573" s="232" t="s">
        <v>1282</v>
      </c>
      <c r="C573" s="92">
        <v>4.5500000000000001E-5</v>
      </c>
      <c r="D573" s="92">
        <v>5.4599999999999999E-5</v>
      </c>
      <c r="E573" s="236">
        <v>69511</v>
      </c>
      <c r="F573" s="236"/>
      <c r="G573" s="237">
        <v>4005</v>
      </c>
      <c r="H573" s="225">
        <v>16877</v>
      </c>
      <c r="I573" s="237">
        <v>9927</v>
      </c>
      <c r="J573" s="236">
        <v>5469</v>
      </c>
      <c r="K573" s="225">
        <f t="shared" si="16"/>
        <v>36278</v>
      </c>
      <c r="L573" s="236"/>
      <c r="M573" s="237">
        <v>1968</v>
      </c>
      <c r="N573" s="237">
        <v>0</v>
      </c>
      <c r="O573" s="236">
        <v>1092</v>
      </c>
      <c r="P573" s="225">
        <f t="shared" si="17"/>
        <v>3060</v>
      </c>
      <c r="Q573" s="236"/>
      <c r="R573" s="237">
        <v>23425</v>
      </c>
      <c r="S573" s="238">
        <v>2085</v>
      </c>
      <c r="T573" s="238">
        <v>25510</v>
      </c>
    </row>
    <row r="574" spans="1:20">
      <c r="A574" s="231">
        <v>96305</v>
      </c>
      <c r="B574" s="232" t="s">
        <v>1283</v>
      </c>
      <c r="C574" s="92">
        <v>4.5500000000000001E-5</v>
      </c>
      <c r="D574" s="92">
        <v>4.8199999999999999E-5</v>
      </c>
      <c r="E574" s="236">
        <v>69511</v>
      </c>
      <c r="F574" s="236"/>
      <c r="G574" s="237">
        <v>4005</v>
      </c>
      <c r="H574" s="225">
        <v>16877</v>
      </c>
      <c r="I574" s="237">
        <v>9927</v>
      </c>
      <c r="J574" s="236">
        <v>13328</v>
      </c>
      <c r="K574" s="225">
        <f t="shared" si="16"/>
        <v>44137</v>
      </c>
      <c r="L574" s="236"/>
      <c r="M574" s="237">
        <v>1968</v>
      </c>
      <c r="N574" s="237">
        <v>0</v>
      </c>
      <c r="O574" s="236">
        <v>0</v>
      </c>
      <c r="P574" s="225">
        <f t="shared" si="17"/>
        <v>1968</v>
      </c>
      <c r="Q574" s="236"/>
      <c r="R574" s="237">
        <v>23425</v>
      </c>
      <c r="S574" s="238">
        <v>4752</v>
      </c>
      <c r="T574" s="238">
        <v>28177</v>
      </c>
    </row>
    <row r="575" spans="1:20">
      <c r="A575" s="231">
        <v>96310</v>
      </c>
      <c r="B575" s="232" t="s">
        <v>1284</v>
      </c>
      <c r="C575" s="92">
        <v>6.1099999999999994E-5</v>
      </c>
      <c r="D575" s="92">
        <v>4.88E-5</v>
      </c>
      <c r="E575" s="236">
        <v>93344</v>
      </c>
      <c r="F575" s="236"/>
      <c r="G575" s="237">
        <v>5377</v>
      </c>
      <c r="H575" s="225">
        <v>22664</v>
      </c>
      <c r="I575" s="237">
        <v>13331</v>
      </c>
      <c r="J575" s="236">
        <v>10507</v>
      </c>
      <c r="K575" s="225">
        <f t="shared" si="16"/>
        <v>51879</v>
      </c>
      <c r="L575" s="236"/>
      <c r="M575" s="237">
        <v>2642</v>
      </c>
      <c r="N575" s="237">
        <v>0</v>
      </c>
      <c r="O575" s="236">
        <v>3055</v>
      </c>
      <c r="P575" s="225">
        <f t="shared" si="17"/>
        <v>5697</v>
      </c>
      <c r="Q575" s="236"/>
      <c r="R575" s="237">
        <v>31457</v>
      </c>
      <c r="S575" s="238">
        <v>3506</v>
      </c>
      <c r="T575" s="238">
        <v>34963</v>
      </c>
    </row>
    <row r="576" spans="1:20">
      <c r="A576" s="231">
        <v>96311</v>
      </c>
      <c r="B576" s="232" t="s">
        <v>1285</v>
      </c>
      <c r="C576" s="92">
        <v>1.3113000000000001E-3</v>
      </c>
      <c r="D576" s="92">
        <v>1.4082999999999999E-3</v>
      </c>
      <c r="E576" s="236">
        <v>2003303</v>
      </c>
      <c r="F576" s="236"/>
      <c r="G576" s="237">
        <v>115409</v>
      </c>
      <c r="H576" s="225">
        <v>486404</v>
      </c>
      <c r="I576" s="237">
        <v>286099</v>
      </c>
      <c r="J576" s="236">
        <v>11041</v>
      </c>
      <c r="K576" s="225">
        <f t="shared" si="16"/>
        <v>898953</v>
      </c>
      <c r="L576" s="236"/>
      <c r="M576" s="237">
        <v>56707</v>
      </c>
      <c r="N576" s="237">
        <v>0</v>
      </c>
      <c r="O576" s="236">
        <v>139297</v>
      </c>
      <c r="P576" s="225">
        <f t="shared" si="17"/>
        <v>196004</v>
      </c>
      <c r="Q576" s="236"/>
      <c r="R576" s="237">
        <v>675115</v>
      </c>
      <c r="S576" s="238">
        <v>-33999</v>
      </c>
      <c r="T576" s="238">
        <v>641116</v>
      </c>
    </row>
    <row r="577" spans="1:20">
      <c r="A577" s="231">
        <v>96312</v>
      </c>
      <c r="B577" s="232" t="s">
        <v>1286</v>
      </c>
      <c r="C577" s="92">
        <v>1.5999999999999999E-5</v>
      </c>
      <c r="D577" s="92">
        <v>1.5999999999999999E-6</v>
      </c>
      <c r="E577" s="236">
        <v>24444</v>
      </c>
      <c r="F577" s="236"/>
      <c r="G577" s="237">
        <v>1408</v>
      </c>
      <c r="H577" s="225">
        <v>5935</v>
      </c>
      <c r="I577" s="237">
        <v>3491</v>
      </c>
      <c r="J577" s="236">
        <v>7668</v>
      </c>
      <c r="K577" s="225">
        <f t="shared" si="16"/>
        <v>18502</v>
      </c>
      <c r="L577" s="236"/>
      <c r="M577" s="237">
        <v>692</v>
      </c>
      <c r="N577" s="237">
        <v>0</v>
      </c>
      <c r="O577" s="236">
        <v>1864</v>
      </c>
      <c r="P577" s="225">
        <f t="shared" si="17"/>
        <v>2556</v>
      </c>
      <c r="Q577" s="236"/>
      <c r="R577" s="237">
        <v>8238</v>
      </c>
      <c r="S577" s="238">
        <v>374</v>
      </c>
      <c r="T577" s="238">
        <v>8612</v>
      </c>
    </row>
    <row r="578" spans="1:20">
      <c r="A578" s="231">
        <v>96318</v>
      </c>
      <c r="B578" s="232" t="s">
        <v>1287</v>
      </c>
      <c r="C578" s="92">
        <v>2.1684999999999999E-3</v>
      </c>
      <c r="D578" s="92">
        <v>1.7782E-3</v>
      </c>
      <c r="E578" s="236">
        <v>3312867</v>
      </c>
      <c r="F578" s="236"/>
      <c r="G578" s="237">
        <v>190852</v>
      </c>
      <c r="H578" s="225">
        <v>804368</v>
      </c>
      <c r="I578" s="237">
        <v>473123</v>
      </c>
      <c r="J578" s="236">
        <v>7711758</v>
      </c>
      <c r="K578" s="225">
        <f t="shared" si="16"/>
        <v>9180101</v>
      </c>
      <c r="L578" s="236"/>
      <c r="M578" s="237">
        <v>93777</v>
      </c>
      <c r="N578" s="237">
        <v>0</v>
      </c>
      <c r="O578" s="236">
        <v>0</v>
      </c>
      <c r="P578" s="225">
        <f t="shared" si="17"/>
        <v>93777</v>
      </c>
      <c r="Q578" s="236"/>
      <c r="R578" s="237">
        <v>1116439</v>
      </c>
      <c r="S578" s="238">
        <v>2665103</v>
      </c>
      <c r="T578" s="238">
        <v>3781542</v>
      </c>
    </row>
    <row r="579" spans="1:20">
      <c r="A579" s="231">
        <v>96321</v>
      </c>
      <c r="B579" s="232" t="s">
        <v>1288</v>
      </c>
      <c r="C579" s="92">
        <v>3.6900000000000002E-5</v>
      </c>
      <c r="D579" s="92">
        <v>3.7400000000000001E-5</v>
      </c>
      <c r="E579" s="236">
        <v>56373</v>
      </c>
      <c r="F579" s="236"/>
      <c r="G579" s="237">
        <v>3248</v>
      </c>
      <c r="H579" s="225">
        <v>13687</v>
      </c>
      <c r="I579" s="237">
        <v>8051</v>
      </c>
      <c r="J579" s="236">
        <v>1642</v>
      </c>
      <c r="K579" s="225">
        <f t="shared" si="16"/>
        <v>26628</v>
      </c>
      <c r="L579" s="236"/>
      <c r="M579" s="237">
        <v>1596</v>
      </c>
      <c r="N579" s="237">
        <v>0</v>
      </c>
      <c r="O579" s="236">
        <v>2449</v>
      </c>
      <c r="P579" s="225">
        <f t="shared" si="17"/>
        <v>4045</v>
      </c>
      <c r="Q579" s="236"/>
      <c r="R579" s="237">
        <v>18998</v>
      </c>
      <c r="S579" s="238">
        <v>-489</v>
      </c>
      <c r="T579" s="238">
        <v>18509</v>
      </c>
    </row>
    <row r="580" spans="1:20" s="272" customFormat="1">
      <c r="A580" s="266">
        <v>96331</v>
      </c>
      <c r="B580" s="267" t="s">
        <v>1289</v>
      </c>
      <c r="C580" s="268">
        <v>7.0850000000000004E-4</v>
      </c>
      <c r="D580" s="268">
        <v>7.1699999999999997E-4</v>
      </c>
      <c r="E580" s="269">
        <v>1082392</v>
      </c>
      <c r="F580" s="269"/>
      <c r="G580" s="270">
        <v>62356</v>
      </c>
      <c r="H580" s="270">
        <v>262806</v>
      </c>
      <c r="I580" s="270">
        <v>154581</v>
      </c>
      <c r="J580" s="269">
        <v>3107</v>
      </c>
      <c r="K580" s="270">
        <f t="shared" si="16"/>
        <v>482850</v>
      </c>
      <c r="L580" s="269"/>
      <c r="M580" s="270">
        <v>30639</v>
      </c>
      <c r="N580" s="270">
        <v>0</v>
      </c>
      <c r="O580" s="269">
        <v>53524</v>
      </c>
      <c r="P580" s="270">
        <f t="shared" si="17"/>
        <v>84163</v>
      </c>
      <c r="Q580" s="269"/>
      <c r="R580" s="270">
        <v>364767</v>
      </c>
      <c r="S580" s="271">
        <v>-22322</v>
      </c>
      <c r="T580" s="271">
        <v>342445</v>
      </c>
    </row>
    <row r="581" spans="1:20">
      <c r="A581" s="231">
        <v>96341</v>
      </c>
      <c r="B581" s="232" t="s">
        <v>1290</v>
      </c>
      <c r="C581" s="92">
        <v>8.3800000000000004E-5</v>
      </c>
      <c r="D581" s="92">
        <v>9.1600000000000004E-5</v>
      </c>
      <c r="E581" s="236">
        <v>128023</v>
      </c>
      <c r="F581" s="236"/>
      <c r="G581" s="237">
        <v>7375</v>
      </c>
      <c r="H581" s="225">
        <v>31084</v>
      </c>
      <c r="I581" s="237">
        <v>18283</v>
      </c>
      <c r="J581" s="236">
        <v>8694</v>
      </c>
      <c r="K581" s="225">
        <f t="shared" si="16"/>
        <v>65436</v>
      </c>
      <c r="L581" s="236"/>
      <c r="M581" s="237">
        <v>3624</v>
      </c>
      <c r="N581" s="237">
        <v>0</v>
      </c>
      <c r="O581" s="236">
        <v>13544</v>
      </c>
      <c r="P581" s="225">
        <f t="shared" si="17"/>
        <v>17168</v>
      </c>
      <c r="Q581" s="236"/>
      <c r="R581" s="237">
        <v>43144</v>
      </c>
      <c r="S581" s="238">
        <v>-3090</v>
      </c>
      <c r="T581" s="238">
        <v>40054</v>
      </c>
    </row>
    <row r="582" spans="1:20">
      <c r="A582" s="231">
        <v>96351</v>
      </c>
      <c r="B582" s="232" t="s">
        <v>1291</v>
      </c>
      <c r="C582" s="92">
        <v>1.0616E-3</v>
      </c>
      <c r="D582" s="92">
        <v>1.0736000000000001E-3</v>
      </c>
      <c r="E582" s="236">
        <v>1621831</v>
      </c>
      <c r="F582" s="236"/>
      <c r="G582" s="237">
        <v>93432</v>
      </c>
      <c r="H582" s="225">
        <v>393782</v>
      </c>
      <c r="I582" s="237">
        <v>231620</v>
      </c>
      <c r="J582" s="236">
        <v>5421</v>
      </c>
      <c r="K582" s="225">
        <f t="shared" si="16"/>
        <v>724255</v>
      </c>
      <c r="L582" s="236"/>
      <c r="M582" s="237">
        <v>45909</v>
      </c>
      <c r="N582" s="237">
        <v>0</v>
      </c>
      <c r="O582" s="236">
        <v>28542</v>
      </c>
      <c r="P582" s="225">
        <f t="shared" si="17"/>
        <v>74451</v>
      </c>
      <c r="Q582" s="236"/>
      <c r="R582" s="237">
        <v>546558</v>
      </c>
      <c r="S582" s="238">
        <v>-5218</v>
      </c>
      <c r="T582" s="238">
        <v>541340</v>
      </c>
    </row>
    <row r="583" spans="1:20">
      <c r="A583" s="231">
        <v>96361</v>
      </c>
      <c r="B583" s="232" t="s">
        <v>1292</v>
      </c>
      <c r="C583" s="92">
        <v>5.5699999999999999E-5</v>
      </c>
      <c r="D583" s="92">
        <v>5.8900000000000002E-5</v>
      </c>
      <c r="E583" s="236">
        <v>85094</v>
      </c>
      <c r="F583" s="236"/>
      <c r="G583" s="237">
        <v>4902</v>
      </c>
      <c r="H583" s="225">
        <v>20661</v>
      </c>
      <c r="I583" s="237">
        <v>12153</v>
      </c>
      <c r="J583" s="236">
        <v>3403</v>
      </c>
      <c r="K583" s="225">
        <f t="shared" si="16"/>
        <v>41119</v>
      </c>
      <c r="L583" s="236"/>
      <c r="M583" s="237">
        <v>2409</v>
      </c>
      <c r="N583" s="237">
        <v>0</v>
      </c>
      <c r="O583" s="236">
        <v>3423</v>
      </c>
      <c r="P583" s="225">
        <f t="shared" si="17"/>
        <v>5832</v>
      </c>
      <c r="Q583" s="236"/>
      <c r="R583" s="237">
        <v>28677</v>
      </c>
      <c r="S583" s="238">
        <v>936</v>
      </c>
      <c r="T583" s="238">
        <f>29612+1</f>
        <v>29613</v>
      </c>
    </row>
    <row r="584" spans="1:20">
      <c r="A584" s="231">
        <v>96371</v>
      </c>
      <c r="B584" s="232" t="s">
        <v>1293</v>
      </c>
      <c r="C584" s="92">
        <v>1.5249999999999999E-4</v>
      </c>
      <c r="D584" s="92">
        <v>1.6359999999999999E-4</v>
      </c>
      <c r="E584" s="236">
        <v>232978</v>
      </c>
      <c r="F584" s="236"/>
      <c r="G584" s="237">
        <v>13422</v>
      </c>
      <c r="H584" s="225">
        <v>56568</v>
      </c>
      <c r="I584" s="237">
        <v>33272</v>
      </c>
      <c r="J584" s="236">
        <v>1335</v>
      </c>
      <c r="K584" s="225">
        <f t="shared" si="16"/>
        <v>104597</v>
      </c>
      <c r="L584" s="236"/>
      <c r="M584" s="237">
        <v>6595</v>
      </c>
      <c r="N584" s="237">
        <v>0</v>
      </c>
      <c r="O584" s="236">
        <v>14966</v>
      </c>
      <c r="P584" s="225">
        <f t="shared" si="17"/>
        <v>21561</v>
      </c>
      <c r="Q584" s="236"/>
      <c r="R584" s="237">
        <v>78514</v>
      </c>
      <c r="S584" s="238">
        <v>-3158</v>
      </c>
      <c r="T584" s="238">
        <v>75356</v>
      </c>
    </row>
    <row r="585" spans="1:20">
      <c r="A585" s="231">
        <v>96381</v>
      </c>
      <c r="B585" s="232" t="s">
        <v>1294</v>
      </c>
      <c r="C585" s="92">
        <v>3.2100000000000001E-5</v>
      </c>
      <c r="D585" s="92">
        <v>3.26E-5</v>
      </c>
      <c r="E585" s="236">
        <v>49040</v>
      </c>
      <c r="F585" s="236"/>
      <c r="G585" s="237">
        <v>2825</v>
      </c>
      <c r="H585" s="225">
        <v>11907</v>
      </c>
      <c r="I585" s="237">
        <v>7004</v>
      </c>
      <c r="J585" s="236">
        <v>235</v>
      </c>
      <c r="K585" s="225">
        <f t="shared" si="16"/>
        <v>21971</v>
      </c>
      <c r="L585" s="236"/>
      <c r="M585" s="237">
        <v>1388</v>
      </c>
      <c r="N585" s="237">
        <v>0</v>
      </c>
      <c r="O585" s="236">
        <v>1858</v>
      </c>
      <c r="P585" s="225">
        <f t="shared" si="17"/>
        <v>3246</v>
      </c>
      <c r="Q585" s="236"/>
      <c r="R585" s="237">
        <v>16526</v>
      </c>
      <c r="S585" s="238">
        <v>-1164</v>
      </c>
      <c r="T585" s="238">
        <v>15362</v>
      </c>
    </row>
    <row r="586" spans="1:20">
      <c r="A586" s="231">
        <v>96391</v>
      </c>
      <c r="B586" s="232" t="s">
        <v>1295</v>
      </c>
      <c r="C586" s="92">
        <v>2.029E-4</v>
      </c>
      <c r="D586" s="92">
        <v>1.807E-4</v>
      </c>
      <c r="E586" s="236">
        <v>309975</v>
      </c>
      <c r="F586" s="236"/>
      <c r="G586" s="237">
        <v>17857</v>
      </c>
      <c r="H586" s="225">
        <v>75263</v>
      </c>
      <c r="I586" s="237">
        <v>44269</v>
      </c>
      <c r="J586" s="236">
        <v>9831</v>
      </c>
      <c r="K586" s="225">
        <f t="shared" ref="K586:K649" si="18">G586+H586+I586+J586</f>
        <v>147220</v>
      </c>
      <c r="L586" s="236"/>
      <c r="M586" s="237">
        <v>8774</v>
      </c>
      <c r="N586" s="237">
        <v>0</v>
      </c>
      <c r="O586" s="236">
        <v>18208</v>
      </c>
      <c r="P586" s="225">
        <f t="shared" ref="P586:P649" si="19">M586+N586+O586</f>
        <v>26982</v>
      </c>
      <c r="Q586" s="236"/>
      <c r="R586" s="237">
        <v>104462</v>
      </c>
      <c r="S586" s="238">
        <v>2008</v>
      </c>
      <c r="T586" s="238">
        <v>106470</v>
      </c>
    </row>
    <row r="587" spans="1:20">
      <c r="A587" s="231">
        <v>96401</v>
      </c>
      <c r="B587" s="232" t="s">
        <v>1296</v>
      </c>
      <c r="C587" s="92">
        <v>4.5672000000000004E-3</v>
      </c>
      <c r="D587" s="92">
        <v>4.5900000000000003E-3</v>
      </c>
      <c r="E587" s="236">
        <v>6977416</v>
      </c>
      <c r="F587" s="236"/>
      <c r="G587" s="237">
        <v>401964</v>
      </c>
      <c r="H587" s="225">
        <v>1694125</v>
      </c>
      <c r="I587" s="237">
        <v>996472</v>
      </c>
      <c r="J587" s="236">
        <v>15869</v>
      </c>
      <c r="K587" s="225">
        <f t="shared" si="18"/>
        <v>3108430</v>
      </c>
      <c r="L587" s="236"/>
      <c r="M587" s="237">
        <v>197509</v>
      </c>
      <c r="N587" s="237">
        <v>0</v>
      </c>
      <c r="O587" s="236">
        <v>86285</v>
      </c>
      <c r="P587" s="225">
        <f t="shared" si="19"/>
        <v>283794</v>
      </c>
      <c r="Q587" s="236"/>
      <c r="R587" s="237">
        <v>2351396</v>
      </c>
      <c r="S587" s="238">
        <v>-10848</v>
      </c>
      <c r="T587" s="238">
        <v>2340548</v>
      </c>
    </row>
    <row r="588" spans="1:20">
      <c r="A588" s="231">
        <v>96404</v>
      </c>
      <c r="B588" s="232" t="s">
        <v>1297</v>
      </c>
      <c r="C588" s="92">
        <v>1.026E-4</v>
      </c>
      <c r="D588" s="92">
        <v>9.8800000000000003E-5</v>
      </c>
      <c r="E588" s="236">
        <v>156744</v>
      </c>
      <c r="F588" s="236"/>
      <c r="G588" s="237">
        <v>9030</v>
      </c>
      <c r="H588" s="225">
        <v>38058</v>
      </c>
      <c r="I588" s="237">
        <v>22385</v>
      </c>
      <c r="J588" s="236">
        <v>26983</v>
      </c>
      <c r="K588" s="225">
        <f t="shared" si="18"/>
        <v>96456</v>
      </c>
      <c r="L588" s="236"/>
      <c r="M588" s="237">
        <v>4437</v>
      </c>
      <c r="N588" s="237">
        <v>0</v>
      </c>
      <c r="O588" s="236">
        <v>0</v>
      </c>
      <c r="P588" s="225">
        <f t="shared" si="19"/>
        <v>4437</v>
      </c>
      <c r="Q588" s="236"/>
      <c r="R588" s="237">
        <v>52823</v>
      </c>
      <c r="S588" s="238">
        <v>10540</v>
      </c>
      <c r="T588" s="238">
        <v>63363</v>
      </c>
    </row>
    <row r="589" spans="1:20">
      <c r="A589" s="231">
        <v>96405</v>
      </c>
      <c r="B589" s="232" t="s">
        <v>1298</v>
      </c>
      <c r="C589" s="92">
        <v>1.6139999999999999E-4</v>
      </c>
      <c r="D589" s="92">
        <v>1.7760000000000001E-4</v>
      </c>
      <c r="E589" s="236">
        <v>246574</v>
      </c>
      <c r="F589" s="236"/>
      <c r="G589" s="237">
        <v>14205</v>
      </c>
      <c r="H589" s="225">
        <v>59869</v>
      </c>
      <c r="I589" s="237">
        <v>35214</v>
      </c>
      <c r="J589" s="236">
        <v>10221</v>
      </c>
      <c r="K589" s="225">
        <f t="shared" si="18"/>
        <v>119509</v>
      </c>
      <c r="L589" s="236"/>
      <c r="M589" s="237">
        <v>6980</v>
      </c>
      <c r="N589" s="237">
        <v>0</v>
      </c>
      <c r="O589" s="236">
        <v>2204</v>
      </c>
      <c r="P589" s="225">
        <f t="shared" si="19"/>
        <v>9184</v>
      </c>
      <c r="Q589" s="236"/>
      <c r="R589" s="237">
        <v>83096</v>
      </c>
      <c r="S589" s="238">
        <v>4354</v>
      </c>
      <c r="T589" s="238">
        <v>87450</v>
      </c>
    </row>
    <row r="590" spans="1:20">
      <c r="A590" s="231">
        <v>96411</v>
      </c>
      <c r="B590" s="232" t="s">
        <v>1299</v>
      </c>
      <c r="C590" s="92">
        <v>7.2299999999999996E-5</v>
      </c>
      <c r="D590" s="92">
        <v>5.66E-5</v>
      </c>
      <c r="E590" s="236">
        <v>110454</v>
      </c>
      <c r="F590" s="236"/>
      <c r="G590" s="237">
        <v>6363</v>
      </c>
      <c r="H590" s="225">
        <v>26818</v>
      </c>
      <c r="I590" s="237">
        <v>15774</v>
      </c>
      <c r="J590" s="236">
        <v>12280</v>
      </c>
      <c r="K590" s="225">
        <f t="shared" si="18"/>
        <v>61235</v>
      </c>
      <c r="L590" s="236"/>
      <c r="M590" s="237">
        <v>3127</v>
      </c>
      <c r="N590" s="237">
        <v>0</v>
      </c>
      <c r="O590" s="236">
        <v>4004</v>
      </c>
      <c r="P590" s="225">
        <f t="shared" si="19"/>
        <v>7131</v>
      </c>
      <c r="Q590" s="236"/>
      <c r="R590" s="237">
        <v>37223</v>
      </c>
      <c r="S590" s="238">
        <v>2528</v>
      </c>
      <c r="T590" s="238">
        <v>39751</v>
      </c>
    </row>
    <row r="591" spans="1:20">
      <c r="A591" s="231">
        <v>96421</v>
      </c>
      <c r="B591" s="232" t="s">
        <v>1300</v>
      </c>
      <c r="C591" s="92">
        <v>4.2529999999999998E-4</v>
      </c>
      <c r="D591" s="92">
        <v>4.2860000000000001E-4</v>
      </c>
      <c r="E591" s="236">
        <v>649741</v>
      </c>
      <c r="F591" s="236"/>
      <c r="G591" s="237">
        <v>37431</v>
      </c>
      <c r="H591" s="225">
        <v>157758</v>
      </c>
      <c r="I591" s="237">
        <v>92792</v>
      </c>
      <c r="J591" s="236">
        <v>0</v>
      </c>
      <c r="K591" s="225">
        <f t="shared" si="18"/>
        <v>287981</v>
      </c>
      <c r="L591" s="236"/>
      <c r="M591" s="237">
        <v>18392</v>
      </c>
      <c r="N591" s="237">
        <v>0</v>
      </c>
      <c r="O591" s="236">
        <v>78762</v>
      </c>
      <c r="P591" s="225">
        <f t="shared" si="19"/>
        <v>97154</v>
      </c>
      <c r="Q591" s="236"/>
      <c r="R591" s="237">
        <v>218963</v>
      </c>
      <c r="S591" s="238">
        <v>-35149</v>
      </c>
      <c r="T591" s="238">
        <v>183814</v>
      </c>
    </row>
    <row r="592" spans="1:20">
      <c r="A592" s="231">
        <v>96431</v>
      </c>
      <c r="B592" s="232" t="s">
        <v>1301</v>
      </c>
      <c r="C592" s="92">
        <v>4.2799999999999997E-5</v>
      </c>
      <c r="D592" s="92">
        <v>5.6100000000000002E-5</v>
      </c>
      <c r="E592" s="236">
        <v>65387</v>
      </c>
      <c r="F592" s="236"/>
      <c r="G592" s="237">
        <v>3767</v>
      </c>
      <c r="H592" s="225">
        <v>15876</v>
      </c>
      <c r="I592" s="237">
        <v>9338</v>
      </c>
      <c r="J592" s="236">
        <v>6277</v>
      </c>
      <c r="K592" s="225">
        <f t="shared" si="18"/>
        <v>35258</v>
      </c>
      <c r="L592" s="236"/>
      <c r="M592" s="237">
        <v>1851</v>
      </c>
      <c r="N592" s="237">
        <v>0</v>
      </c>
      <c r="O592" s="236">
        <v>10135</v>
      </c>
      <c r="P592" s="225">
        <f t="shared" si="19"/>
        <v>11986</v>
      </c>
      <c r="Q592" s="236"/>
      <c r="R592" s="237">
        <v>22035</v>
      </c>
      <c r="S592" s="238">
        <v>-1596</v>
      </c>
      <c r="T592" s="238">
        <v>20439</v>
      </c>
    </row>
    <row r="593" spans="1:20">
      <c r="A593" s="231">
        <v>96441</v>
      </c>
      <c r="B593" s="232" t="s">
        <v>1302</v>
      </c>
      <c r="C593" s="92">
        <v>2.97E-5</v>
      </c>
      <c r="D593" s="92">
        <v>3.1199999999999999E-5</v>
      </c>
      <c r="E593" s="236">
        <v>45373</v>
      </c>
      <c r="F593" s="236"/>
      <c r="G593" s="237">
        <v>2614</v>
      </c>
      <c r="H593" s="225">
        <v>11017</v>
      </c>
      <c r="I593" s="237">
        <v>6480</v>
      </c>
      <c r="J593" s="236">
        <v>7489</v>
      </c>
      <c r="K593" s="225">
        <f t="shared" si="18"/>
        <v>27600</v>
      </c>
      <c r="L593" s="236"/>
      <c r="M593" s="237">
        <v>1284</v>
      </c>
      <c r="N593" s="237">
        <v>0</v>
      </c>
      <c r="O593" s="236">
        <v>440</v>
      </c>
      <c r="P593" s="225">
        <f t="shared" si="19"/>
        <v>1724</v>
      </c>
      <c r="Q593" s="236"/>
      <c r="R593" s="237">
        <v>15291</v>
      </c>
      <c r="S593" s="238">
        <v>2815</v>
      </c>
      <c r="T593" s="238">
        <v>18106</v>
      </c>
    </row>
    <row r="594" spans="1:20">
      <c r="A594" s="231">
        <v>96451</v>
      </c>
      <c r="B594" s="232" t="s">
        <v>1303</v>
      </c>
      <c r="C594" s="92">
        <v>2.0299999999999999E-5</v>
      </c>
      <c r="D594" s="92">
        <v>1.38E-5</v>
      </c>
      <c r="E594" s="236">
        <v>31013</v>
      </c>
      <c r="F594" s="236"/>
      <c r="G594" s="237">
        <v>1787</v>
      </c>
      <c r="H594" s="225">
        <v>7530</v>
      </c>
      <c r="I594" s="237">
        <v>4429</v>
      </c>
      <c r="J594" s="236">
        <v>6431</v>
      </c>
      <c r="K594" s="225">
        <f t="shared" si="18"/>
        <v>20177</v>
      </c>
      <c r="L594" s="236"/>
      <c r="M594" s="237">
        <v>878</v>
      </c>
      <c r="N594" s="237">
        <v>0</v>
      </c>
      <c r="O594" s="236">
        <v>1319</v>
      </c>
      <c r="P594" s="225">
        <f t="shared" si="19"/>
        <v>2197</v>
      </c>
      <c r="Q594" s="236"/>
      <c r="R594" s="237">
        <v>10451</v>
      </c>
      <c r="S594" s="238">
        <v>994</v>
      </c>
      <c r="T594" s="238">
        <v>11445</v>
      </c>
    </row>
    <row r="595" spans="1:20">
      <c r="A595" s="231">
        <v>96461</v>
      </c>
      <c r="B595" s="232" t="s">
        <v>1304</v>
      </c>
      <c r="C595" s="92">
        <v>1.361E-4</v>
      </c>
      <c r="D595" s="92">
        <v>1.3410000000000001E-4</v>
      </c>
      <c r="E595" s="236">
        <v>207923</v>
      </c>
      <c r="F595" s="236"/>
      <c r="G595" s="237">
        <v>11978</v>
      </c>
      <c r="H595" s="225">
        <v>50484</v>
      </c>
      <c r="I595" s="237">
        <v>29694</v>
      </c>
      <c r="J595" s="236">
        <v>6504</v>
      </c>
      <c r="K595" s="225">
        <f t="shared" si="18"/>
        <v>98660</v>
      </c>
      <c r="L595" s="236"/>
      <c r="M595" s="237">
        <v>5886</v>
      </c>
      <c r="N595" s="237">
        <v>0</v>
      </c>
      <c r="O595" s="236">
        <v>18452</v>
      </c>
      <c r="P595" s="225">
        <f t="shared" si="19"/>
        <v>24338</v>
      </c>
      <c r="Q595" s="236"/>
      <c r="R595" s="237">
        <v>70070</v>
      </c>
      <c r="S595" s="238">
        <v>-3923</v>
      </c>
      <c r="T595" s="238">
        <f>66148-1</f>
        <v>66147</v>
      </c>
    </row>
    <row r="596" spans="1:20">
      <c r="A596" s="231">
        <v>96501</v>
      </c>
      <c r="B596" s="232" t="s">
        <v>1305</v>
      </c>
      <c r="C596" s="92">
        <v>1.44739E-2</v>
      </c>
      <c r="D596" s="92">
        <v>1.4156999999999999E-2</v>
      </c>
      <c r="E596" s="236">
        <v>22112110</v>
      </c>
      <c r="F596" s="236"/>
      <c r="G596" s="237">
        <v>1273862</v>
      </c>
      <c r="H596" s="225">
        <v>5368847</v>
      </c>
      <c r="I596" s="237">
        <v>3157916</v>
      </c>
      <c r="J596" s="236">
        <v>365065</v>
      </c>
      <c r="K596" s="225">
        <f t="shared" si="18"/>
        <v>10165690</v>
      </c>
      <c r="L596" s="236"/>
      <c r="M596" s="237">
        <v>625924</v>
      </c>
      <c r="N596" s="237">
        <v>0</v>
      </c>
      <c r="O596" s="236">
        <v>292930</v>
      </c>
      <c r="P596" s="225">
        <f t="shared" si="19"/>
        <v>918854</v>
      </c>
      <c r="Q596" s="236"/>
      <c r="R596" s="237">
        <v>7451801</v>
      </c>
      <c r="S596" s="238">
        <v>150498</v>
      </c>
      <c r="T596" s="238">
        <f>7602298+1</f>
        <v>7602299</v>
      </c>
    </row>
    <row r="597" spans="1:20">
      <c r="A597" s="231">
        <v>96502</v>
      </c>
      <c r="B597" s="232" t="s">
        <v>1306</v>
      </c>
      <c r="C597" s="92">
        <v>4.2440000000000002E-4</v>
      </c>
      <c r="D597" s="92">
        <v>4.2309999999999998E-4</v>
      </c>
      <c r="E597" s="236">
        <v>648366</v>
      </c>
      <c r="F597" s="236"/>
      <c r="G597" s="237">
        <v>37352</v>
      </c>
      <c r="H597" s="225">
        <v>157424</v>
      </c>
      <c r="I597" s="237">
        <v>92596</v>
      </c>
      <c r="J597" s="236">
        <v>39317</v>
      </c>
      <c r="K597" s="225">
        <f t="shared" si="18"/>
        <v>326689</v>
      </c>
      <c r="L597" s="236"/>
      <c r="M597" s="237">
        <v>18353</v>
      </c>
      <c r="N597" s="237">
        <v>0</v>
      </c>
      <c r="O597" s="236">
        <v>0</v>
      </c>
      <c r="P597" s="225">
        <f t="shared" si="19"/>
        <v>18353</v>
      </c>
      <c r="Q597" s="236"/>
      <c r="R597" s="237">
        <v>218500</v>
      </c>
      <c r="S597" s="238">
        <v>23185</v>
      </c>
      <c r="T597" s="238">
        <v>241685</v>
      </c>
    </row>
    <row r="598" spans="1:20">
      <c r="A598" s="231">
        <v>96503</v>
      </c>
      <c r="B598" s="232" t="s">
        <v>1307</v>
      </c>
      <c r="C598" s="92">
        <v>3.0039999999999998E-4</v>
      </c>
      <c r="D598" s="92">
        <v>3.3700000000000001E-4</v>
      </c>
      <c r="E598" s="236">
        <v>458928</v>
      </c>
      <c r="F598" s="236"/>
      <c r="G598" s="237">
        <v>26439</v>
      </c>
      <c r="H598" s="225">
        <v>111428</v>
      </c>
      <c r="I598" s="237">
        <v>65541</v>
      </c>
      <c r="J598" s="236">
        <v>240013</v>
      </c>
      <c r="K598" s="225">
        <f t="shared" si="18"/>
        <v>443421</v>
      </c>
      <c r="L598" s="236"/>
      <c r="M598" s="237">
        <v>12991</v>
      </c>
      <c r="N598" s="237">
        <v>0</v>
      </c>
      <c r="O598" s="236">
        <v>14874</v>
      </c>
      <c r="P598" s="225">
        <f t="shared" si="19"/>
        <v>27865</v>
      </c>
      <c r="Q598" s="236"/>
      <c r="R598" s="237">
        <v>154659</v>
      </c>
      <c r="S598" s="238">
        <v>71167</v>
      </c>
      <c r="T598" s="238">
        <v>225826</v>
      </c>
    </row>
    <row r="599" spans="1:20">
      <c r="A599" s="231">
        <v>96504</v>
      </c>
      <c r="B599" s="232" t="s">
        <v>1308</v>
      </c>
      <c r="C599" s="92">
        <v>4.1760000000000001E-4</v>
      </c>
      <c r="D599" s="92">
        <v>3.6039999999999998E-4</v>
      </c>
      <c r="E599" s="236">
        <v>637977</v>
      </c>
      <c r="F599" s="236"/>
      <c r="G599" s="237">
        <v>36753</v>
      </c>
      <c r="H599" s="225">
        <v>154902</v>
      </c>
      <c r="I599" s="237">
        <v>91112</v>
      </c>
      <c r="J599" s="236">
        <v>44166</v>
      </c>
      <c r="K599" s="225">
        <f t="shared" si="18"/>
        <v>326933</v>
      </c>
      <c r="L599" s="236"/>
      <c r="M599" s="237">
        <v>18059</v>
      </c>
      <c r="N599" s="237">
        <v>0</v>
      </c>
      <c r="O599" s="236">
        <v>4428</v>
      </c>
      <c r="P599" s="225">
        <f t="shared" si="19"/>
        <v>22487</v>
      </c>
      <c r="Q599" s="236"/>
      <c r="R599" s="237">
        <v>214999</v>
      </c>
      <c r="S599" s="238">
        <v>11523</v>
      </c>
      <c r="T599" s="238">
        <f>226521+1</f>
        <v>226522</v>
      </c>
    </row>
    <row r="600" spans="1:20">
      <c r="A600" s="231">
        <v>96507</v>
      </c>
      <c r="B600" s="232" t="s">
        <v>1309</v>
      </c>
      <c r="C600" s="92">
        <v>2.2147E-3</v>
      </c>
      <c r="D600" s="92">
        <v>2.2604999999999999E-3</v>
      </c>
      <c r="E600" s="236">
        <v>3383448</v>
      </c>
      <c r="F600" s="236"/>
      <c r="G600" s="237">
        <v>194918</v>
      </c>
      <c r="H600" s="225">
        <v>821505</v>
      </c>
      <c r="I600" s="237">
        <v>483203</v>
      </c>
      <c r="J600" s="236">
        <v>115759</v>
      </c>
      <c r="K600" s="225">
        <f t="shared" si="18"/>
        <v>1615385</v>
      </c>
      <c r="L600" s="236"/>
      <c r="M600" s="237">
        <v>95775</v>
      </c>
      <c r="N600" s="237">
        <v>0</v>
      </c>
      <c r="O600" s="236">
        <v>22795</v>
      </c>
      <c r="P600" s="225">
        <f t="shared" si="19"/>
        <v>118570</v>
      </c>
      <c r="Q600" s="236"/>
      <c r="R600" s="237">
        <v>1140225</v>
      </c>
      <c r="S600" s="238">
        <v>58867</v>
      </c>
      <c r="T600" s="238">
        <v>1199092</v>
      </c>
    </row>
    <row r="601" spans="1:20">
      <c r="A601" s="231">
        <v>96508</v>
      </c>
      <c r="B601" s="232" t="s">
        <v>1310</v>
      </c>
      <c r="C601" s="92">
        <v>8.6000000000000007E-6</v>
      </c>
      <c r="D601" s="92">
        <v>9.7999999999999993E-6</v>
      </c>
      <c r="E601" s="236">
        <v>13138</v>
      </c>
      <c r="F601" s="236"/>
      <c r="G601" s="237">
        <v>757</v>
      </c>
      <c r="H601" s="225">
        <v>3190</v>
      </c>
      <c r="I601" s="237">
        <v>1876</v>
      </c>
      <c r="J601" s="236">
        <v>11113</v>
      </c>
      <c r="K601" s="225">
        <f t="shared" si="18"/>
        <v>16936</v>
      </c>
      <c r="L601" s="236"/>
      <c r="M601" s="237">
        <v>372</v>
      </c>
      <c r="N601" s="237">
        <v>0</v>
      </c>
      <c r="O601" s="236">
        <v>0</v>
      </c>
      <c r="P601" s="225">
        <f t="shared" si="19"/>
        <v>372</v>
      </c>
      <c r="Q601" s="236"/>
      <c r="R601" s="237">
        <v>4428</v>
      </c>
      <c r="S601" s="238">
        <v>4402</v>
      </c>
      <c r="T601" s="238">
        <v>8830</v>
      </c>
    </row>
    <row r="602" spans="1:20">
      <c r="A602" s="231">
        <v>96511</v>
      </c>
      <c r="B602" s="232" t="s">
        <v>1311</v>
      </c>
      <c r="C602" s="92">
        <v>6.2069999999999996E-4</v>
      </c>
      <c r="D602" s="92">
        <v>6.221E-4</v>
      </c>
      <c r="E602" s="236">
        <v>948258</v>
      </c>
      <c r="F602" s="236"/>
      <c r="G602" s="237">
        <v>54628</v>
      </c>
      <c r="H602" s="225">
        <v>230238</v>
      </c>
      <c r="I602" s="237">
        <v>135424</v>
      </c>
      <c r="J602" s="236">
        <v>0</v>
      </c>
      <c r="K602" s="225">
        <f t="shared" si="18"/>
        <v>420290</v>
      </c>
      <c r="L602" s="236"/>
      <c r="M602" s="237">
        <v>26842</v>
      </c>
      <c r="N602" s="237">
        <v>0</v>
      </c>
      <c r="O602" s="236">
        <v>95843</v>
      </c>
      <c r="P602" s="225">
        <f t="shared" si="19"/>
        <v>122685</v>
      </c>
      <c r="Q602" s="236"/>
      <c r="R602" s="237">
        <v>319564</v>
      </c>
      <c r="S602" s="238">
        <v>-49396</v>
      </c>
      <c r="T602" s="238">
        <v>270168</v>
      </c>
    </row>
    <row r="603" spans="1:20">
      <c r="A603" s="231">
        <v>96512</v>
      </c>
      <c r="B603" s="232" t="s">
        <v>1312</v>
      </c>
      <c r="C603" s="92">
        <v>1.5119999999999999E-4</v>
      </c>
      <c r="D603" s="92">
        <v>1.7000000000000001E-4</v>
      </c>
      <c r="E603" s="236">
        <v>230992</v>
      </c>
      <c r="F603" s="236"/>
      <c r="G603" s="237">
        <v>13307</v>
      </c>
      <c r="H603" s="225">
        <v>56085</v>
      </c>
      <c r="I603" s="237">
        <v>32989</v>
      </c>
      <c r="J603" s="236">
        <v>5578</v>
      </c>
      <c r="K603" s="225">
        <f t="shared" si="18"/>
        <v>107959</v>
      </c>
      <c r="L603" s="236"/>
      <c r="M603" s="237">
        <v>6539</v>
      </c>
      <c r="N603" s="237">
        <v>0</v>
      </c>
      <c r="O603" s="236">
        <v>9964</v>
      </c>
      <c r="P603" s="225">
        <f t="shared" si="19"/>
        <v>16503</v>
      </c>
      <c r="Q603" s="236"/>
      <c r="R603" s="237">
        <v>77844</v>
      </c>
      <c r="S603" s="238">
        <v>198</v>
      </c>
      <c r="T603" s="238">
        <v>78042</v>
      </c>
    </row>
    <row r="604" spans="1:20">
      <c r="A604" s="231">
        <v>96521</v>
      </c>
      <c r="B604" s="232" t="s">
        <v>1313</v>
      </c>
      <c r="C604" s="92">
        <v>9.881E-4</v>
      </c>
      <c r="D604" s="92">
        <v>9.4240000000000003E-4</v>
      </c>
      <c r="E604" s="236">
        <v>1509543</v>
      </c>
      <c r="F604" s="236"/>
      <c r="G604" s="237">
        <v>86964</v>
      </c>
      <c r="H604" s="225">
        <v>366519</v>
      </c>
      <c r="I604" s="237">
        <v>215584</v>
      </c>
      <c r="J604" s="236">
        <v>30024</v>
      </c>
      <c r="K604" s="225">
        <f t="shared" si="18"/>
        <v>699091</v>
      </c>
      <c r="L604" s="236"/>
      <c r="M604" s="237">
        <v>42730</v>
      </c>
      <c r="N604" s="237">
        <v>0</v>
      </c>
      <c r="O604" s="236">
        <v>25241</v>
      </c>
      <c r="P604" s="225">
        <f t="shared" si="19"/>
        <v>67971</v>
      </c>
      <c r="Q604" s="236"/>
      <c r="R604" s="237">
        <v>508717</v>
      </c>
      <c r="S604" s="238">
        <v>6710</v>
      </c>
      <c r="T604" s="238">
        <f>515428-1</f>
        <v>515427</v>
      </c>
    </row>
    <row r="605" spans="1:20">
      <c r="A605" s="231">
        <v>96531</v>
      </c>
      <c r="B605" s="232" t="s">
        <v>1314</v>
      </c>
      <c r="C605" s="92">
        <v>8.5845000000000001E-3</v>
      </c>
      <c r="D605" s="92">
        <v>8.6088999999999992E-3</v>
      </c>
      <c r="E605" s="236">
        <v>13114738</v>
      </c>
      <c r="F605" s="236"/>
      <c r="G605" s="237">
        <v>755530</v>
      </c>
      <c r="H605" s="225">
        <v>3184274</v>
      </c>
      <c r="I605" s="237">
        <v>1872966</v>
      </c>
      <c r="J605" s="236">
        <v>48765</v>
      </c>
      <c r="K605" s="225">
        <f t="shared" si="18"/>
        <v>5861535</v>
      </c>
      <c r="L605" s="236"/>
      <c r="M605" s="237">
        <v>371237</v>
      </c>
      <c r="N605" s="237">
        <v>0</v>
      </c>
      <c r="O605" s="236">
        <v>418860</v>
      </c>
      <c r="P605" s="225">
        <f t="shared" si="19"/>
        <v>790097</v>
      </c>
      <c r="Q605" s="236"/>
      <c r="R605" s="237">
        <v>4419678</v>
      </c>
      <c r="S605" s="238">
        <v>-117601</v>
      </c>
      <c r="T605" s="238">
        <v>4302077</v>
      </c>
    </row>
    <row r="606" spans="1:20">
      <c r="A606" s="231">
        <v>96541</v>
      </c>
      <c r="B606" s="232" t="s">
        <v>1315</v>
      </c>
      <c r="C606" s="92">
        <v>3.5950000000000001E-4</v>
      </c>
      <c r="D606" s="92">
        <v>3.3169999999999999E-4</v>
      </c>
      <c r="E606" s="236">
        <v>549216</v>
      </c>
      <c r="F606" s="236"/>
      <c r="G606" s="237">
        <v>31640</v>
      </c>
      <c r="H606" s="225">
        <v>133350</v>
      </c>
      <c r="I606" s="237">
        <v>78436</v>
      </c>
      <c r="J606" s="236">
        <v>24801</v>
      </c>
      <c r="K606" s="225">
        <f t="shared" si="18"/>
        <v>268227</v>
      </c>
      <c r="L606" s="236"/>
      <c r="M606" s="237">
        <v>15547</v>
      </c>
      <c r="N606" s="237">
        <v>0</v>
      </c>
      <c r="O606" s="236">
        <v>0</v>
      </c>
      <c r="P606" s="225">
        <f t="shared" si="19"/>
        <v>15547</v>
      </c>
      <c r="Q606" s="236"/>
      <c r="R606" s="237">
        <v>185086</v>
      </c>
      <c r="S606" s="238">
        <v>13028</v>
      </c>
      <c r="T606" s="238">
        <f>198115-1</f>
        <v>198114</v>
      </c>
    </row>
    <row r="607" spans="1:20">
      <c r="A607" s="231">
        <v>96601</v>
      </c>
      <c r="B607" s="232" t="s">
        <v>1316</v>
      </c>
      <c r="C607" s="92">
        <v>1.8169E-3</v>
      </c>
      <c r="D607" s="92">
        <v>1.8416000000000001E-3</v>
      </c>
      <c r="E607" s="236">
        <v>2775720</v>
      </c>
      <c r="F607" s="236"/>
      <c r="G607" s="237">
        <v>159907</v>
      </c>
      <c r="H607" s="225">
        <v>673948</v>
      </c>
      <c r="I607" s="237">
        <v>396411</v>
      </c>
      <c r="J607" s="236">
        <v>50154</v>
      </c>
      <c r="K607" s="225">
        <f t="shared" si="18"/>
        <v>1280420</v>
      </c>
      <c r="L607" s="236"/>
      <c r="M607" s="237">
        <v>78572</v>
      </c>
      <c r="N607" s="237">
        <v>0</v>
      </c>
      <c r="O607" s="236">
        <v>4139</v>
      </c>
      <c r="P607" s="225">
        <f t="shared" si="19"/>
        <v>82711</v>
      </c>
      <c r="Q607" s="236"/>
      <c r="R607" s="237">
        <v>935420</v>
      </c>
      <c r="S607" s="238">
        <v>30132</v>
      </c>
      <c r="T607" s="238">
        <v>965552</v>
      </c>
    </row>
    <row r="608" spans="1:20">
      <c r="A608" s="231">
        <v>96604</v>
      </c>
      <c r="B608" s="232" t="s">
        <v>1317</v>
      </c>
      <c r="C608" s="92">
        <v>7.6000000000000001E-6</v>
      </c>
      <c r="D608" s="92">
        <v>7.9000000000000006E-6</v>
      </c>
      <c r="E608" s="236">
        <v>11611</v>
      </c>
      <c r="F608" s="236"/>
      <c r="G608" s="237">
        <v>669</v>
      </c>
      <c r="H608" s="225">
        <v>2819</v>
      </c>
      <c r="I608" s="237">
        <v>1658</v>
      </c>
      <c r="J608" s="236">
        <v>2027</v>
      </c>
      <c r="K608" s="225">
        <f t="shared" si="18"/>
        <v>7173</v>
      </c>
      <c r="L608" s="236"/>
      <c r="M608" s="237">
        <v>329</v>
      </c>
      <c r="N608" s="237">
        <v>0</v>
      </c>
      <c r="O608" s="236">
        <v>70</v>
      </c>
      <c r="P608" s="225">
        <f t="shared" si="19"/>
        <v>399</v>
      </c>
      <c r="Q608" s="236"/>
      <c r="R608" s="237">
        <v>3913</v>
      </c>
      <c r="S608" s="238">
        <v>799</v>
      </c>
      <c r="T608" s="238">
        <v>4712</v>
      </c>
    </row>
    <row r="609" spans="1:20">
      <c r="A609" s="231">
        <v>96611</v>
      </c>
      <c r="B609" s="232" t="s">
        <v>1318</v>
      </c>
      <c r="C609" s="92">
        <v>2.83E-5</v>
      </c>
      <c r="D609" s="92">
        <v>3.29E-5</v>
      </c>
      <c r="E609" s="236">
        <v>43235</v>
      </c>
      <c r="F609" s="236"/>
      <c r="G609" s="237">
        <v>2491</v>
      </c>
      <c r="H609" s="225">
        <v>10498</v>
      </c>
      <c r="I609" s="237">
        <v>6174</v>
      </c>
      <c r="J609" s="236">
        <v>1561</v>
      </c>
      <c r="K609" s="225">
        <f t="shared" si="18"/>
        <v>20724</v>
      </c>
      <c r="L609" s="236"/>
      <c r="M609" s="237">
        <v>1224</v>
      </c>
      <c r="N609" s="237">
        <v>0</v>
      </c>
      <c r="O609" s="236">
        <v>4284</v>
      </c>
      <c r="P609" s="225">
        <f t="shared" si="19"/>
        <v>5508</v>
      </c>
      <c r="Q609" s="236"/>
      <c r="R609" s="237">
        <v>14570</v>
      </c>
      <c r="S609" s="238">
        <v>112</v>
      </c>
      <c r="T609" s="238">
        <f>14683-1</f>
        <v>14682</v>
      </c>
    </row>
    <row r="610" spans="1:20">
      <c r="A610" s="231">
        <v>96612</v>
      </c>
      <c r="B610" s="232" t="s">
        <v>1319</v>
      </c>
      <c r="C610" s="92">
        <v>6.3299999999999994E-5</v>
      </c>
      <c r="D610" s="92">
        <v>6.3899999999999995E-5</v>
      </c>
      <c r="E610" s="236">
        <v>96705</v>
      </c>
      <c r="F610" s="236"/>
      <c r="G610" s="237">
        <v>5571</v>
      </c>
      <c r="H610" s="225">
        <v>23480</v>
      </c>
      <c r="I610" s="237">
        <v>13811</v>
      </c>
      <c r="J610" s="236">
        <v>7699</v>
      </c>
      <c r="K610" s="225">
        <f t="shared" si="18"/>
        <v>50561</v>
      </c>
      <c r="L610" s="236"/>
      <c r="M610" s="237">
        <v>2737</v>
      </c>
      <c r="N610" s="237">
        <v>0</v>
      </c>
      <c r="O610" s="236">
        <v>658</v>
      </c>
      <c r="P610" s="225">
        <f t="shared" si="19"/>
        <v>3395</v>
      </c>
      <c r="Q610" s="236"/>
      <c r="R610" s="237">
        <v>32590</v>
      </c>
      <c r="S610" s="238">
        <v>2270</v>
      </c>
      <c r="T610" s="238">
        <f>34859+1</f>
        <v>34860</v>
      </c>
    </row>
    <row r="611" spans="1:20">
      <c r="A611" s="231">
        <v>96621</v>
      </c>
      <c r="B611" s="232" t="s">
        <v>1320</v>
      </c>
      <c r="C611" s="92">
        <v>2.5999999999999998E-5</v>
      </c>
      <c r="D611" s="92">
        <v>2.65E-5</v>
      </c>
      <c r="E611" s="236">
        <v>39721</v>
      </c>
      <c r="F611" s="236"/>
      <c r="G611" s="237">
        <v>2288</v>
      </c>
      <c r="H611" s="225">
        <v>9644</v>
      </c>
      <c r="I611" s="237">
        <v>5673</v>
      </c>
      <c r="J611" s="236">
        <v>1435</v>
      </c>
      <c r="K611" s="225">
        <f t="shared" si="18"/>
        <v>19040</v>
      </c>
      <c r="L611" s="236"/>
      <c r="M611" s="237">
        <v>1124</v>
      </c>
      <c r="N611" s="237">
        <v>0</v>
      </c>
      <c r="O611" s="236">
        <v>4828</v>
      </c>
      <c r="P611" s="225">
        <f t="shared" si="19"/>
        <v>5952</v>
      </c>
      <c r="Q611" s="236"/>
      <c r="R611" s="237">
        <v>13386</v>
      </c>
      <c r="S611" s="238">
        <v>-2281</v>
      </c>
      <c r="T611" s="238">
        <v>11105</v>
      </c>
    </row>
    <row r="612" spans="1:20">
      <c r="A612" s="231">
        <v>96631</v>
      </c>
      <c r="B612" s="232" t="s">
        <v>1321</v>
      </c>
      <c r="C612" s="92">
        <v>2.51E-5</v>
      </c>
      <c r="D612" s="92">
        <v>2.5899999999999999E-5</v>
      </c>
      <c r="E612" s="236">
        <v>38346</v>
      </c>
      <c r="F612" s="236"/>
      <c r="G612" s="237">
        <v>2209</v>
      </c>
      <c r="H612" s="225">
        <v>9311</v>
      </c>
      <c r="I612" s="237">
        <v>5476</v>
      </c>
      <c r="J612" s="236">
        <v>3375</v>
      </c>
      <c r="K612" s="225">
        <f t="shared" si="18"/>
        <v>20371</v>
      </c>
      <c r="L612" s="236"/>
      <c r="M612" s="237">
        <v>1085</v>
      </c>
      <c r="N612" s="237">
        <v>0</v>
      </c>
      <c r="O612" s="236">
        <v>345</v>
      </c>
      <c r="P612" s="225">
        <f t="shared" si="19"/>
        <v>1430</v>
      </c>
      <c r="Q612" s="236"/>
      <c r="R612" s="237">
        <v>12923</v>
      </c>
      <c r="S612" s="238">
        <v>2192</v>
      </c>
      <c r="T612" s="238">
        <f>15114+1</f>
        <v>15115</v>
      </c>
    </row>
    <row r="613" spans="1:20">
      <c r="A613" s="231">
        <v>96641</v>
      </c>
      <c r="B613" s="232" t="s">
        <v>1322</v>
      </c>
      <c r="C613" s="92">
        <v>3.2199999999999997E-5</v>
      </c>
      <c r="D613" s="92">
        <v>2.6999999999999999E-5</v>
      </c>
      <c r="E613" s="236">
        <v>49193</v>
      </c>
      <c r="F613" s="236"/>
      <c r="G613" s="237">
        <v>2834</v>
      </c>
      <c r="H613" s="225">
        <v>11944</v>
      </c>
      <c r="I613" s="237">
        <v>7025</v>
      </c>
      <c r="J613" s="236">
        <v>15380</v>
      </c>
      <c r="K613" s="225">
        <f t="shared" si="18"/>
        <v>37183</v>
      </c>
      <c r="L613" s="236"/>
      <c r="M613" s="237">
        <v>1392</v>
      </c>
      <c r="N613" s="237">
        <v>0</v>
      </c>
      <c r="O613" s="236">
        <v>0</v>
      </c>
      <c r="P613" s="225">
        <f t="shared" si="19"/>
        <v>1392</v>
      </c>
      <c r="Q613" s="236"/>
      <c r="R613" s="237">
        <v>16578</v>
      </c>
      <c r="S613" s="238">
        <v>5934</v>
      </c>
      <c r="T613" s="238">
        <v>22512</v>
      </c>
    </row>
    <row r="614" spans="1:20">
      <c r="A614" s="231">
        <v>96651</v>
      </c>
      <c r="B614" s="232" t="s">
        <v>1323</v>
      </c>
      <c r="C614" s="92">
        <v>1.7399999999999999E-5</v>
      </c>
      <c r="D614" s="92">
        <v>1.9400000000000001E-5</v>
      </c>
      <c r="E614" s="236">
        <v>26582</v>
      </c>
      <c r="F614" s="236"/>
      <c r="G614" s="237">
        <v>1531</v>
      </c>
      <c r="H614" s="225">
        <v>6454</v>
      </c>
      <c r="I614" s="237">
        <v>3796</v>
      </c>
      <c r="J614" s="236">
        <v>1983</v>
      </c>
      <c r="K614" s="225">
        <f t="shared" si="18"/>
        <v>13764</v>
      </c>
      <c r="L614" s="236"/>
      <c r="M614" s="237">
        <v>752</v>
      </c>
      <c r="N614" s="237">
        <v>0</v>
      </c>
      <c r="O614" s="236">
        <v>1305</v>
      </c>
      <c r="P614" s="225">
        <f t="shared" si="19"/>
        <v>2057</v>
      </c>
      <c r="Q614" s="236"/>
      <c r="R614" s="237">
        <v>8958</v>
      </c>
      <c r="S614" s="238">
        <v>-364</v>
      </c>
      <c r="T614" s="238">
        <f>8595-1</f>
        <v>8594</v>
      </c>
    </row>
    <row r="615" spans="1:20">
      <c r="A615" s="231">
        <v>96661</v>
      </c>
      <c r="B615" s="232" t="s">
        <v>1324</v>
      </c>
      <c r="C615" s="92">
        <v>1.9700000000000001E-5</v>
      </c>
      <c r="D615" s="92">
        <v>1.9000000000000001E-5</v>
      </c>
      <c r="E615" s="236">
        <v>30096</v>
      </c>
      <c r="F615" s="236"/>
      <c r="G615" s="237">
        <v>1734</v>
      </c>
      <c r="H615" s="225">
        <v>7308</v>
      </c>
      <c r="I615" s="237">
        <v>4298</v>
      </c>
      <c r="J615" s="236">
        <v>5449</v>
      </c>
      <c r="K615" s="225">
        <f t="shared" si="18"/>
        <v>18789</v>
      </c>
      <c r="L615" s="236"/>
      <c r="M615" s="237">
        <v>852</v>
      </c>
      <c r="N615" s="237">
        <v>0</v>
      </c>
      <c r="O615" s="236">
        <v>0</v>
      </c>
      <c r="P615" s="225">
        <f t="shared" si="19"/>
        <v>852</v>
      </c>
      <c r="Q615" s="236"/>
      <c r="R615" s="237">
        <v>10142</v>
      </c>
      <c r="S615" s="238">
        <v>2525</v>
      </c>
      <c r="T615" s="238">
        <f>12668-1</f>
        <v>12667</v>
      </c>
    </row>
    <row r="616" spans="1:20">
      <c r="A616" s="231">
        <v>96671</v>
      </c>
      <c r="B616" s="232" t="s">
        <v>1325</v>
      </c>
      <c r="C616" s="92">
        <v>1.49E-5</v>
      </c>
      <c r="D616" s="92">
        <v>1.5500000000000001E-5</v>
      </c>
      <c r="E616" s="236">
        <v>22763</v>
      </c>
      <c r="F616" s="236"/>
      <c r="G616" s="237">
        <v>1311</v>
      </c>
      <c r="H616" s="225">
        <v>5527</v>
      </c>
      <c r="I616" s="237">
        <v>3251</v>
      </c>
      <c r="J616" s="236">
        <v>8612</v>
      </c>
      <c r="K616" s="225">
        <f t="shared" si="18"/>
        <v>18701</v>
      </c>
      <c r="L616" s="236"/>
      <c r="M616" s="237">
        <v>644</v>
      </c>
      <c r="N616" s="237">
        <v>0</v>
      </c>
      <c r="O616" s="236">
        <v>208</v>
      </c>
      <c r="P616" s="225">
        <f t="shared" si="19"/>
        <v>852</v>
      </c>
      <c r="Q616" s="236"/>
      <c r="R616" s="237">
        <v>7671</v>
      </c>
      <c r="S616" s="238">
        <v>3620</v>
      </c>
      <c r="T616" s="238">
        <v>11291</v>
      </c>
    </row>
    <row r="617" spans="1:20">
      <c r="A617" s="231">
        <v>96681</v>
      </c>
      <c r="B617" s="232" t="s">
        <v>1326</v>
      </c>
      <c r="C617" s="92">
        <v>1.7499999999999998E-5</v>
      </c>
      <c r="D617" s="92">
        <v>3.4799999999999999E-5</v>
      </c>
      <c r="E617" s="236">
        <v>26735</v>
      </c>
      <c r="F617" s="236"/>
      <c r="G617" s="237">
        <v>1540</v>
      </c>
      <c r="H617" s="225">
        <v>6491</v>
      </c>
      <c r="I617" s="237">
        <v>3818</v>
      </c>
      <c r="J617" s="236">
        <v>12682</v>
      </c>
      <c r="K617" s="225">
        <f t="shared" si="18"/>
        <v>24531</v>
      </c>
      <c r="L617" s="236"/>
      <c r="M617" s="237">
        <v>757</v>
      </c>
      <c r="N617" s="237">
        <v>0</v>
      </c>
      <c r="O617" s="236">
        <v>9027</v>
      </c>
      <c r="P617" s="225">
        <f t="shared" si="19"/>
        <v>9784</v>
      </c>
      <c r="Q617" s="236"/>
      <c r="R617" s="237">
        <v>9010</v>
      </c>
      <c r="S617" s="238">
        <v>3129</v>
      </c>
      <c r="T617" s="238">
        <v>12139</v>
      </c>
    </row>
    <row r="618" spans="1:20">
      <c r="A618" s="231">
        <v>96701</v>
      </c>
      <c r="B618" s="232" t="s">
        <v>1327</v>
      </c>
      <c r="C618" s="92">
        <v>8.4206000000000003E-3</v>
      </c>
      <c r="D618" s="92">
        <v>7.7850000000000003E-3</v>
      </c>
      <c r="E618" s="236">
        <v>12864344</v>
      </c>
      <c r="F618" s="236"/>
      <c r="G618" s="237">
        <v>741105</v>
      </c>
      <c r="H618" s="225">
        <v>3123478</v>
      </c>
      <c r="I618" s="237">
        <v>1837207</v>
      </c>
      <c r="J618" s="236">
        <v>445953</v>
      </c>
      <c r="K618" s="225">
        <f t="shared" si="18"/>
        <v>6147743</v>
      </c>
      <c r="L618" s="236"/>
      <c r="M618" s="237">
        <v>364149</v>
      </c>
      <c r="N618" s="237">
        <v>0</v>
      </c>
      <c r="O618" s="236">
        <v>51464</v>
      </c>
      <c r="P618" s="225">
        <f t="shared" si="19"/>
        <v>415613</v>
      </c>
      <c r="Q618" s="236"/>
      <c r="R618" s="237">
        <v>4335295</v>
      </c>
      <c r="S618" s="238">
        <v>139565</v>
      </c>
      <c r="T618" s="238">
        <f>4474861-1</f>
        <v>4474860</v>
      </c>
    </row>
    <row r="619" spans="1:20">
      <c r="A619" s="231">
        <v>96704</v>
      </c>
      <c r="B619" s="232" t="s">
        <v>1328</v>
      </c>
      <c r="C619" s="92">
        <v>1.7259999999999999E-4</v>
      </c>
      <c r="D619" s="92">
        <v>1.5330000000000001E-4</v>
      </c>
      <c r="E619" s="236">
        <v>263685</v>
      </c>
      <c r="F619" s="236"/>
      <c r="G619" s="237">
        <v>15191</v>
      </c>
      <c r="H619" s="225">
        <v>64023</v>
      </c>
      <c r="I619" s="237">
        <v>37658</v>
      </c>
      <c r="J619" s="236">
        <v>28813</v>
      </c>
      <c r="K619" s="225">
        <f t="shared" si="18"/>
        <v>145685</v>
      </c>
      <c r="L619" s="236"/>
      <c r="M619" s="237">
        <v>7464</v>
      </c>
      <c r="N619" s="237">
        <v>0</v>
      </c>
      <c r="O619" s="236">
        <v>0</v>
      </c>
      <c r="P619" s="225">
        <f t="shared" si="19"/>
        <v>7464</v>
      </c>
      <c r="Q619" s="236"/>
      <c r="R619" s="237">
        <v>88862</v>
      </c>
      <c r="S619" s="238">
        <v>9625</v>
      </c>
      <c r="T619" s="238">
        <v>98487</v>
      </c>
    </row>
    <row r="620" spans="1:20">
      <c r="A620" s="231">
        <v>96708</v>
      </c>
      <c r="B620" s="232" t="s">
        <v>1329</v>
      </c>
      <c r="C620" s="92">
        <v>9.031E-4</v>
      </c>
      <c r="D620" s="92">
        <v>8.4590000000000002E-4</v>
      </c>
      <c r="E620" s="236">
        <v>1379687</v>
      </c>
      <c r="F620" s="236"/>
      <c r="G620" s="237">
        <v>79483</v>
      </c>
      <c r="H620" s="225">
        <v>334989</v>
      </c>
      <c r="I620" s="237">
        <v>197038</v>
      </c>
      <c r="J620" s="236">
        <v>93931</v>
      </c>
      <c r="K620" s="225">
        <f t="shared" si="18"/>
        <v>705441</v>
      </c>
      <c r="L620" s="236"/>
      <c r="M620" s="237">
        <v>39055</v>
      </c>
      <c r="N620" s="237">
        <v>0</v>
      </c>
      <c r="O620" s="236">
        <v>19895</v>
      </c>
      <c r="P620" s="225">
        <f t="shared" si="19"/>
        <v>58950</v>
      </c>
      <c r="Q620" s="236"/>
      <c r="R620" s="237">
        <v>464956</v>
      </c>
      <c r="S620" s="238">
        <v>29117</v>
      </c>
      <c r="T620" s="238">
        <v>494073</v>
      </c>
    </row>
    <row r="621" spans="1:20">
      <c r="A621" s="231">
        <v>96711</v>
      </c>
      <c r="B621" s="232" t="s">
        <v>1330</v>
      </c>
      <c r="C621" s="92">
        <v>4.0464000000000003E-3</v>
      </c>
      <c r="D621" s="92">
        <v>4.4140000000000004E-3</v>
      </c>
      <c r="E621" s="236">
        <v>6181778</v>
      </c>
      <c r="F621" s="236"/>
      <c r="G621" s="237">
        <v>356128</v>
      </c>
      <c r="H621" s="225">
        <v>1500943</v>
      </c>
      <c r="I621" s="237">
        <v>882844</v>
      </c>
      <c r="J621" s="236">
        <v>10323</v>
      </c>
      <c r="K621" s="225">
        <f t="shared" si="18"/>
        <v>2750238</v>
      </c>
      <c r="L621" s="236"/>
      <c r="M621" s="237">
        <v>174987</v>
      </c>
      <c r="N621" s="237">
        <v>0</v>
      </c>
      <c r="O621" s="236">
        <v>468550</v>
      </c>
      <c r="P621" s="225">
        <f t="shared" si="19"/>
        <v>643537</v>
      </c>
      <c r="Q621" s="236"/>
      <c r="R621" s="237">
        <v>2083265</v>
      </c>
      <c r="S621" s="238">
        <v>-165088</v>
      </c>
      <c r="T621" s="238">
        <v>1918177</v>
      </c>
    </row>
    <row r="622" spans="1:20">
      <c r="A622" s="231">
        <v>96721</v>
      </c>
      <c r="B622" s="232" t="s">
        <v>1331</v>
      </c>
      <c r="C622" s="92">
        <v>2.1379999999999999E-4</v>
      </c>
      <c r="D622" s="92">
        <v>1.9780000000000001E-4</v>
      </c>
      <c r="E622" s="236">
        <v>326627</v>
      </c>
      <c r="F622" s="236"/>
      <c r="G622" s="237">
        <v>18817</v>
      </c>
      <c r="H622" s="225">
        <v>79305</v>
      </c>
      <c r="I622" s="237">
        <v>46647</v>
      </c>
      <c r="J622" s="236">
        <v>14615</v>
      </c>
      <c r="K622" s="225">
        <f t="shared" si="18"/>
        <v>159384</v>
      </c>
      <c r="L622" s="236"/>
      <c r="M622" s="237">
        <v>9246</v>
      </c>
      <c r="N622" s="237">
        <v>0</v>
      </c>
      <c r="O622" s="236">
        <v>25539</v>
      </c>
      <c r="P622" s="225">
        <f t="shared" si="19"/>
        <v>34785</v>
      </c>
      <c r="Q622" s="236"/>
      <c r="R622" s="237">
        <v>110074</v>
      </c>
      <c r="S622" s="238">
        <v>-1269</v>
      </c>
      <c r="T622" s="238">
        <v>108805</v>
      </c>
    </row>
    <row r="623" spans="1:20">
      <c r="A623" s="231">
        <v>96731</v>
      </c>
      <c r="B623" s="232" t="s">
        <v>1332</v>
      </c>
      <c r="C623" s="92">
        <v>1.697E-4</v>
      </c>
      <c r="D623" s="92">
        <v>1.5090000000000001E-4</v>
      </c>
      <c r="E623" s="236">
        <v>259255</v>
      </c>
      <c r="F623" s="236"/>
      <c r="G623" s="237">
        <v>14935</v>
      </c>
      <c r="H623" s="225">
        <v>62947</v>
      </c>
      <c r="I623" s="237">
        <v>37025</v>
      </c>
      <c r="J623" s="236">
        <v>20951</v>
      </c>
      <c r="K623" s="225">
        <f t="shared" si="18"/>
        <v>135858</v>
      </c>
      <c r="L623" s="236"/>
      <c r="M623" s="237">
        <v>7339</v>
      </c>
      <c r="N623" s="237">
        <v>0</v>
      </c>
      <c r="O623" s="236">
        <v>6</v>
      </c>
      <c r="P623" s="225">
        <f t="shared" si="19"/>
        <v>7345</v>
      </c>
      <c r="Q623" s="236"/>
      <c r="R623" s="237">
        <v>87369</v>
      </c>
      <c r="S623" s="238">
        <v>7300</v>
      </c>
      <c r="T623" s="238">
        <v>94669</v>
      </c>
    </row>
    <row r="624" spans="1:20">
      <c r="A624" s="231">
        <v>96733</v>
      </c>
      <c r="B624" s="232" t="s">
        <v>1333</v>
      </c>
      <c r="C624" s="92">
        <v>7.3000000000000004E-6</v>
      </c>
      <c r="D624" s="92">
        <v>9.2E-6</v>
      </c>
      <c r="E624" s="236">
        <v>11152</v>
      </c>
      <c r="F624" s="236"/>
      <c r="G624" s="237">
        <v>642</v>
      </c>
      <c r="H624" s="225">
        <v>2708</v>
      </c>
      <c r="I624" s="237">
        <v>1593</v>
      </c>
      <c r="J624" s="236">
        <v>3988</v>
      </c>
      <c r="K624" s="225">
        <f t="shared" si="18"/>
        <v>8931</v>
      </c>
      <c r="L624" s="236"/>
      <c r="M624" s="237">
        <v>316</v>
      </c>
      <c r="N624" s="237">
        <v>0</v>
      </c>
      <c r="O624" s="236">
        <v>1209</v>
      </c>
      <c r="P624" s="225">
        <f t="shared" si="19"/>
        <v>1525</v>
      </c>
      <c r="Q624" s="236"/>
      <c r="R624" s="237">
        <v>3758</v>
      </c>
      <c r="S624" s="238">
        <v>1574</v>
      </c>
      <c r="T624" s="238">
        <v>5332</v>
      </c>
    </row>
    <row r="625" spans="1:20">
      <c r="A625" s="231">
        <v>96741</v>
      </c>
      <c r="B625" s="232" t="s">
        <v>1334</v>
      </c>
      <c r="C625" s="92">
        <v>9.0799999999999998E-5</v>
      </c>
      <c r="D625" s="92">
        <v>9.2399999999999996E-5</v>
      </c>
      <c r="E625" s="236">
        <v>138717</v>
      </c>
      <c r="F625" s="236"/>
      <c r="G625" s="237">
        <v>7991</v>
      </c>
      <c r="H625" s="225">
        <v>33681</v>
      </c>
      <c r="I625" s="237">
        <v>19811</v>
      </c>
      <c r="J625" s="236">
        <v>4204</v>
      </c>
      <c r="K625" s="225">
        <f t="shared" si="18"/>
        <v>65687</v>
      </c>
      <c r="L625" s="236"/>
      <c r="M625" s="237">
        <v>3927</v>
      </c>
      <c r="N625" s="237">
        <v>0</v>
      </c>
      <c r="O625" s="236">
        <v>2410</v>
      </c>
      <c r="P625" s="225">
        <f t="shared" si="19"/>
        <v>6337</v>
      </c>
      <c r="Q625" s="236"/>
      <c r="R625" s="237">
        <v>46748</v>
      </c>
      <c r="S625" s="238">
        <v>2215</v>
      </c>
      <c r="T625" s="238">
        <v>48963</v>
      </c>
    </row>
    <row r="626" spans="1:20">
      <c r="A626" s="231">
        <v>96751</v>
      </c>
      <c r="B626" s="232" t="s">
        <v>1335</v>
      </c>
      <c r="C626" s="92">
        <v>2.5809999999999999E-4</v>
      </c>
      <c r="D626" s="92">
        <v>2.6120000000000001E-4</v>
      </c>
      <c r="E626" s="236">
        <v>394305</v>
      </c>
      <c r="F626" s="236"/>
      <c r="G626" s="237">
        <v>22716</v>
      </c>
      <c r="H626" s="225">
        <v>95737</v>
      </c>
      <c r="I626" s="237">
        <v>56312</v>
      </c>
      <c r="J626" s="236">
        <v>10810</v>
      </c>
      <c r="K626" s="225">
        <f t="shared" si="18"/>
        <v>185575</v>
      </c>
      <c r="L626" s="236"/>
      <c r="M626" s="237">
        <v>11162</v>
      </c>
      <c r="N626" s="237">
        <v>0</v>
      </c>
      <c r="O626" s="236">
        <v>31380</v>
      </c>
      <c r="P626" s="225">
        <f t="shared" si="19"/>
        <v>42542</v>
      </c>
      <c r="Q626" s="236"/>
      <c r="R626" s="237">
        <v>132881</v>
      </c>
      <c r="S626" s="238">
        <v>-737</v>
      </c>
      <c r="T626" s="238">
        <v>132144</v>
      </c>
    </row>
    <row r="627" spans="1:20">
      <c r="A627" s="231">
        <v>96801</v>
      </c>
      <c r="B627" s="232" t="s">
        <v>1336</v>
      </c>
      <c r="C627" s="92">
        <v>7.5814000000000003E-3</v>
      </c>
      <c r="D627" s="92">
        <v>7.8463999999999999E-3</v>
      </c>
      <c r="E627" s="236">
        <v>11582279</v>
      </c>
      <c r="F627" s="236"/>
      <c r="G627" s="237">
        <v>667247</v>
      </c>
      <c r="H627" s="225">
        <v>2812192</v>
      </c>
      <c r="I627" s="237">
        <v>1654110</v>
      </c>
      <c r="J627" s="236">
        <v>406857</v>
      </c>
      <c r="K627" s="225">
        <f t="shared" si="18"/>
        <v>5540406</v>
      </c>
      <c r="L627" s="236"/>
      <c r="M627" s="237">
        <v>327858</v>
      </c>
      <c r="N627" s="237">
        <v>0</v>
      </c>
      <c r="O627" s="236">
        <v>73178</v>
      </c>
      <c r="P627" s="225">
        <f t="shared" si="19"/>
        <v>401036</v>
      </c>
      <c r="Q627" s="236"/>
      <c r="R627" s="237">
        <v>3903238</v>
      </c>
      <c r="S627" s="238">
        <v>217480</v>
      </c>
      <c r="T627" s="238">
        <v>4120718</v>
      </c>
    </row>
    <row r="628" spans="1:20">
      <c r="A628" s="231">
        <v>96804</v>
      </c>
      <c r="B628" s="232" t="s">
        <v>1337</v>
      </c>
      <c r="C628" s="92">
        <v>2.654E-4</v>
      </c>
      <c r="D628" s="92">
        <v>2.4230000000000001E-4</v>
      </c>
      <c r="E628" s="236">
        <v>405458</v>
      </c>
      <c r="F628" s="236"/>
      <c r="G628" s="237">
        <v>23358</v>
      </c>
      <c r="H628" s="225">
        <v>98446</v>
      </c>
      <c r="I628" s="237">
        <v>57905</v>
      </c>
      <c r="J628" s="236">
        <v>7601</v>
      </c>
      <c r="K628" s="225">
        <f t="shared" si="18"/>
        <v>187310</v>
      </c>
      <c r="L628" s="236"/>
      <c r="M628" s="237">
        <v>11477</v>
      </c>
      <c r="N628" s="237">
        <v>0</v>
      </c>
      <c r="O628" s="236">
        <v>2044</v>
      </c>
      <c r="P628" s="225">
        <f t="shared" si="19"/>
        <v>13521</v>
      </c>
      <c r="Q628" s="236"/>
      <c r="R628" s="237">
        <v>136640</v>
      </c>
      <c r="S628" s="238">
        <v>2424</v>
      </c>
      <c r="T628" s="238">
        <v>139064</v>
      </c>
    </row>
    <row r="629" spans="1:20">
      <c r="A629" s="231">
        <v>96808</v>
      </c>
      <c r="B629" s="232" t="s">
        <v>1338</v>
      </c>
      <c r="C629" s="92">
        <v>1.2711000000000001E-3</v>
      </c>
      <c r="D629" s="92">
        <v>1.2882E-3</v>
      </c>
      <c r="E629" s="236">
        <v>1941889</v>
      </c>
      <c r="F629" s="236"/>
      <c r="G629" s="237">
        <v>111871</v>
      </c>
      <c r="H629" s="225">
        <v>471493</v>
      </c>
      <c r="I629" s="237">
        <v>277329</v>
      </c>
      <c r="J629" s="236">
        <v>42529</v>
      </c>
      <c r="K629" s="225">
        <f t="shared" si="18"/>
        <v>903222</v>
      </c>
      <c r="L629" s="236"/>
      <c r="M629" s="237">
        <v>54969</v>
      </c>
      <c r="N629" s="237">
        <v>0</v>
      </c>
      <c r="O629" s="236">
        <v>3699</v>
      </c>
      <c r="P629" s="225">
        <f t="shared" si="19"/>
        <v>58668</v>
      </c>
      <c r="Q629" s="236"/>
      <c r="R629" s="237">
        <v>654418</v>
      </c>
      <c r="S629" s="238">
        <v>23633</v>
      </c>
      <c r="T629" s="238">
        <v>678051</v>
      </c>
    </row>
    <row r="630" spans="1:20">
      <c r="A630" s="231">
        <v>96811</v>
      </c>
      <c r="B630" s="232" t="s">
        <v>1339</v>
      </c>
      <c r="C630" s="92">
        <v>6.0096999999999998E-3</v>
      </c>
      <c r="D630" s="92">
        <v>5.9861999999999997E-3</v>
      </c>
      <c r="E630" s="236">
        <v>9181157</v>
      </c>
      <c r="F630" s="236"/>
      <c r="G630" s="237">
        <v>528920</v>
      </c>
      <c r="H630" s="225">
        <v>2229197</v>
      </c>
      <c r="I630" s="237">
        <v>1311196</v>
      </c>
      <c r="J630" s="236">
        <v>37410</v>
      </c>
      <c r="K630" s="225">
        <f t="shared" si="18"/>
        <v>4106723</v>
      </c>
      <c r="L630" s="236"/>
      <c r="M630" s="237">
        <v>259889</v>
      </c>
      <c r="N630" s="237">
        <v>0</v>
      </c>
      <c r="O630" s="236">
        <v>53500</v>
      </c>
      <c r="P630" s="225">
        <f t="shared" si="19"/>
        <v>313389</v>
      </c>
      <c r="Q630" s="236"/>
      <c r="R630" s="237">
        <v>3094058</v>
      </c>
      <c r="S630" s="238">
        <v>-23369</v>
      </c>
      <c r="T630" s="238">
        <v>3070689</v>
      </c>
    </row>
    <row r="631" spans="1:20">
      <c r="A631" s="231">
        <v>96821</v>
      </c>
      <c r="B631" s="232" t="s">
        <v>1340</v>
      </c>
      <c r="C631" s="92">
        <v>1.3247000000000001E-3</v>
      </c>
      <c r="D631" s="92">
        <v>1.3630999999999999E-3</v>
      </c>
      <c r="E631" s="236">
        <v>2023775</v>
      </c>
      <c r="F631" s="236"/>
      <c r="G631" s="237">
        <v>116588</v>
      </c>
      <c r="H631" s="225">
        <v>491375</v>
      </c>
      <c r="I631" s="237">
        <v>289023</v>
      </c>
      <c r="J631" s="236">
        <v>0</v>
      </c>
      <c r="K631" s="225">
        <f t="shared" si="18"/>
        <v>896986</v>
      </c>
      <c r="L631" s="236"/>
      <c r="M631" s="237">
        <v>57287</v>
      </c>
      <c r="N631" s="237">
        <v>0</v>
      </c>
      <c r="O631" s="236">
        <v>134629</v>
      </c>
      <c r="P631" s="225">
        <f t="shared" si="19"/>
        <v>191916</v>
      </c>
      <c r="Q631" s="236"/>
      <c r="R631" s="237">
        <v>682014</v>
      </c>
      <c r="S631" s="238">
        <v>-54878</v>
      </c>
      <c r="T631" s="238">
        <v>627136</v>
      </c>
    </row>
    <row r="632" spans="1:20">
      <c r="A632" s="231">
        <v>96831</v>
      </c>
      <c r="B632" s="232" t="s">
        <v>1341</v>
      </c>
      <c r="C632" s="92">
        <v>9.1929999999999996E-4</v>
      </c>
      <c r="D632" s="92">
        <v>9.2400000000000002E-4</v>
      </c>
      <c r="E632" s="236">
        <v>1404436</v>
      </c>
      <c r="F632" s="236"/>
      <c r="G632" s="237">
        <v>80909</v>
      </c>
      <c r="H632" s="225">
        <v>340998</v>
      </c>
      <c r="I632" s="237">
        <v>200573</v>
      </c>
      <c r="J632" s="236">
        <v>37726</v>
      </c>
      <c r="K632" s="225">
        <f t="shared" si="18"/>
        <v>660206</v>
      </c>
      <c r="L632" s="236"/>
      <c r="M632" s="237">
        <v>39755</v>
      </c>
      <c r="N632" s="237">
        <v>0</v>
      </c>
      <c r="O632" s="236">
        <v>0</v>
      </c>
      <c r="P632" s="225">
        <f t="shared" si="19"/>
        <v>39755</v>
      </c>
      <c r="Q632" s="236"/>
      <c r="R632" s="237">
        <v>473296</v>
      </c>
      <c r="S632" s="238">
        <v>19380</v>
      </c>
      <c r="T632" s="238">
        <v>492676</v>
      </c>
    </row>
    <row r="633" spans="1:20">
      <c r="A633" s="231">
        <v>96901</v>
      </c>
      <c r="B633" s="232" t="s">
        <v>1342</v>
      </c>
      <c r="C633" s="92">
        <v>8.9820000000000004E-4</v>
      </c>
      <c r="D633" s="92">
        <v>8.1610000000000005E-4</v>
      </c>
      <c r="E633" s="236">
        <v>1372201</v>
      </c>
      <c r="F633" s="236"/>
      <c r="G633" s="237">
        <v>79051</v>
      </c>
      <c r="H633" s="225">
        <v>333172</v>
      </c>
      <c r="I633" s="237">
        <v>195969</v>
      </c>
      <c r="J633" s="236">
        <v>85745</v>
      </c>
      <c r="K633" s="225">
        <f t="shared" si="18"/>
        <v>693937</v>
      </c>
      <c r="L633" s="236"/>
      <c r="M633" s="237">
        <v>38843</v>
      </c>
      <c r="N633" s="237">
        <v>0</v>
      </c>
      <c r="O633" s="236">
        <v>0</v>
      </c>
      <c r="P633" s="225">
        <f t="shared" si="19"/>
        <v>38843</v>
      </c>
      <c r="Q633" s="236"/>
      <c r="R633" s="237">
        <v>462433</v>
      </c>
      <c r="S633" s="238">
        <v>28927</v>
      </c>
      <c r="T633" s="238">
        <v>491360</v>
      </c>
    </row>
    <row r="634" spans="1:20">
      <c r="A634" s="231">
        <v>96911</v>
      </c>
      <c r="B634" s="232" t="s">
        <v>1343</v>
      </c>
      <c r="C634" s="92">
        <v>2.3999999999999999E-6</v>
      </c>
      <c r="D634" s="92">
        <v>3.7000000000000002E-6</v>
      </c>
      <c r="E634" s="236">
        <v>3667</v>
      </c>
      <c r="F634" s="236"/>
      <c r="G634" s="237">
        <v>211</v>
      </c>
      <c r="H634" s="225">
        <v>890</v>
      </c>
      <c r="I634" s="237">
        <v>524</v>
      </c>
      <c r="J634" s="236">
        <v>2464</v>
      </c>
      <c r="K634" s="225">
        <f t="shared" si="18"/>
        <v>4089</v>
      </c>
      <c r="L634" s="236"/>
      <c r="M634" s="237">
        <v>104</v>
      </c>
      <c r="N634" s="237">
        <v>0</v>
      </c>
      <c r="O634" s="236">
        <v>2953</v>
      </c>
      <c r="P634" s="225">
        <f t="shared" si="19"/>
        <v>3057</v>
      </c>
      <c r="Q634" s="236"/>
      <c r="R634" s="237">
        <v>1236</v>
      </c>
      <c r="S634" s="238">
        <v>521</v>
      </c>
      <c r="T634" s="238">
        <f>1756+1</f>
        <v>1757</v>
      </c>
    </row>
    <row r="635" spans="1:20">
      <c r="A635" s="231">
        <v>96912</v>
      </c>
      <c r="B635" s="232" t="s">
        <v>1344</v>
      </c>
      <c r="C635" s="92">
        <v>6.0099999999999997E-5</v>
      </c>
      <c r="D635" s="92">
        <v>6.0999999999999999E-5</v>
      </c>
      <c r="E635" s="236">
        <v>91816</v>
      </c>
      <c r="F635" s="236"/>
      <c r="G635" s="237">
        <v>5289</v>
      </c>
      <c r="H635" s="225">
        <v>22293</v>
      </c>
      <c r="I635" s="237">
        <v>13113</v>
      </c>
      <c r="J635" s="236">
        <v>4325</v>
      </c>
      <c r="K635" s="225">
        <f t="shared" si="18"/>
        <v>45020</v>
      </c>
      <c r="L635" s="236"/>
      <c r="M635" s="237">
        <v>2599</v>
      </c>
      <c r="N635" s="237">
        <v>0</v>
      </c>
      <c r="O635" s="236">
        <v>3739</v>
      </c>
      <c r="P635" s="225">
        <f t="shared" si="19"/>
        <v>6338</v>
      </c>
      <c r="Q635" s="236"/>
      <c r="R635" s="237">
        <v>30942</v>
      </c>
      <c r="S635" s="238">
        <v>2307</v>
      </c>
      <c r="T635" s="238">
        <v>33249</v>
      </c>
    </row>
    <row r="636" spans="1:20">
      <c r="A636" s="231">
        <v>96918</v>
      </c>
      <c r="B636" s="232" t="s">
        <v>1345</v>
      </c>
      <c r="C636" s="92">
        <v>3.8000000000000002E-5</v>
      </c>
      <c r="D636" s="92">
        <v>4.0500000000000002E-5</v>
      </c>
      <c r="E636" s="236">
        <v>58053</v>
      </c>
      <c r="F636" s="236"/>
      <c r="G636" s="237">
        <v>3344</v>
      </c>
      <c r="H636" s="225">
        <v>14095</v>
      </c>
      <c r="I636" s="237">
        <v>8291</v>
      </c>
      <c r="J636" s="236">
        <v>7713</v>
      </c>
      <c r="K636" s="225">
        <f t="shared" si="18"/>
        <v>33443</v>
      </c>
      <c r="L636" s="236"/>
      <c r="M636" s="237">
        <v>1643</v>
      </c>
      <c r="N636" s="237">
        <v>0</v>
      </c>
      <c r="O636" s="236">
        <v>884</v>
      </c>
      <c r="P636" s="225">
        <f t="shared" si="19"/>
        <v>2527</v>
      </c>
      <c r="Q636" s="236"/>
      <c r="R636" s="237">
        <v>19564</v>
      </c>
      <c r="S636" s="238">
        <v>5648</v>
      </c>
      <c r="T636" s="238">
        <v>25212</v>
      </c>
    </row>
    <row r="637" spans="1:20">
      <c r="A637" s="231">
        <v>97001</v>
      </c>
      <c r="B637" s="232" t="s">
        <v>1346</v>
      </c>
      <c r="C637" s="92">
        <v>1.3778E-3</v>
      </c>
      <c r="D637" s="92">
        <v>1.3641E-3</v>
      </c>
      <c r="E637" s="236">
        <v>2104897</v>
      </c>
      <c r="F637" s="236"/>
      <c r="G637" s="237">
        <v>121262</v>
      </c>
      <c r="H637" s="225">
        <v>511071</v>
      </c>
      <c r="I637" s="237">
        <v>300608</v>
      </c>
      <c r="J637" s="236">
        <v>148744</v>
      </c>
      <c r="K637" s="225">
        <f t="shared" si="18"/>
        <v>1081685</v>
      </c>
      <c r="L637" s="236"/>
      <c r="M637" s="237">
        <v>59583</v>
      </c>
      <c r="N637" s="237">
        <v>0</v>
      </c>
      <c r="O637" s="236">
        <v>11523</v>
      </c>
      <c r="P637" s="225">
        <f t="shared" si="19"/>
        <v>71106</v>
      </c>
      <c r="Q637" s="236"/>
      <c r="R637" s="237">
        <v>709352</v>
      </c>
      <c r="S637" s="238">
        <v>36360</v>
      </c>
      <c r="T637" s="238">
        <v>745712</v>
      </c>
    </row>
    <row r="638" spans="1:20">
      <c r="A638" s="231">
        <v>97002</v>
      </c>
      <c r="B638" s="232" t="s">
        <v>1347</v>
      </c>
      <c r="C638" s="92">
        <v>5.2610000000000005E-4</v>
      </c>
      <c r="D638" s="92">
        <v>4.6589999999999999E-4</v>
      </c>
      <c r="E638" s="236">
        <v>803735</v>
      </c>
      <c r="F638" s="236"/>
      <c r="G638" s="237">
        <v>46303</v>
      </c>
      <c r="H638" s="225">
        <v>195148</v>
      </c>
      <c r="I638" s="237">
        <v>114784</v>
      </c>
      <c r="J638" s="236">
        <v>16832</v>
      </c>
      <c r="K638" s="225">
        <f t="shared" si="18"/>
        <v>373067</v>
      </c>
      <c r="L638" s="236"/>
      <c r="M638" s="237">
        <v>22751</v>
      </c>
      <c r="N638" s="237">
        <v>0</v>
      </c>
      <c r="O638" s="236">
        <v>7002</v>
      </c>
      <c r="P638" s="225">
        <f t="shared" si="19"/>
        <v>29753</v>
      </c>
      <c r="Q638" s="236"/>
      <c r="R638" s="237">
        <v>270859</v>
      </c>
      <c r="S638" s="238">
        <v>10025</v>
      </c>
      <c r="T638" s="238">
        <f>280885-1</f>
        <v>280884</v>
      </c>
    </row>
    <row r="639" spans="1:20">
      <c r="A639" s="231">
        <v>97004</v>
      </c>
      <c r="B639" s="232" t="s">
        <v>1348</v>
      </c>
      <c r="C639" s="92">
        <v>9.7999999999999993E-6</v>
      </c>
      <c r="D639" s="92">
        <v>1.0900000000000001E-5</v>
      </c>
      <c r="E639" s="236">
        <v>14972</v>
      </c>
      <c r="F639" s="236"/>
      <c r="G639" s="237">
        <v>863</v>
      </c>
      <c r="H639" s="225">
        <v>3635</v>
      </c>
      <c r="I639" s="237">
        <v>2138</v>
      </c>
      <c r="J639" s="236">
        <v>4225</v>
      </c>
      <c r="K639" s="225">
        <f t="shared" si="18"/>
        <v>10861</v>
      </c>
      <c r="L639" s="236"/>
      <c r="M639" s="237">
        <v>424</v>
      </c>
      <c r="N639" s="237">
        <v>0</v>
      </c>
      <c r="O639" s="236">
        <v>0</v>
      </c>
      <c r="P639" s="225">
        <f t="shared" si="19"/>
        <v>424</v>
      </c>
      <c r="Q639" s="236"/>
      <c r="R639" s="237">
        <v>5045</v>
      </c>
      <c r="S639" s="238">
        <v>1862</v>
      </c>
      <c r="T639" s="238">
        <f>6908-1</f>
        <v>6907</v>
      </c>
    </row>
    <row r="640" spans="1:20">
      <c r="A640" s="231">
        <v>97005</v>
      </c>
      <c r="B640" s="232" t="s">
        <v>1349</v>
      </c>
      <c r="C640" s="92">
        <v>2.83E-5</v>
      </c>
      <c r="D640" s="92">
        <v>1.42E-5</v>
      </c>
      <c r="E640" s="236">
        <v>43235</v>
      </c>
      <c r="F640" s="236"/>
      <c r="G640" s="237">
        <v>2491</v>
      </c>
      <c r="H640" s="225">
        <v>10498</v>
      </c>
      <c r="I640" s="237">
        <v>6174</v>
      </c>
      <c r="J640" s="236">
        <v>13129</v>
      </c>
      <c r="K640" s="225">
        <f t="shared" si="18"/>
        <v>32292</v>
      </c>
      <c r="L640" s="236"/>
      <c r="M640" s="237">
        <v>1224</v>
      </c>
      <c r="N640" s="237">
        <v>0</v>
      </c>
      <c r="O640" s="236">
        <v>1368</v>
      </c>
      <c r="P640" s="225">
        <f t="shared" si="19"/>
        <v>2592</v>
      </c>
      <c r="Q640" s="236"/>
      <c r="R640" s="237">
        <v>14570</v>
      </c>
      <c r="S640" s="238">
        <v>3211</v>
      </c>
      <c r="T640" s="238">
        <v>17781</v>
      </c>
    </row>
    <row r="641" spans="1:20">
      <c r="A641" s="231">
        <v>97008</v>
      </c>
      <c r="B641" s="232" t="s">
        <v>1350</v>
      </c>
      <c r="C641" s="92">
        <v>2.8659999999999997E-4</v>
      </c>
      <c r="D641" s="92">
        <v>2.7530000000000002E-4</v>
      </c>
      <c r="E641" s="236">
        <v>437845</v>
      </c>
      <c r="F641" s="236"/>
      <c r="G641" s="237">
        <v>25224</v>
      </c>
      <c r="H641" s="225">
        <v>106309</v>
      </c>
      <c r="I641" s="237">
        <v>62530</v>
      </c>
      <c r="J641" s="236">
        <v>12387</v>
      </c>
      <c r="K641" s="225">
        <f t="shared" si="18"/>
        <v>206450</v>
      </c>
      <c r="L641" s="236"/>
      <c r="M641" s="237">
        <v>12394</v>
      </c>
      <c r="N641" s="237">
        <v>0</v>
      </c>
      <c r="O641" s="236">
        <v>3127</v>
      </c>
      <c r="P641" s="225">
        <f t="shared" si="19"/>
        <v>15521</v>
      </c>
      <c r="Q641" s="236"/>
      <c r="R641" s="237">
        <v>147554</v>
      </c>
      <c r="S641" s="238">
        <v>7175</v>
      </c>
      <c r="T641" s="238">
        <v>154729</v>
      </c>
    </row>
    <row r="642" spans="1:20">
      <c r="A642" s="231">
        <v>97010</v>
      </c>
      <c r="B642" s="232" t="s">
        <v>1351</v>
      </c>
      <c r="C642" s="92">
        <v>0</v>
      </c>
      <c r="D642" s="92">
        <v>0</v>
      </c>
      <c r="E642" s="236">
        <v>0</v>
      </c>
      <c r="F642" s="236"/>
      <c r="G642" s="237">
        <v>0</v>
      </c>
      <c r="H642" s="225">
        <v>0</v>
      </c>
      <c r="I642" s="237">
        <v>0</v>
      </c>
      <c r="J642" s="236">
        <v>0</v>
      </c>
      <c r="K642" s="225">
        <f t="shared" si="18"/>
        <v>0</v>
      </c>
      <c r="L642" s="236"/>
      <c r="M642" s="237">
        <v>0</v>
      </c>
      <c r="N642" s="237">
        <v>0</v>
      </c>
      <c r="O642" s="236">
        <v>2056902</v>
      </c>
      <c r="P642" s="225">
        <f t="shared" si="19"/>
        <v>2056902</v>
      </c>
      <c r="Q642" s="236"/>
      <c r="R642" s="237">
        <v>0</v>
      </c>
      <c r="S642" s="238">
        <v>-1282454</v>
      </c>
      <c r="T642" s="238">
        <v>-1282454</v>
      </c>
    </row>
    <row r="643" spans="1:20">
      <c r="A643" s="231">
        <v>97011</v>
      </c>
      <c r="B643" s="232" t="s">
        <v>1352</v>
      </c>
      <c r="C643" s="92">
        <v>1.9166999999999999E-3</v>
      </c>
      <c r="D643" s="92">
        <v>1.9522999999999999E-3</v>
      </c>
      <c r="E643" s="236">
        <v>2928187</v>
      </c>
      <c r="F643" s="236"/>
      <c r="G643" s="237">
        <v>168691</v>
      </c>
      <c r="H643" s="225">
        <v>710967</v>
      </c>
      <c r="I643" s="237">
        <v>418186</v>
      </c>
      <c r="J643" s="236">
        <v>0</v>
      </c>
      <c r="K643" s="225">
        <f t="shared" si="18"/>
        <v>1297844</v>
      </c>
      <c r="L643" s="236"/>
      <c r="M643" s="237">
        <v>82888</v>
      </c>
      <c r="N643" s="237">
        <v>0</v>
      </c>
      <c r="O643" s="236">
        <v>92552</v>
      </c>
      <c r="P643" s="225">
        <f t="shared" si="19"/>
        <v>175440</v>
      </c>
      <c r="Q643" s="236"/>
      <c r="R643" s="237">
        <v>986801</v>
      </c>
      <c r="S643" s="238">
        <v>-38711</v>
      </c>
      <c r="T643" s="238">
        <v>948090</v>
      </c>
    </row>
    <row r="644" spans="1:20">
      <c r="A644" s="231">
        <v>97012</v>
      </c>
      <c r="B644" s="232" t="s">
        <v>1353</v>
      </c>
      <c r="C644" s="92">
        <v>2.9499999999999999E-5</v>
      </c>
      <c r="D644" s="92">
        <v>2.4499999999999999E-5</v>
      </c>
      <c r="E644" s="236">
        <v>45068</v>
      </c>
      <c r="F644" s="236"/>
      <c r="G644" s="237">
        <v>2596</v>
      </c>
      <c r="H644" s="225">
        <v>10942</v>
      </c>
      <c r="I644" s="237">
        <v>6436</v>
      </c>
      <c r="J644" s="236">
        <v>4949</v>
      </c>
      <c r="K644" s="225">
        <f t="shared" si="18"/>
        <v>24923</v>
      </c>
      <c r="L644" s="236"/>
      <c r="M644" s="237">
        <v>1276</v>
      </c>
      <c r="N644" s="237">
        <v>0</v>
      </c>
      <c r="O644" s="236">
        <v>1149</v>
      </c>
      <c r="P644" s="225">
        <f t="shared" si="19"/>
        <v>2425</v>
      </c>
      <c r="Q644" s="236"/>
      <c r="R644" s="237">
        <v>15188</v>
      </c>
      <c r="S644" s="238">
        <v>752</v>
      </c>
      <c r="T644" s="238">
        <v>15940</v>
      </c>
    </row>
    <row r="645" spans="1:20">
      <c r="A645" s="231">
        <v>97013</v>
      </c>
      <c r="B645" s="232" t="s">
        <v>1354</v>
      </c>
      <c r="C645" s="92">
        <v>1.8199999999999999E-5</v>
      </c>
      <c r="D645" s="92">
        <v>2.0699999999999998E-5</v>
      </c>
      <c r="E645" s="236">
        <v>27805</v>
      </c>
      <c r="F645" s="236"/>
      <c r="G645" s="237">
        <v>1602</v>
      </c>
      <c r="H645" s="225">
        <v>6751</v>
      </c>
      <c r="I645" s="237">
        <v>3971</v>
      </c>
      <c r="J645" s="236">
        <v>6233</v>
      </c>
      <c r="K645" s="225">
        <f t="shared" si="18"/>
        <v>18557</v>
      </c>
      <c r="L645" s="236"/>
      <c r="M645" s="237">
        <v>787</v>
      </c>
      <c r="N645" s="237">
        <v>0</v>
      </c>
      <c r="O645" s="236">
        <v>431</v>
      </c>
      <c r="P645" s="225">
        <f t="shared" si="19"/>
        <v>1218</v>
      </c>
      <c r="Q645" s="236"/>
      <c r="R645" s="237">
        <v>9370</v>
      </c>
      <c r="S645" s="238">
        <v>2046</v>
      </c>
      <c r="T645" s="238">
        <v>11416</v>
      </c>
    </row>
    <row r="646" spans="1:20">
      <c r="A646" s="231">
        <v>97015</v>
      </c>
      <c r="B646" s="232" t="s">
        <v>1355</v>
      </c>
      <c r="C646" s="92">
        <v>4.1499999999999999E-5</v>
      </c>
      <c r="D646" s="92">
        <v>5.3699999999999997E-5</v>
      </c>
      <c r="E646" s="236">
        <v>63401</v>
      </c>
      <c r="F646" s="236"/>
      <c r="G646" s="237">
        <v>3652</v>
      </c>
      <c r="H646" s="225">
        <v>15394</v>
      </c>
      <c r="I646" s="237">
        <v>9054</v>
      </c>
      <c r="J646" s="236">
        <v>4608</v>
      </c>
      <c r="K646" s="225">
        <f t="shared" si="18"/>
        <v>32708</v>
      </c>
      <c r="L646" s="236"/>
      <c r="M646" s="237">
        <v>1795</v>
      </c>
      <c r="N646" s="237">
        <v>0</v>
      </c>
      <c r="O646" s="236">
        <v>5783</v>
      </c>
      <c r="P646" s="225">
        <f t="shared" si="19"/>
        <v>7578</v>
      </c>
      <c r="Q646" s="236"/>
      <c r="R646" s="237">
        <v>21366</v>
      </c>
      <c r="S646" s="238">
        <v>26</v>
      </c>
      <c r="T646" s="238">
        <v>21392</v>
      </c>
    </row>
    <row r="647" spans="1:20">
      <c r="A647" s="231">
        <v>97018</v>
      </c>
      <c r="B647" s="232" t="s">
        <v>1356</v>
      </c>
      <c r="C647" s="92">
        <v>8.6000000000000007E-6</v>
      </c>
      <c r="D647" s="92">
        <v>9.3999999999999998E-6</v>
      </c>
      <c r="E647" s="236">
        <v>13138</v>
      </c>
      <c r="F647" s="236"/>
      <c r="G647" s="237">
        <v>757</v>
      </c>
      <c r="H647" s="225">
        <v>3190</v>
      </c>
      <c r="I647" s="237">
        <v>1876</v>
      </c>
      <c r="J647" s="236">
        <v>6833</v>
      </c>
      <c r="K647" s="225">
        <f t="shared" si="18"/>
        <v>12656</v>
      </c>
      <c r="L647" s="236"/>
      <c r="M647" s="237">
        <v>372</v>
      </c>
      <c r="N647" s="237">
        <v>0</v>
      </c>
      <c r="O647" s="236">
        <v>0</v>
      </c>
      <c r="P647" s="225">
        <f t="shared" si="19"/>
        <v>372</v>
      </c>
      <c r="Q647" s="236"/>
      <c r="R647" s="237">
        <v>4428</v>
      </c>
      <c r="S647" s="238">
        <v>2806</v>
      </c>
      <c r="T647" s="238">
        <v>7234</v>
      </c>
    </row>
    <row r="648" spans="1:20">
      <c r="A648" s="231">
        <v>97101</v>
      </c>
      <c r="B648" s="232" t="s">
        <v>1357</v>
      </c>
      <c r="C648" s="92">
        <v>2.5790000000000001E-3</v>
      </c>
      <c r="D648" s="92">
        <v>2.6029E-3</v>
      </c>
      <c r="E648" s="236">
        <v>3939998</v>
      </c>
      <c r="F648" s="236"/>
      <c r="G648" s="237">
        <v>226980</v>
      </c>
      <c r="H648" s="225">
        <v>956636</v>
      </c>
      <c r="I648" s="237">
        <v>562686</v>
      </c>
      <c r="J648" s="236">
        <v>22549</v>
      </c>
      <c r="K648" s="225">
        <f t="shared" si="18"/>
        <v>1768851</v>
      </c>
      <c r="L648" s="236"/>
      <c r="M648" s="237">
        <v>111529</v>
      </c>
      <c r="N648" s="237">
        <v>0</v>
      </c>
      <c r="O648" s="236">
        <v>6937</v>
      </c>
      <c r="P648" s="225">
        <f t="shared" si="19"/>
        <v>118466</v>
      </c>
      <c r="Q648" s="236"/>
      <c r="R648" s="237">
        <v>1327783</v>
      </c>
      <c r="S648" s="238">
        <v>3541</v>
      </c>
      <c r="T648" s="238">
        <v>1331324</v>
      </c>
    </row>
    <row r="649" spans="1:20">
      <c r="A649" s="231">
        <v>97104</v>
      </c>
      <c r="B649" s="232" t="s">
        <v>1358</v>
      </c>
      <c r="C649" s="92">
        <v>5.4299999999999998E-5</v>
      </c>
      <c r="D649" s="92">
        <v>5.6799999999999998E-5</v>
      </c>
      <c r="E649" s="236">
        <v>82955</v>
      </c>
      <c r="F649" s="236"/>
      <c r="G649" s="237">
        <v>4779</v>
      </c>
      <c r="H649" s="225">
        <v>20142</v>
      </c>
      <c r="I649" s="237">
        <v>11847</v>
      </c>
      <c r="J649" s="236">
        <v>11700</v>
      </c>
      <c r="K649" s="225">
        <f t="shared" si="18"/>
        <v>48468</v>
      </c>
      <c r="L649" s="236"/>
      <c r="M649" s="237">
        <v>2348</v>
      </c>
      <c r="N649" s="237">
        <v>0</v>
      </c>
      <c r="O649" s="236">
        <v>0</v>
      </c>
      <c r="P649" s="225">
        <f t="shared" si="19"/>
        <v>2348</v>
      </c>
      <c r="Q649" s="236"/>
      <c r="R649" s="237">
        <v>27956</v>
      </c>
      <c r="S649" s="238">
        <v>6133</v>
      </c>
      <c r="T649" s="238">
        <v>34089</v>
      </c>
    </row>
    <row r="650" spans="1:20">
      <c r="A650" s="231">
        <v>97111</v>
      </c>
      <c r="B650" s="232" t="s">
        <v>1359</v>
      </c>
      <c r="C650" s="92">
        <v>2.8200000000000002E-4</v>
      </c>
      <c r="D650" s="92">
        <v>2.7099999999999997E-4</v>
      </c>
      <c r="E650" s="236">
        <v>430818</v>
      </c>
      <c r="F650" s="236"/>
      <c r="G650" s="237">
        <v>24819</v>
      </c>
      <c r="H650" s="225">
        <v>104603</v>
      </c>
      <c r="I650" s="237">
        <v>61527</v>
      </c>
      <c r="J650" s="236">
        <v>7621</v>
      </c>
      <c r="K650" s="225">
        <f t="shared" ref="K650:K714" si="20">G650+H650+I650+J650</f>
        <v>198570</v>
      </c>
      <c r="L650" s="236"/>
      <c r="M650" s="237">
        <v>12195</v>
      </c>
      <c r="N650" s="237">
        <v>0</v>
      </c>
      <c r="O650" s="236">
        <v>20335</v>
      </c>
      <c r="P650" s="225">
        <f t="shared" ref="P650:P714" si="21">M650+N650+O650</f>
        <v>32530</v>
      </c>
      <c r="Q650" s="236"/>
      <c r="R650" s="237">
        <v>145186</v>
      </c>
      <c r="S650" s="238">
        <v>-1416</v>
      </c>
      <c r="T650" s="238">
        <v>143770</v>
      </c>
    </row>
    <row r="651" spans="1:20">
      <c r="A651" s="231">
        <v>97121</v>
      </c>
      <c r="B651" s="232" t="s">
        <v>1360</v>
      </c>
      <c r="C651" s="92">
        <v>1.3640000000000001E-4</v>
      </c>
      <c r="D651" s="92">
        <v>1.2070000000000001E-4</v>
      </c>
      <c r="E651" s="236">
        <v>208381</v>
      </c>
      <c r="F651" s="236"/>
      <c r="G651" s="237">
        <v>12005</v>
      </c>
      <c r="H651" s="225">
        <v>50595</v>
      </c>
      <c r="I651" s="237">
        <v>29760</v>
      </c>
      <c r="J651" s="236">
        <v>13649</v>
      </c>
      <c r="K651" s="225">
        <f t="shared" si="20"/>
        <v>106009</v>
      </c>
      <c r="L651" s="236"/>
      <c r="M651" s="237">
        <v>5899</v>
      </c>
      <c r="N651" s="237">
        <v>0</v>
      </c>
      <c r="O651" s="236">
        <v>10026</v>
      </c>
      <c r="P651" s="225">
        <f t="shared" si="21"/>
        <v>15925</v>
      </c>
      <c r="Q651" s="236"/>
      <c r="R651" s="237">
        <v>70225</v>
      </c>
      <c r="S651" s="238">
        <v>-1103</v>
      </c>
      <c r="T651" s="238">
        <v>69122</v>
      </c>
    </row>
    <row r="652" spans="1:20">
      <c r="A652" s="231">
        <v>97131</v>
      </c>
      <c r="B652" s="232" t="s">
        <v>1361</v>
      </c>
      <c r="C652" s="92">
        <v>7.358E-4</v>
      </c>
      <c r="D652" s="92">
        <v>6.2969999999999996E-4</v>
      </c>
      <c r="E652" s="236">
        <v>1124099</v>
      </c>
      <c r="F652" s="236"/>
      <c r="G652" s="237">
        <v>64758</v>
      </c>
      <c r="H652" s="225">
        <v>272933</v>
      </c>
      <c r="I652" s="237">
        <v>160537</v>
      </c>
      <c r="J652" s="236">
        <v>29703</v>
      </c>
      <c r="K652" s="225">
        <f t="shared" si="20"/>
        <v>527931</v>
      </c>
      <c r="L652" s="236"/>
      <c r="M652" s="237">
        <v>31820</v>
      </c>
      <c r="N652" s="237">
        <v>0</v>
      </c>
      <c r="O652" s="236">
        <v>2383</v>
      </c>
      <c r="P652" s="225">
        <f t="shared" si="21"/>
        <v>34203</v>
      </c>
      <c r="Q652" s="236"/>
      <c r="R652" s="237">
        <v>378822</v>
      </c>
      <c r="S652" s="238">
        <v>7857</v>
      </c>
      <c r="T652" s="238">
        <v>386679</v>
      </c>
    </row>
    <row r="653" spans="1:20">
      <c r="A653" s="231">
        <v>97201</v>
      </c>
      <c r="B653" s="232" t="s">
        <v>1362</v>
      </c>
      <c r="C653" s="92">
        <v>5.2689999999999996E-4</v>
      </c>
      <c r="D653" s="92">
        <v>4.9439999999999998E-4</v>
      </c>
      <c r="E653" s="236">
        <v>804957</v>
      </c>
      <c r="F653" s="236"/>
      <c r="G653" s="237">
        <v>46373</v>
      </c>
      <c r="H653" s="225">
        <v>195445</v>
      </c>
      <c r="I653" s="237">
        <v>114959</v>
      </c>
      <c r="J653" s="236">
        <v>43529</v>
      </c>
      <c r="K653" s="225">
        <f t="shared" si="20"/>
        <v>400306</v>
      </c>
      <c r="L653" s="236"/>
      <c r="M653" s="237">
        <v>22786</v>
      </c>
      <c r="N653" s="237">
        <v>0</v>
      </c>
      <c r="O653" s="236">
        <v>1877</v>
      </c>
      <c r="P653" s="225">
        <f t="shared" si="21"/>
        <v>24663</v>
      </c>
      <c r="Q653" s="236"/>
      <c r="R653" s="237">
        <v>271271</v>
      </c>
      <c r="S653" s="238">
        <v>10950</v>
      </c>
      <c r="T653" s="238">
        <f>282222-1</f>
        <v>282221</v>
      </c>
    </row>
    <row r="654" spans="1:20">
      <c r="A654" s="231">
        <v>97211</v>
      </c>
      <c r="B654" s="232" t="s">
        <v>1363</v>
      </c>
      <c r="C654" s="92">
        <v>1.5980000000000001E-4</v>
      </c>
      <c r="D654" s="92">
        <v>1.4119999999999999E-4</v>
      </c>
      <c r="E654" s="236">
        <v>244130</v>
      </c>
      <c r="F654" s="236"/>
      <c r="G654" s="237">
        <v>14064</v>
      </c>
      <c r="H654" s="225">
        <v>59275</v>
      </c>
      <c r="I654" s="237">
        <v>34865</v>
      </c>
      <c r="J654" s="236">
        <v>16009</v>
      </c>
      <c r="K654" s="225">
        <f t="shared" si="20"/>
        <v>124213</v>
      </c>
      <c r="L654" s="236"/>
      <c r="M654" s="237">
        <v>6911</v>
      </c>
      <c r="N654" s="237">
        <v>0</v>
      </c>
      <c r="O654" s="236">
        <v>12120</v>
      </c>
      <c r="P654" s="225">
        <f t="shared" si="21"/>
        <v>19031</v>
      </c>
      <c r="Q654" s="236"/>
      <c r="R654" s="237">
        <v>82272</v>
      </c>
      <c r="S654" s="238">
        <v>347</v>
      </c>
      <c r="T654" s="238">
        <v>82619</v>
      </c>
    </row>
    <row r="655" spans="1:20">
      <c r="A655" s="231">
        <v>97213</v>
      </c>
      <c r="B655" s="232" t="s">
        <v>1364</v>
      </c>
      <c r="C655" s="92">
        <v>3.9100000000000002E-5</v>
      </c>
      <c r="D655" s="92">
        <v>3.8300000000000003E-5</v>
      </c>
      <c r="E655" s="236">
        <v>59734</v>
      </c>
      <c r="F655" s="236"/>
      <c r="G655" s="237">
        <v>3441</v>
      </c>
      <c r="H655" s="225">
        <v>14504</v>
      </c>
      <c r="I655" s="237">
        <v>8531</v>
      </c>
      <c r="J655" s="236">
        <v>6715</v>
      </c>
      <c r="K655" s="225">
        <f t="shared" si="20"/>
        <v>33191</v>
      </c>
      <c r="L655" s="236"/>
      <c r="M655" s="237">
        <v>1691</v>
      </c>
      <c r="N655" s="237">
        <v>0</v>
      </c>
      <c r="O655" s="236">
        <v>495</v>
      </c>
      <c r="P655" s="225">
        <f t="shared" si="21"/>
        <v>2186</v>
      </c>
      <c r="Q655" s="236"/>
      <c r="R655" s="237">
        <v>20130</v>
      </c>
      <c r="S655" s="238">
        <v>2057</v>
      </c>
      <c r="T655" s="238">
        <v>22187</v>
      </c>
    </row>
    <row r="656" spans="1:20">
      <c r="A656" s="231">
        <v>97217</v>
      </c>
      <c r="B656" s="232" t="s">
        <v>1365</v>
      </c>
      <c r="C656" s="92">
        <v>4.6E-6</v>
      </c>
      <c r="D656" s="92">
        <v>4.8999999999999997E-6</v>
      </c>
      <c r="E656" s="236">
        <v>7028</v>
      </c>
      <c r="F656" s="236"/>
      <c r="G656" s="237">
        <v>405</v>
      </c>
      <c r="H656" s="225">
        <v>1706</v>
      </c>
      <c r="I656" s="237">
        <v>1004</v>
      </c>
      <c r="J656" s="236">
        <v>8215</v>
      </c>
      <c r="K656" s="225">
        <f t="shared" si="20"/>
        <v>11330</v>
      </c>
      <c r="L656" s="236"/>
      <c r="M656" s="237">
        <v>199</v>
      </c>
      <c r="N656" s="237">
        <v>0</v>
      </c>
      <c r="O656" s="236">
        <v>0</v>
      </c>
      <c r="P656" s="225">
        <f t="shared" si="21"/>
        <v>199</v>
      </c>
      <c r="Q656" s="236"/>
      <c r="R656" s="237">
        <v>2368</v>
      </c>
      <c r="S656" s="238">
        <v>3286</v>
      </c>
      <c r="T656" s="238">
        <v>5654</v>
      </c>
    </row>
    <row r="657" spans="1:20">
      <c r="A657" s="231">
        <v>97221</v>
      </c>
      <c r="B657" s="232" t="s">
        <v>1366</v>
      </c>
      <c r="C657" s="92">
        <v>7.1999999999999997E-6</v>
      </c>
      <c r="D657" s="92">
        <v>6.1999999999999999E-6</v>
      </c>
      <c r="E657" s="236">
        <v>11000</v>
      </c>
      <c r="F657" s="236"/>
      <c r="G657" s="237">
        <v>634</v>
      </c>
      <c r="H657" s="225">
        <v>2670</v>
      </c>
      <c r="I657" s="237">
        <v>1571</v>
      </c>
      <c r="J657" s="236">
        <v>8086</v>
      </c>
      <c r="K657" s="225">
        <f t="shared" si="20"/>
        <v>12961</v>
      </c>
      <c r="L657" s="236"/>
      <c r="M657" s="237">
        <v>311</v>
      </c>
      <c r="N657" s="237">
        <v>0</v>
      </c>
      <c r="O657" s="236">
        <v>0</v>
      </c>
      <c r="P657" s="225">
        <f t="shared" si="21"/>
        <v>311</v>
      </c>
      <c r="Q657" s="236"/>
      <c r="R657" s="237">
        <v>3707</v>
      </c>
      <c r="S657" s="238">
        <v>3119</v>
      </c>
      <c r="T657" s="238">
        <v>6826</v>
      </c>
    </row>
    <row r="658" spans="1:20">
      <c r="A658" s="231">
        <v>97301</v>
      </c>
      <c r="B658" s="232" t="s">
        <v>1367</v>
      </c>
      <c r="C658" s="92">
        <v>2.5135999999999999E-3</v>
      </c>
      <c r="D658" s="92">
        <v>2.5742E-3</v>
      </c>
      <c r="E658" s="236">
        <v>3840085</v>
      </c>
      <c r="F658" s="236"/>
      <c r="G658" s="237">
        <v>221224</v>
      </c>
      <c r="H658" s="225">
        <v>932377</v>
      </c>
      <c r="I658" s="237">
        <v>548417</v>
      </c>
      <c r="J658" s="236">
        <v>23710</v>
      </c>
      <c r="K658" s="225">
        <f t="shared" si="20"/>
        <v>1725728</v>
      </c>
      <c r="L658" s="236"/>
      <c r="M658" s="237">
        <v>108701</v>
      </c>
      <c r="N658" s="237">
        <v>0</v>
      </c>
      <c r="O658" s="236">
        <v>56463</v>
      </c>
      <c r="P658" s="225">
        <f t="shared" si="21"/>
        <v>165164</v>
      </c>
      <c r="Q658" s="236"/>
      <c r="R658" s="237">
        <v>1294112</v>
      </c>
      <c r="S658" s="238">
        <v>-10667</v>
      </c>
      <c r="T658" s="238">
        <v>1283445</v>
      </c>
    </row>
    <row r="659" spans="1:20">
      <c r="A659" s="231">
        <v>97304</v>
      </c>
      <c r="B659" s="232" t="s">
        <v>1368</v>
      </c>
      <c r="C659" s="92">
        <v>1.6799999999999998E-5</v>
      </c>
      <c r="D659" s="92">
        <v>1.7600000000000001E-5</v>
      </c>
      <c r="E659" s="236">
        <v>25666</v>
      </c>
      <c r="F659" s="236"/>
      <c r="G659" s="237">
        <v>1479</v>
      </c>
      <c r="H659" s="225">
        <v>6232</v>
      </c>
      <c r="I659" s="237">
        <v>3665</v>
      </c>
      <c r="J659" s="236">
        <v>8739</v>
      </c>
      <c r="K659" s="225">
        <f t="shared" si="20"/>
        <v>20115</v>
      </c>
      <c r="L659" s="236"/>
      <c r="M659" s="237">
        <v>727</v>
      </c>
      <c r="N659" s="237">
        <v>0</v>
      </c>
      <c r="O659" s="236">
        <v>0</v>
      </c>
      <c r="P659" s="225">
        <f t="shared" si="21"/>
        <v>727</v>
      </c>
      <c r="Q659" s="236"/>
      <c r="R659" s="237">
        <v>8649</v>
      </c>
      <c r="S659" s="238">
        <v>3503</v>
      </c>
      <c r="T659" s="238">
        <f>12153-1</f>
        <v>12152</v>
      </c>
    </row>
    <row r="660" spans="1:20">
      <c r="A660" s="231">
        <v>97311</v>
      </c>
      <c r="B660" s="232" t="s">
        <v>1369</v>
      </c>
      <c r="C660" s="92">
        <v>9.1799999999999998E-4</v>
      </c>
      <c r="D660" s="92">
        <v>9.5E-4</v>
      </c>
      <c r="E660" s="236">
        <v>1402450</v>
      </c>
      <c r="F660" s="236"/>
      <c r="G660" s="237">
        <v>80794</v>
      </c>
      <c r="H660" s="225">
        <v>340516</v>
      </c>
      <c r="I660" s="237">
        <v>200289</v>
      </c>
      <c r="J660" s="236">
        <v>0</v>
      </c>
      <c r="K660" s="225">
        <f t="shared" si="20"/>
        <v>621599</v>
      </c>
      <c r="L660" s="236"/>
      <c r="M660" s="237">
        <v>39699</v>
      </c>
      <c r="N660" s="237">
        <v>0</v>
      </c>
      <c r="O660" s="236">
        <v>96844</v>
      </c>
      <c r="P660" s="225">
        <f t="shared" si="21"/>
        <v>136543</v>
      </c>
      <c r="Q660" s="236"/>
      <c r="R660" s="237">
        <v>472627</v>
      </c>
      <c r="S660" s="238">
        <v>-42048</v>
      </c>
      <c r="T660" s="238">
        <v>430579</v>
      </c>
    </row>
    <row r="661" spans="1:20">
      <c r="A661" s="231">
        <v>97401</v>
      </c>
      <c r="B661" s="232" t="s">
        <v>1370</v>
      </c>
      <c r="C661" s="92">
        <v>7.1303E-3</v>
      </c>
      <c r="D661" s="92">
        <v>6.9633000000000004E-3</v>
      </c>
      <c r="E661" s="236">
        <v>10893123</v>
      </c>
      <c r="F661" s="236"/>
      <c r="G661" s="237">
        <v>627545</v>
      </c>
      <c r="H661" s="225">
        <v>2644864</v>
      </c>
      <c r="I661" s="237">
        <v>1555689</v>
      </c>
      <c r="J661" s="236">
        <v>151378</v>
      </c>
      <c r="K661" s="225">
        <f t="shared" si="20"/>
        <v>4979476</v>
      </c>
      <c r="L661" s="236"/>
      <c r="M661" s="237">
        <v>308350</v>
      </c>
      <c r="N661" s="237">
        <v>0</v>
      </c>
      <c r="O661" s="236">
        <v>83194</v>
      </c>
      <c r="P661" s="225">
        <f t="shared" si="21"/>
        <v>391544</v>
      </c>
      <c r="Q661" s="236"/>
      <c r="R661" s="237">
        <v>3670992</v>
      </c>
      <c r="S661" s="238">
        <v>-21617</v>
      </c>
      <c r="T661" s="238">
        <v>3649375</v>
      </c>
    </row>
    <row r="662" spans="1:20">
      <c r="A662" s="231">
        <v>97402</v>
      </c>
      <c r="B662" s="232" t="s">
        <v>1371</v>
      </c>
      <c r="C662" s="92">
        <v>4.8000000000000001E-5</v>
      </c>
      <c r="D662" s="92">
        <v>4.4700000000000002E-5</v>
      </c>
      <c r="E662" s="236">
        <v>73331</v>
      </c>
      <c r="F662" s="236"/>
      <c r="G662" s="237">
        <v>4225</v>
      </c>
      <c r="H662" s="225">
        <v>17804</v>
      </c>
      <c r="I662" s="237">
        <v>10473</v>
      </c>
      <c r="J662" s="236">
        <v>15704</v>
      </c>
      <c r="K662" s="225">
        <f t="shared" si="20"/>
        <v>48206</v>
      </c>
      <c r="L662" s="236"/>
      <c r="M662" s="237">
        <v>2076</v>
      </c>
      <c r="N662" s="237">
        <v>0</v>
      </c>
      <c r="O662" s="236">
        <v>0</v>
      </c>
      <c r="P662" s="225">
        <f t="shared" si="21"/>
        <v>2076</v>
      </c>
      <c r="Q662" s="236"/>
      <c r="R662" s="237">
        <v>24713</v>
      </c>
      <c r="S662" s="238">
        <v>5283</v>
      </c>
      <c r="T662" s="238">
        <f>29995+1</f>
        <v>29996</v>
      </c>
    </row>
    <row r="663" spans="1:20">
      <c r="A663" s="231">
        <v>97404</v>
      </c>
      <c r="B663" s="232" t="s">
        <v>1372</v>
      </c>
      <c r="C663" s="92">
        <v>2.1010000000000001E-4</v>
      </c>
      <c r="D663" s="92">
        <v>2.1049999999999999E-4</v>
      </c>
      <c r="E663" s="236">
        <v>320975</v>
      </c>
      <c r="F663" s="236"/>
      <c r="G663" s="237">
        <v>18491</v>
      </c>
      <c r="H663" s="225">
        <v>77933</v>
      </c>
      <c r="I663" s="237">
        <v>45840</v>
      </c>
      <c r="J663" s="236">
        <v>983</v>
      </c>
      <c r="K663" s="225">
        <f t="shared" si="20"/>
        <v>143247</v>
      </c>
      <c r="L663" s="236"/>
      <c r="M663" s="237">
        <v>9086</v>
      </c>
      <c r="N663" s="237">
        <v>0</v>
      </c>
      <c r="O663" s="236">
        <v>21173</v>
      </c>
      <c r="P663" s="225">
        <f t="shared" si="21"/>
        <v>30259</v>
      </c>
      <c r="Q663" s="236"/>
      <c r="R663" s="237">
        <v>108169</v>
      </c>
      <c r="S663" s="238">
        <v>-6084</v>
      </c>
      <c r="T663" s="238">
        <f>102084+1</f>
        <v>102085</v>
      </c>
    </row>
    <row r="664" spans="1:20">
      <c r="A664" s="231">
        <v>97405</v>
      </c>
      <c r="B664" s="232" t="s">
        <v>1373</v>
      </c>
      <c r="C664" s="92">
        <v>1.091E-4</v>
      </c>
      <c r="D664" s="92">
        <v>1.087E-4</v>
      </c>
      <c r="E664" s="236">
        <v>166675</v>
      </c>
      <c r="F664" s="236"/>
      <c r="G664" s="237">
        <v>9602</v>
      </c>
      <c r="H664" s="225">
        <v>40468</v>
      </c>
      <c r="I664" s="237">
        <v>23803</v>
      </c>
      <c r="J664" s="236">
        <v>26973</v>
      </c>
      <c r="K664" s="225">
        <f t="shared" si="20"/>
        <v>100846</v>
      </c>
      <c r="L664" s="236"/>
      <c r="M664" s="237">
        <v>4718</v>
      </c>
      <c r="N664" s="237">
        <v>0</v>
      </c>
      <c r="O664" s="236">
        <v>4890</v>
      </c>
      <c r="P664" s="225">
        <f t="shared" si="21"/>
        <v>9608</v>
      </c>
      <c r="Q664" s="236"/>
      <c r="R664" s="237">
        <v>56169</v>
      </c>
      <c r="S664" s="238">
        <v>4747</v>
      </c>
      <c r="T664" s="238">
        <v>60916</v>
      </c>
    </row>
    <row r="665" spans="1:20">
      <c r="A665" s="231">
        <v>97408</v>
      </c>
      <c r="B665" s="232" t="s">
        <v>1374</v>
      </c>
      <c r="C665" s="92">
        <v>4.4499999999999997E-5</v>
      </c>
      <c r="D665" s="92">
        <v>4.9299999999999999E-5</v>
      </c>
      <c r="E665" s="236">
        <v>67984</v>
      </c>
      <c r="F665" s="236"/>
      <c r="G665" s="237">
        <v>3916</v>
      </c>
      <c r="H665" s="225">
        <v>16507</v>
      </c>
      <c r="I665" s="237">
        <v>9709</v>
      </c>
      <c r="J665" s="236">
        <v>7648</v>
      </c>
      <c r="K665" s="225">
        <f t="shared" si="20"/>
        <v>37780</v>
      </c>
      <c r="L665" s="236"/>
      <c r="M665" s="237">
        <v>1924</v>
      </c>
      <c r="N665" s="237">
        <v>0</v>
      </c>
      <c r="O665" s="236">
        <v>0</v>
      </c>
      <c r="P665" s="225">
        <f t="shared" si="21"/>
        <v>1924</v>
      </c>
      <c r="Q665" s="236"/>
      <c r="R665" s="237">
        <v>22911</v>
      </c>
      <c r="S665" s="238">
        <v>2984</v>
      </c>
      <c r="T665" s="238">
        <v>25895</v>
      </c>
    </row>
    <row r="666" spans="1:20">
      <c r="A666" s="231">
        <v>97411</v>
      </c>
      <c r="B666" s="232" t="s">
        <v>1375</v>
      </c>
      <c r="C666" s="92">
        <v>6.6379000000000004E-3</v>
      </c>
      <c r="D666" s="92">
        <v>6.7269000000000001E-3</v>
      </c>
      <c r="E666" s="236">
        <v>10140873</v>
      </c>
      <c r="F666" s="236"/>
      <c r="G666" s="237">
        <v>584208</v>
      </c>
      <c r="H666" s="225">
        <v>2462217</v>
      </c>
      <c r="I666" s="237">
        <v>1448257</v>
      </c>
      <c r="J666" s="236">
        <v>0</v>
      </c>
      <c r="K666" s="225">
        <f t="shared" si="20"/>
        <v>4494682</v>
      </c>
      <c r="L666" s="236"/>
      <c r="M666" s="237">
        <v>287056</v>
      </c>
      <c r="N666" s="237">
        <v>0</v>
      </c>
      <c r="O666" s="236">
        <v>679489</v>
      </c>
      <c r="P666" s="225">
        <f t="shared" si="21"/>
        <v>966545</v>
      </c>
      <c r="Q666" s="236"/>
      <c r="R666" s="237">
        <v>3417483</v>
      </c>
      <c r="S666" s="238">
        <v>-317873</v>
      </c>
      <c r="T666" s="238">
        <v>3099610</v>
      </c>
    </row>
    <row r="667" spans="1:20">
      <c r="A667" s="231">
        <v>97412</v>
      </c>
      <c r="B667" s="232" t="s">
        <v>1376</v>
      </c>
      <c r="C667" s="92">
        <v>4.5082000000000004E-3</v>
      </c>
      <c r="D667" s="92">
        <v>4.424E-3</v>
      </c>
      <c r="E667" s="236">
        <v>6887281</v>
      </c>
      <c r="F667" s="236"/>
      <c r="G667" s="237">
        <v>396771</v>
      </c>
      <c r="H667" s="225">
        <v>1672240</v>
      </c>
      <c r="I667" s="237">
        <v>983599</v>
      </c>
      <c r="J667" s="236">
        <v>229685</v>
      </c>
      <c r="K667" s="225">
        <f t="shared" si="20"/>
        <v>3282295</v>
      </c>
      <c r="L667" s="236"/>
      <c r="M667" s="237">
        <v>194957</v>
      </c>
      <c r="N667" s="237">
        <v>0</v>
      </c>
      <c r="O667" s="236">
        <v>0</v>
      </c>
      <c r="P667" s="225">
        <f t="shared" si="21"/>
        <v>194957</v>
      </c>
      <c r="Q667" s="236"/>
      <c r="R667" s="237">
        <v>2321020</v>
      </c>
      <c r="S667" s="238">
        <v>85525</v>
      </c>
      <c r="T667" s="238">
        <v>2406545</v>
      </c>
    </row>
    <row r="668" spans="1:20">
      <c r="A668" s="231">
        <v>97413</v>
      </c>
      <c r="B668" s="232" t="s">
        <v>1377</v>
      </c>
      <c r="C668" s="92">
        <v>2.6570000000000001E-4</v>
      </c>
      <c r="D668" s="92">
        <v>2.7910000000000001E-4</v>
      </c>
      <c r="E668" s="236">
        <v>405916</v>
      </c>
      <c r="F668" s="236"/>
      <c r="G668" s="237">
        <v>23385</v>
      </c>
      <c r="H668" s="225">
        <v>98557</v>
      </c>
      <c r="I668" s="237">
        <v>57970</v>
      </c>
      <c r="J668" s="236">
        <v>7437</v>
      </c>
      <c r="K668" s="225">
        <f t="shared" si="20"/>
        <v>187349</v>
      </c>
      <c r="L668" s="236"/>
      <c r="M668" s="237">
        <v>11490</v>
      </c>
      <c r="N668" s="237">
        <v>0</v>
      </c>
      <c r="O668" s="236">
        <v>5304</v>
      </c>
      <c r="P668" s="225">
        <f t="shared" si="21"/>
        <v>16794</v>
      </c>
      <c r="Q668" s="236"/>
      <c r="R668" s="237">
        <v>136794</v>
      </c>
      <c r="S668" s="238">
        <v>-2913</v>
      </c>
      <c r="T668" s="238">
        <v>133881</v>
      </c>
    </row>
    <row r="669" spans="1:20">
      <c r="A669" s="231">
        <v>97421</v>
      </c>
      <c r="B669" s="232" t="s">
        <v>1378</v>
      </c>
      <c r="C669" s="92">
        <v>4.2890000000000002E-4</v>
      </c>
      <c r="D669" s="92">
        <v>4.1120000000000002E-4</v>
      </c>
      <c r="E669" s="236">
        <v>655240</v>
      </c>
      <c r="F669" s="236"/>
      <c r="G669" s="237">
        <v>37748</v>
      </c>
      <c r="H669" s="225">
        <v>159093</v>
      </c>
      <c r="I669" s="237">
        <v>93577</v>
      </c>
      <c r="J669" s="236">
        <v>8155</v>
      </c>
      <c r="K669" s="225">
        <f t="shared" si="20"/>
        <v>298573</v>
      </c>
      <c r="L669" s="236"/>
      <c r="M669" s="237">
        <v>18548</v>
      </c>
      <c r="N669" s="237">
        <v>0</v>
      </c>
      <c r="O669" s="236">
        <v>24127</v>
      </c>
      <c r="P669" s="225">
        <f t="shared" si="21"/>
        <v>42675</v>
      </c>
      <c r="Q669" s="236"/>
      <c r="R669" s="237">
        <v>220817</v>
      </c>
      <c r="S669" s="238">
        <v>-14066</v>
      </c>
      <c r="T669" s="238">
        <v>206751</v>
      </c>
    </row>
    <row r="670" spans="1:20">
      <c r="A670" s="231">
        <v>97423</v>
      </c>
      <c r="B670" s="232" t="s">
        <v>1379</v>
      </c>
      <c r="C670" s="92">
        <v>4.3600000000000003E-5</v>
      </c>
      <c r="D670" s="92">
        <v>4.5800000000000002E-5</v>
      </c>
      <c r="E670" s="236">
        <v>66609</v>
      </c>
      <c r="F670" s="236"/>
      <c r="G670" s="237">
        <v>3837</v>
      </c>
      <c r="H670" s="225">
        <v>16173</v>
      </c>
      <c r="I670" s="237">
        <v>9513</v>
      </c>
      <c r="J670" s="236">
        <v>35421</v>
      </c>
      <c r="K670" s="225">
        <f t="shared" si="20"/>
        <v>64944</v>
      </c>
      <c r="L670" s="236"/>
      <c r="M670" s="237">
        <v>1885</v>
      </c>
      <c r="N670" s="237">
        <v>0</v>
      </c>
      <c r="O670" s="236">
        <v>0</v>
      </c>
      <c r="P670" s="225">
        <f t="shared" si="21"/>
        <v>1885</v>
      </c>
      <c r="Q670" s="236"/>
      <c r="R670" s="237">
        <v>22447</v>
      </c>
      <c r="S670" s="238">
        <v>12225</v>
      </c>
      <c r="T670" s="238">
        <v>34672</v>
      </c>
    </row>
    <row r="671" spans="1:20">
      <c r="A671" s="231">
        <v>97431</v>
      </c>
      <c r="B671" s="232" t="s">
        <v>1380</v>
      </c>
      <c r="C671" s="92">
        <v>8.5599999999999994E-5</v>
      </c>
      <c r="D671" s="92">
        <v>8.5199999999999997E-5</v>
      </c>
      <c r="E671" s="236">
        <v>130773</v>
      </c>
      <c r="F671" s="236"/>
      <c r="G671" s="237">
        <v>7534</v>
      </c>
      <c r="H671" s="225">
        <v>31751</v>
      </c>
      <c r="I671" s="237">
        <v>18676</v>
      </c>
      <c r="J671" s="236">
        <v>6440</v>
      </c>
      <c r="K671" s="225">
        <f t="shared" si="20"/>
        <v>64401</v>
      </c>
      <c r="L671" s="236"/>
      <c r="M671" s="237">
        <v>3702</v>
      </c>
      <c r="N671" s="237">
        <v>0</v>
      </c>
      <c r="O671" s="236">
        <v>0</v>
      </c>
      <c r="P671" s="225">
        <f t="shared" si="21"/>
        <v>3702</v>
      </c>
      <c r="Q671" s="236"/>
      <c r="R671" s="237">
        <v>44071</v>
      </c>
      <c r="S671" s="238">
        <v>2026</v>
      </c>
      <c r="T671" s="238">
        <v>46097</v>
      </c>
    </row>
    <row r="672" spans="1:20">
      <c r="A672" s="231">
        <v>97441</v>
      </c>
      <c r="B672" s="232" t="s">
        <v>1381</v>
      </c>
      <c r="C672" s="92">
        <v>7.5799999999999999E-5</v>
      </c>
      <c r="D672" s="92">
        <v>7.0500000000000006E-5</v>
      </c>
      <c r="E672" s="236">
        <v>115801</v>
      </c>
      <c r="F672" s="236"/>
      <c r="G672" s="237">
        <v>6671</v>
      </c>
      <c r="H672" s="225">
        <v>28117</v>
      </c>
      <c r="I672" s="237">
        <v>16538</v>
      </c>
      <c r="J672" s="236">
        <v>202</v>
      </c>
      <c r="K672" s="225">
        <f t="shared" si="20"/>
        <v>51528</v>
      </c>
      <c r="L672" s="236"/>
      <c r="M672" s="237">
        <v>3278</v>
      </c>
      <c r="N672" s="237">
        <v>0</v>
      </c>
      <c r="O672" s="236">
        <v>7671</v>
      </c>
      <c r="P672" s="225">
        <f t="shared" si="21"/>
        <v>10949</v>
      </c>
      <c r="Q672" s="236"/>
      <c r="R672" s="237">
        <v>39025</v>
      </c>
      <c r="S672" s="238">
        <v>-2235</v>
      </c>
      <c r="T672" s="238">
        <v>36790</v>
      </c>
    </row>
    <row r="673" spans="1:20">
      <c r="A673" s="231">
        <v>97451</v>
      </c>
      <c r="B673" s="232" t="s">
        <v>1382</v>
      </c>
      <c r="C673" s="92">
        <v>5.5820000000000002E-4</v>
      </c>
      <c r="D673" s="92">
        <v>6.1039999999999998E-4</v>
      </c>
      <c r="E673" s="236">
        <v>852775</v>
      </c>
      <c r="F673" s="236"/>
      <c r="G673" s="237">
        <v>49128</v>
      </c>
      <c r="H673" s="225">
        <v>207055</v>
      </c>
      <c r="I673" s="237">
        <v>121788</v>
      </c>
      <c r="J673" s="236">
        <v>19770</v>
      </c>
      <c r="K673" s="225">
        <f t="shared" si="20"/>
        <v>397741</v>
      </c>
      <c r="L673" s="236"/>
      <c r="M673" s="237">
        <v>24139</v>
      </c>
      <c r="N673" s="237">
        <v>0</v>
      </c>
      <c r="O673" s="236">
        <v>47630</v>
      </c>
      <c r="P673" s="225">
        <f t="shared" si="21"/>
        <v>71769</v>
      </c>
      <c r="Q673" s="236"/>
      <c r="R673" s="237">
        <v>287386</v>
      </c>
      <c r="S673" s="238">
        <v>-2772</v>
      </c>
      <c r="T673" s="238">
        <v>284614</v>
      </c>
    </row>
    <row r="674" spans="1:20">
      <c r="A674" s="231" t="s">
        <v>3516</v>
      </c>
      <c r="B674" s="232" t="s">
        <v>1383</v>
      </c>
      <c r="C674" s="92">
        <v>5.5650000000000003E-4</v>
      </c>
      <c r="D674" s="92">
        <v>5.1869999999999998E-4</v>
      </c>
      <c r="E674" s="236">
        <v>850178</v>
      </c>
      <c r="F674" s="236"/>
      <c r="G674" s="237">
        <v>48978</v>
      </c>
      <c r="H674" s="225">
        <v>206424</v>
      </c>
      <c r="I674" s="237">
        <v>121417</v>
      </c>
      <c r="J674" s="236">
        <v>5855</v>
      </c>
      <c r="K674" s="225">
        <f t="shared" si="20"/>
        <v>382674</v>
      </c>
      <c r="L674" s="236"/>
      <c r="M674" s="237">
        <v>24066</v>
      </c>
      <c r="N674" s="237">
        <v>0</v>
      </c>
      <c r="O674" s="236">
        <v>31609</v>
      </c>
      <c r="P674" s="225">
        <f t="shared" si="21"/>
        <v>55675</v>
      </c>
      <c r="Q674" s="236"/>
      <c r="R674" s="237">
        <v>286511</v>
      </c>
      <c r="S674" s="238">
        <v>-11321</v>
      </c>
      <c r="T674" s="238">
        <v>275190</v>
      </c>
    </row>
    <row r="675" spans="1:20">
      <c r="A675" s="231" t="s">
        <v>3517</v>
      </c>
      <c r="B675" s="232" t="s">
        <v>1384</v>
      </c>
      <c r="C675" s="92">
        <v>4.1100000000000003E-5</v>
      </c>
      <c r="D675" s="92">
        <v>5.0099999999999998E-5</v>
      </c>
      <c r="E675" s="236">
        <v>62789</v>
      </c>
      <c r="F675" s="236"/>
      <c r="G675" s="237">
        <v>3617</v>
      </c>
      <c r="H675" s="225">
        <v>15246</v>
      </c>
      <c r="I675" s="237">
        <v>8967</v>
      </c>
      <c r="J675" s="236">
        <v>1420</v>
      </c>
      <c r="K675" s="225">
        <f t="shared" si="20"/>
        <v>29250</v>
      </c>
      <c r="L675" s="236"/>
      <c r="M675" s="237">
        <v>1777</v>
      </c>
      <c r="N675" s="237">
        <v>0</v>
      </c>
      <c r="O675" s="236">
        <v>12499</v>
      </c>
      <c r="P675" s="225">
        <f t="shared" si="21"/>
        <v>14276</v>
      </c>
      <c r="Q675" s="236"/>
      <c r="R675" s="237">
        <v>21160</v>
      </c>
      <c r="S675" s="238">
        <v>-2447</v>
      </c>
      <c r="T675" s="238">
        <v>18713</v>
      </c>
    </row>
    <row r="676" spans="1:20">
      <c r="A676" s="231">
        <v>97461</v>
      </c>
      <c r="B676" s="232" t="s">
        <v>1383</v>
      </c>
      <c r="C676" s="92">
        <f>SUM(C674:C675)</f>
        <v>5.976E-4</v>
      </c>
      <c r="D676" s="92">
        <f t="shared" ref="D676:T676" si="22">SUM(D674:D675)</f>
        <v>5.6879999999999995E-4</v>
      </c>
      <c r="E676" s="236">
        <f t="shared" si="22"/>
        <v>912967</v>
      </c>
      <c r="F676" s="236"/>
      <c r="G676" s="237">
        <f t="shared" si="22"/>
        <v>52595</v>
      </c>
      <c r="H676" s="225">
        <f t="shared" si="22"/>
        <v>221670</v>
      </c>
      <c r="I676" s="237">
        <f t="shared" si="22"/>
        <v>130384</v>
      </c>
      <c r="J676" s="236">
        <f t="shared" si="22"/>
        <v>7275</v>
      </c>
      <c r="K676" s="225">
        <f t="shared" si="22"/>
        <v>411924</v>
      </c>
      <c r="L676" s="236"/>
      <c r="M676" s="237">
        <f t="shared" si="22"/>
        <v>25843</v>
      </c>
      <c r="N676" s="237">
        <f t="shared" si="22"/>
        <v>0</v>
      </c>
      <c r="O676" s="236">
        <f t="shared" si="22"/>
        <v>44108</v>
      </c>
      <c r="P676" s="225">
        <f t="shared" si="22"/>
        <v>69951</v>
      </c>
      <c r="Q676" s="236"/>
      <c r="R676" s="237">
        <f t="shared" si="22"/>
        <v>307671</v>
      </c>
      <c r="S676" s="238">
        <f t="shared" si="22"/>
        <v>-13768</v>
      </c>
      <c r="T676" s="238">
        <f t="shared" si="22"/>
        <v>293903</v>
      </c>
    </row>
    <row r="677" spans="1:20">
      <c r="A677" s="231">
        <v>97471</v>
      </c>
      <c r="B677" s="232" t="s">
        <v>1385</v>
      </c>
      <c r="C677" s="92">
        <v>1.22E-5</v>
      </c>
      <c r="D677" s="92">
        <v>1.27E-5</v>
      </c>
      <c r="E677" s="236">
        <v>18638</v>
      </c>
      <c r="F677" s="236"/>
      <c r="G677" s="237">
        <v>1074</v>
      </c>
      <c r="H677" s="225">
        <v>4526</v>
      </c>
      <c r="I677" s="237">
        <v>2662</v>
      </c>
      <c r="J677" s="236">
        <v>6770</v>
      </c>
      <c r="K677" s="225">
        <f t="shared" si="20"/>
        <v>15032</v>
      </c>
      <c r="L677" s="236"/>
      <c r="M677" s="237">
        <v>528</v>
      </c>
      <c r="N677" s="237">
        <v>0</v>
      </c>
      <c r="O677" s="236">
        <v>0</v>
      </c>
      <c r="P677" s="225">
        <f t="shared" si="21"/>
        <v>528</v>
      </c>
      <c r="Q677" s="236"/>
      <c r="R677" s="237">
        <v>6281</v>
      </c>
      <c r="S677" s="238">
        <v>2621</v>
      </c>
      <c r="T677" s="238">
        <v>8902</v>
      </c>
    </row>
    <row r="678" spans="1:20">
      <c r="A678" s="231">
        <v>97481</v>
      </c>
      <c r="B678" s="232" t="s">
        <v>1386</v>
      </c>
      <c r="C678" s="92">
        <v>9.9000000000000001E-6</v>
      </c>
      <c r="D678" s="92">
        <v>1.63E-5</v>
      </c>
      <c r="E678" s="236">
        <v>15124</v>
      </c>
      <c r="F678" s="236"/>
      <c r="G678" s="237">
        <v>871</v>
      </c>
      <c r="H678" s="225">
        <v>3672</v>
      </c>
      <c r="I678" s="237">
        <v>2160</v>
      </c>
      <c r="J678" s="236">
        <v>3592</v>
      </c>
      <c r="K678" s="225">
        <f t="shared" si="20"/>
        <v>10295</v>
      </c>
      <c r="L678" s="236"/>
      <c r="M678" s="237">
        <v>428</v>
      </c>
      <c r="N678" s="237">
        <v>0</v>
      </c>
      <c r="O678" s="236">
        <v>3115</v>
      </c>
      <c r="P678" s="225">
        <f t="shared" si="21"/>
        <v>3543</v>
      </c>
      <c r="Q678" s="236"/>
      <c r="R678" s="237">
        <v>5097</v>
      </c>
      <c r="S678" s="238">
        <v>1594</v>
      </c>
      <c r="T678" s="238">
        <v>6691</v>
      </c>
    </row>
    <row r="679" spans="1:20">
      <c r="A679" s="231">
        <v>97491</v>
      </c>
      <c r="B679" s="232" t="s">
        <v>1387</v>
      </c>
      <c r="C679" s="92">
        <v>0</v>
      </c>
      <c r="D679" s="92">
        <v>0</v>
      </c>
      <c r="E679" s="236">
        <v>0</v>
      </c>
      <c r="F679" s="236"/>
      <c r="G679" s="237">
        <v>0</v>
      </c>
      <c r="H679" s="225">
        <v>0</v>
      </c>
      <c r="I679" s="237">
        <v>0</v>
      </c>
      <c r="J679" s="236">
        <v>0</v>
      </c>
      <c r="K679" s="225">
        <f t="shared" si="20"/>
        <v>0</v>
      </c>
      <c r="L679" s="236"/>
      <c r="M679" s="237">
        <v>0</v>
      </c>
      <c r="N679" s="237">
        <v>0</v>
      </c>
      <c r="O679" s="236">
        <v>7849</v>
      </c>
      <c r="P679" s="225">
        <f t="shared" si="21"/>
        <v>7849</v>
      </c>
      <c r="Q679" s="236"/>
      <c r="R679" s="237">
        <v>0</v>
      </c>
      <c r="S679" s="238">
        <v>-4941</v>
      </c>
      <c r="T679" s="238">
        <v>-4941</v>
      </c>
    </row>
    <row r="680" spans="1:20">
      <c r="A680" s="231">
        <v>97501</v>
      </c>
      <c r="B680" s="232" t="s">
        <v>1388</v>
      </c>
      <c r="C680" s="92">
        <v>1.1000999999999999E-3</v>
      </c>
      <c r="D680" s="92">
        <v>9.6730000000000004E-4</v>
      </c>
      <c r="E680" s="236">
        <v>1680648</v>
      </c>
      <c r="F680" s="236"/>
      <c r="G680" s="237">
        <v>96821</v>
      </c>
      <c r="H680" s="225">
        <v>408064</v>
      </c>
      <c r="I680" s="237">
        <v>240020</v>
      </c>
      <c r="J680" s="236">
        <v>125050</v>
      </c>
      <c r="K680" s="225">
        <f t="shared" si="20"/>
        <v>869955</v>
      </c>
      <c r="L680" s="236"/>
      <c r="M680" s="237">
        <v>47574</v>
      </c>
      <c r="N680" s="237">
        <v>0</v>
      </c>
      <c r="O680" s="236">
        <v>0</v>
      </c>
      <c r="P680" s="225">
        <f t="shared" si="21"/>
        <v>47574</v>
      </c>
      <c r="Q680" s="236"/>
      <c r="R680" s="237">
        <v>566380</v>
      </c>
      <c r="S680" s="238">
        <v>44629</v>
      </c>
      <c r="T680" s="238">
        <v>611009</v>
      </c>
    </row>
    <row r="681" spans="1:20">
      <c r="A681" s="231">
        <v>97511</v>
      </c>
      <c r="B681" s="232" t="s">
        <v>1389</v>
      </c>
      <c r="C681" s="92">
        <v>2.3450000000000001E-4</v>
      </c>
      <c r="D681" s="92">
        <v>2.3220000000000001E-4</v>
      </c>
      <c r="E681" s="236">
        <v>358251</v>
      </c>
      <c r="F681" s="236"/>
      <c r="G681" s="237">
        <v>20639</v>
      </c>
      <c r="H681" s="225">
        <v>86984</v>
      </c>
      <c r="I681" s="237">
        <v>51163</v>
      </c>
      <c r="J681" s="236">
        <v>12835</v>
      </c>
      <c r="K681" s="225">
        <f t="shared" si="20"/>
        <v>171621</v>
      </c>
      <c r="L681" s="236"/>
      <c r="M681" s="237">
        <v>10141</v>
      </c>
      <c r="N681" s="237">
        <v>0</v>
      </c>
      <c r="O681" s="236">
        <v>844</v>
      </c>
      <c r="P681" s="225">
        <f t="shared" si="21"/>
        <v>10985</v>
      </c>
      <c r="Q681" s="236"/>
      <c r="R681" s="237">
        <v>120731</v>
      </c>
      <c r="S681" s="238">
        <v>3795</v>
      </c>
      <c r="T681" s="238">
        <v>124526</v>
      </c>
    </row>
    <row r="682" spans="1:20">
      <c r="A682" s="231">
        <v>97521</v>
      </c>
      <c r="B682" s="232" t="s">
        <v>1390</v>
      </c>
      <c r="C682" s="92">
        <v>1.2870000000000001E-4</v>
      </c>
      <c r="D682" s="92">
        <v>1.293E-4</v>
      </c>
      <c r="E682" s="236">
        <v>196618</v>
      </c>
      <c r="F682" s="236"/>
      <c r="G682" s="237">
        <v>11327</v>
      </c>
      <c r="H682" s="225">
        <v>47739</v>
      </c>
      <c r="I682" s="237">
        <v>28080</v>
      </c>
      <c r="J682" s="236">
        <v>2190</v>
      </c>
      <c r="K682" s="225">
        <f t="shared" si="20"/>
        <v>89336</v>
      </c>
      <c r="L682" s="236"/>
      <c r="M682" s="237">
        <v>5566</v>
      </c>
      <c r="N682" s="237">
        <v>0</v>
      </c>
      <c r="O682" s="236">
        <v>14589</v>
      </c>
      <c r="P682" s="225">
        <f t="shared" si="21"/>
        <v>20155</v>
      </c>
      <c r="Q682" s="236"/>
      <c r="R682" s="237">
        <v>66260</v>
      </c>
      <c r="S682" s="238">
        <v>-3628</v>
      </c>
      <c r="T682" s="238">
        <v>62632</v>
      </c>
    </row>
    <row r="683" spans="1:20">
      <c r="A683" s="231">
        <v>97531</v>
      </c>
      <c r="B683" s="232" t="s">
        <v>1391</v>
      </c>
      <c r="C683" s="92">
        <v>4.32E-5</v>
      </c>
      <c r="D683" s="92">
        <v>3.6300000000000001E-5</v>
      </c>
      <c r="E683" s="236">
        <v>65998</v>
      </c>
      <c r="F683" s="236"/>
      <c r="G683" s="237">
        <v>3802</v>
      </c>
      <c r="H683" s="225">
        <v>16025</v>
      </c>
      <c r="I683" s="237">
        <v>9425</v>
      </c>
      <c r="J683" s="236">
        <v>11185</v>
      </c>
      <c r="K683" s="225">
        <f t="shared" si="20"/>
        <v>40437</v>
      </c>
      <c r="L683" s="236"/>
      <c r="M683" s="237">
        <v>1868</v>
      </c>
      <c r="N683" s="237">
        <v>0</v>
      </c>
      <c r="O683" s="236">
        <v>9052</v>
      </c>
      <c r="P683" s="225">
        <f t="shared" si="21"/>
        <v>10920</v>
      </c>
      <c r="Q683" s="236"/>
      <c r="R683" s="237">
        <v>22241</v>
      </c>
      <c r="S683" s="238">
        <v>-2508</v>
      </c>
      <c r="T683" s="238">
        <f>19734-1</f>
        <v>19733</v>
      </c>
    </row>
    <row r="684" spans="1:20">
      <c r="A684" s="231">
        <v>97601</v>
      </c>
      <c r="B684" s="232" t="s">
        <v>1392</v>
      </c>
      <c r="C684" s="92">
        <v>5.1672000000000003E-3</v>
      </c>
      <c r="D684" s="92">
        <v>4.7808E-3</v>
      </c>
      <c r="E684" s="236">
        <v>7894050</v>
      </c>
      <c r="F684" s="236"/>
      <c r="G684" s="237">
        <v>454770</v>
      </c>
      <c r="H684" s="225">
        <v>1916685</v>
      </c>
      <c r="I684" s="237">
        <v>1127380</v>
      </c>
      <c r="J684" s="236">
        <v>190925</v>
      </c>
      <c r="K684" s="225">
        <f t="shared" si="20"/>
        <v>3689760</v>
      </c>
      <c r="L684" s="236"/>
      <c r="M684" s="237">
        <v>223456</v>
      </c>
      <c r="N684" s="237">
        <v>0</v>
      </c>
      <c r="O684" s="236">
        <v>91443</v>
      </c>
      <c r="P684" s="225">
        <f t="shared" si="21"/>
        <v>314899</v>
      </c>
      <c r="Q684" s="236"/>
      <c r="R684" s="237">
        <v>2660302</v>
      </c>
      <c r="S684" s="238">
        <v>1665</v>
      </c>
      <c r="T684" s="238">
        <v>2661967</v>
      </c>
    </row>
    <row r="685" spans="1:20">
      <c r="A685" s="231">
        <v>97607</v>
      </c>
      <c r="B685" s="232" t="s">
        <v>1393</v>
      </c>
      <c r="C685" s="92">
        <v>2.3200000000000001E-5</v>
      </c>
      <c r="D685" s="92">
        <v>1.9199999999999999E-5</v>
      </c>
      <c r="E685" s="236">
        <v>35443</v>
      </c>
      <c r="F685" s="236"/>
      <c r="G685" s="237">
        <v>2042</v>
      </c>
      <c r="H685" s="225">
        <v>8605</v>
      </c>
      <c r="I685" s="237">
        <v>5062</v>
      </c>
      <c r="J685" s="236">
        <v>13349</v>
      </c>
      <c r="K685" s="225">
        <f t="shared" si="20"/>
        <v>29058</v>
      </c>
      <c r="L685" s="236"/>
      <c r="M685" s="237">
        <v>1003</v>
      </c>
      <c r="N685" s="237">
        <v>0</v>
      </c>
      <c r="O685" s="236">
        <v>0</v>
      </c>
      <c r="P685" s="225">
        <f t="shared" si="21"/>
        <v>1003</v>
      </c>
      <c r="Q685" s="236"/>
      <c r="R685" s="237">
        <v>11944</v>
      </c>
      <c r="S685" s="238">
        <v>5427</v>
      </c>
      <c r="T685" s="238">
        <v>17371</v>
      </c>
    </row>
    <row r="686" spans="1:20">
      <c r="A686" s="231">
        <v>97611</v>
      </c>
      <c r="B686" s="232" t="s">
        <v>1394</v>
      </c>
      <c r="C686" s="92">
        <v>2.4767999999999999E-3</v>
      </c>
      <c r="D686" s="92">
        <v>2.5750999999999999E-3</v>
      </c>
      <c r="E686" s="236">
        <v>3783864</v>
      </c>
      <c r="F686" s="236"/>
      <c r="G686" s="237">
        <v>217986</v>
      </c>
      <c r="H686" s="225">
        <v>918727</v>
      </c>
      <c r="I686" s="237">
        <v>540388</v>
      </c>
      <c r="J686" s="236">
        <v>0</v>
      </c>
      <c r="K686" s="225">
        <f t="shared" si="20"/>
        <v>1677101</v>
      </c>
      <c r="L686" s="236"/>
      <c r="M686" s="237">
        <v>107109</v>
      </c>
      <c r="N686" s="237">
        <v>0</v>
      </c>
      <c r="O686" s="236">
        <v>276084</v>
      </c>
      <c r="P686" s="225">
        <f t="shared" si="21"/>
        <v>383193</v>
      </c>
      <c r="Q686" s="236"/>
      <c r="R686" s="237">
        <v>1275166</v>
      </c>
      <c r="S686" s="238">
        <v>-116051</v>
      </c>
      <c r="T686" s="238">
        <v>1159115</v>
      </c>
    </row>
    <row r="687" spans="1:20">
      <c r="A687" s="231">
        <v>97613</v>
      </c>
      <c r="B687" s="232" t="s">
        <v>1395</v>
      </c>
      <c r="C687" s="92">
        <v>1.1629999999999999E-4</v>
      </c>
      <c r="D687" s="92">
        <v>1.2459999999999999E-4</v>
      </c>
      <c r="E687" s="236">
        <v>177674</v>
      </c>
      <c r="F687" s="236"/>
      <c r="G687" s="237">
        <v>10236</v>
      </c>
      <c r="H687" s="225">
        <v>43140</v>
      </c>
      <c r="I687" s="237">
        <v>25374</v>
      </c>
      <c r="J687" s="236">
        <v>3969</v>
      </c>
      <c r="K687" s="225">
        <f t="shared" si="20"/>
        <v>82719</v>
      </c>
      <c r="L687" s="236"/>
      <c r="M687" s="237">
        <v>5029</v>
      </c>
      <c r="N687" s="237">
        <v>0</v>
      </c>
      <c r="O687" s="236">
        <v>3579</v>
      </c>
      <c r="P687" s="225">
        <f t="shared" si="21"/>
        <v>8608</v>
      </c>
      <c r="Q687" s="236"/>
      <c r="R687" s="237">
        <v>59876</v>
      </c>
      <c r="S687" s="238">
        <v>-543</v>
      </c>
      <c r="T687" s="238">
        <f>59334-1</f>
        <v>59333</v>
      </c>
    </row>
    <row r="688" spans="1:20">
      <c r="A688" s="231">
        <v>97621</v>
      </c>
      <c r="B688" s="232" t="s">
        <v>1396</v>
      </c>
      <c r="C688" s="92">
        <v>4.5179999999999998E-4</v>
      </c>
      <c r="D688" s="92">
        <v>4.7429999999999998E-4</v>
      </c>
      <c r="E688" s="236">
        <v>690225</v>
      </c>
      <c r="F688" s="236"/>
      <c r="G688" s="237">
        <v>39763</v>
      </c>
      <c r="H688" s="225">
        <v>167588</v>
      </c>
      <c r="I688" s="237">
        <v>98574</v>
      </c>
      <c r="J688" s="236">
        <v>15836</v>
      </c>
      <c r="K688" s="225">
        <f t="shared" si="20"/>
        <v>321761</v>
      </c>
      <c r="L688" s="236"/>
      <c r="M688" s="237">
        <v>19538</v>
      </c>
      <c r="N688" s="237">
        <v>0</v>
      </c>
      <c r="O688" s="236">
        <v>70017</v>
      </c>
      <c r="P688" s="225">
        <f t="shared" si="21"/>
        <v>89555</v>
      </c>
      <c r="Q688" s="236"/>
      <c r="R688" s="237">
        <v>232607</v>
      </c>
      <c r="S688" s="238">
        <v>-11992</v>
      </c>
      <c r="T688" s="238">
        <v>220615</v>
      </c>
    </row>
    <row r="689" spans="1:20">
      <c r="A689" s="231">
        <v>97623</v>
      </c>
      <c r="B689" s="232" t="s">
        <v>1397</v>
      </c>
      <c r="C689" s="92">
        <v>2.9499999999999999E-5</v>
      </c>
      <c r="D689" s="92">
        <v>2.9200000000000002E-5</v>
      </c>
      <c r="E689" s="236">
        <v>45068</v>
      </c>
      <c r="F689" s="236"/>
      <c r="G689" s="237">
        <v>2596</v>
      </c>
      <c r="H689" s="225">
        <v>10942</v>
      </c>
      <c r="I689" s="237">
        <v>6436</v>
      </c>
      <c r="J689" s="236">
        <v>6505</v>
      </c>
      <c r="K689" s="225">
        <f t="shared" si="20"/>
        <v>26479</v>
      </c>
      <c r="L689" s="236"/>
      <c r="M689" s="237">
        <v>1276</v>
      </c>
      <c r="N689" s="237">
        <v>0</v>
      </c>
      <c r="O689" s="236">
        <v>1742</v>
      </c>
      <c r="P689" s="225">
        <f t="shared" si="21"/>
        <v>3018</v>
      </c>
      <c r="Q689" s="236"/>
      <c r="R689" s="237">
        <v>15188</v>
      </c>
      <c r="S689" s="238">
        <v>3252</v>
      </c>
      <c r="T689" s="238">
        <v>18440</v>
      </c>
    </row>
    <row r="690" spans="1:20">
      <c r="A690" s="231">
        <v>97627</v>
      </c>
      <c r="B690" s="232" t="s">
        <v>1398</v>
      </c>
      <c r="C690" s="92">
        <v>9.7000000000000003E-6</v>
      </c>
      <c r="D690" s="92">
        <v>1.0200000000000001E-5</v>
      </c>
      <c r="E690" s="236">
        <v>14819</v>
      </c>
      <c r="F690" s="236"/>
      <c r="G690" s="237">
        <v>854</v>
      </c>
      <c r="H690" s="225">
        <v>3599</v>
      </c>
      <c r="I690" s="237">
        <v>2116</v>
      </c>
      <c r="J690" s="236">
        <v>714</v>
      </c>
      <c r="K690" s="225">
        <f t="shared" si="20"/>
        <v>7283</v>
      </c>
      <c r="L690" s="236"/>
      <c r="M690" s="237">
        <v>419</v>
      </c>
      <c r="N690" s="237">
        <v>0</v>
      </c>
      <c r="O690" s="236">
        <v>1008</v>
      </c>
      <c r="P690" s="225">
        <f t="shared" si="21"/>
        <v>1427</v>
      </c>
      <c r="Q690" s="236"/>
      <c r="R690" s="237">
        <v>4994</v>
      </c>
      <c r="S690" s="238">
        <v>-190</v>
      </c>
      <c r="T690" s="238">
        <v>4804</v>
      </c>
    </row>
    <row r="691" spans="1:20">
      <c r="A691" s="231">
        <v>97631</v>
      </c>
      <c r="B691" s="232" t="s">
        <v>1399</v>
      </c>
      <c r="C691" s="92">
        <v>2.051E-4</v>
      </c>
      <c r="D691" s="92">
        <v>2.009E-4</v>
      </c>
      <c r="E691" s="236">
        <v>313336</v>
      </c>
      <c r="F691" s="236"/>
      <c r="G691" s="237">
        <v>18051</v>
      </c>
      <c r="H691" s="225">
        <v>76078</v>
      </c>
      <c r="I691" s="237">
        <v>44749</v>
      </c>
      <c r="J691" s="236">
        <v>9311</v>
      </c>
      <c r="K691" s="225">
        <f t="shared" si="20"/>
        <v>148189</v>
      </c>
      <c r="L691" s="236"/>
      <c r="M691" s="237">
        <v>8870</v>
      </c>
      <c r="N691" s="237">
        <v>0</v>
      </c>
      <c r="O691" s="236">
        <v>3711</v>
      </c>
      <c r="P691" s="225">
        <f t="shared" si="21"/>
        <v>12581</v>
      </c>
      <c r="Q691" s="236"/>
      <c r="R691" s="237">
        <v>105595</v>
      </c>
      <c r="S691" s="238">
        <v>4564</v>
      </c>
      <c r="T691" s="238">
        <f>110158+1</f>
        <v>110159</v>
      </c>
    </row>
    <row r="692" spans="1:20">
      <c r="A692" s="231">
        <v>97637</v>
      </c>
      <c r="B692" s="232" t="s">
        <v>1400</v>
      </c>
      <c r="C692" s="92">
        <v>4.3000000000000003E-6</v>
      </c>
      <c r="D692" s="92">
        <v>4.7999999999999998E-6</v>
      </c>
      <c r="E692" s="236">
        <v>6569</v>
      </c>
      <c r="F692" s="236"/>
      <c r="G692" s="237">
        <v>378</v>
      </c>
      <c r="H692" s="225">
        <v>1595</v>
      </c>
      <c r="I692" s="237">
        <v>938</v>
      </c>
      <c r="J692" s="236">
        <v>944</v>
      </c>
      <c r="K692" s="225">
        <f t="shared" si="20"/>
        <v>3855</v>
      </c>
      <c r="L692" s="236"/>
      <c r="M692" s="237">
        <v>186</v>
      </c>
      <c r="N692" s="237">
        <v>0</v>
      </c>
      <c r="O692" s="236">
        <v>30</v>
      </c>
      <c r="P692" s="225">
        <f t="shared" si="21"/>
        <v>216</v>
      </c>
      <c r="Q692" s="236"/>
      <c r="R692" s="237">
        <v>2214</v>
      </c>
      <c r="S692" s="238">
        <v>380</v>
      </c>
      <c r="T692" s="238">
        <v>2594</v>
      </c>
    </row>
    <row r="693" spans="1:20">
      <c r="A693" s="231">
        <v>97641</v>
      </c>
      <c r="B693" s="232" t="s">
        <v>1401</v>
      </c>
      <c r="C693" s="92">
        <v>6.8899999999999994E-5</v>
      </c>
      <c r="D693" s="92">
        <v>6.9999999999999994E-5</v>
      </c>
      <c r="E693" s="236">
        <v>105260</v>
      </c>
      <c r="F693" s="236"/>
      <c r="G693" s="237">
        <v>6064</v>
      </c>
      <c r="H693" s="225">
        <v>25557</v>
      </c>
      <c r="I693" s="237">
        <v>15033</v>
      </c>
      <c r="J693" s="236">
        <v>13063</v>
      </c>
      <c r="K693" s="225">
        <f t="shared" si="20"/>
        <v>59717</v>
      </c>
      <c r="L693" s="236"/>
      <c r="M693" s="237">
        <v>2980</v>
      </c>
      <c r="N693" s="237">
        <v>0</v>
      </c>
      <c r="O693" s="236">
        <v>2889</v>
      </c>
      <c r="P693" s="225">
        <f t="shared" si="21"/>
        <v>5869</v>
      </c>
      <c r="Q693" s="236"/>
      <c r="R693" s="237">
        <v>35473</v>
      </c>
      <c r="S693" s="238">
        <v>2041</v>
      </c>
      <c r="T693" s="238">
        <v>37514</v>
      </c>
    </row>
    <row r="694" spans="1:20">
      <c r="A694" s="231">
        <v>97651</v>
      </c>
      <c r="B694" s="232" t="s">
        <v>1402</v>
      </c>
      <c r="C694" s="92">
        <v>5.1979999999999995E-4</v>
      </c>
      <c r="D694" s="92">
        <v>5.1579999999999996E-4</v>
      </c>
      <c r="E694" s="236">
        <v>794110</v>
      </c>
      <c r="F694" s="236"/>
      <c r="G694" s="237">
        <v>45748</v>
      </c>
      <c r="H694" s="225">
        <v>192810</v>
      </c>
      <c r="I694" s="237">
        <v>113410</v>
      </c>
      <c r="J694" s="236">
        <v>2621</v>
      </c>
      <c r="K694" s="225">
        <f t="shared" si="20"/>
        <v>354589</v>
      </c>
      <c r="L694" s="236"/>
      <c r="M694" s="237">
        <v>22479</v>
      </c>
      <c r="N694" s="237">
        <v>0</v>
      </c>
      <c r="O694" s="236">
        <v>43572</v>
      </c>
      <c r="P694" s="225">
        <f t="shared" si="21"/>
        <v>66051</v>
      </c>
      <c r="Q694" s="236"/>
      <c r="R694" s="237">
        <v>267616</v>
      </c>
      <c r="S694" s="238">
        <v>-19628</v>
      </c>
      <c r="T694" s="238">
        <v>247988</v>
      </c>
    </row>
    <row r="695" spans="1:20">
      <c r="A695" s="231">
        <v>97661</v>
      </c>
      <c r="B695" s="232" t="s">
        <v>1403</v>
      </c>
      <c r="C695" s="92">
        <v>5.1600000000000001E-5</v>
      </c>
      <c r="D695" s="92">
        <v>4.3900000000000003E-5</v>
      </c>
      <c r="E695" s="236">
        <v>78831</v>
      </c>
      <c r="F695" s="236"/>
      <c r="G695" s="237">
        <v>4541</v>
      </c>
      <c r="H695" s="225">
        <v>19140</v>
      </c>
      <c r="I695" s="237">
        <v>11258</v>
      </c>
      <c r="J695" s="236">
        <v>13582</v>
      </c>
      <c r="K695" s="225">
        <f t="shared" si="20"/>
        <v>48521</v>
      </c>
      <c r="L695" s="236"/>
      <c r="M695" s="237">
        <v>2231</v>
      </c>
      <c r="N695" s="237">
        <v>0</v>
      </c>
      <c r="O695" s="236">
        <v>1913</v>
      </c>
      <c r="P695" s="225">
        <f t="shared" si="21"/>
        <v>4144</v>
      </c>
      <c r="Q695" s="236"/>
      <c r="R695" s="237">
        <v>26566</v>
      </c>
      <c r="S695" s="238">
        <v>4861</v>
      </c>
      <c r="T695" s="238">
        <v>31427</v>
      </c>
    </row>
    <row r="696" spans="1:20">
      <c r="A696" s="231">
        <v>97701</v>
      </c>
      <c r="B696" s="232" t="s">
        <v>1404</v>
      </c>
      <c r="C696" s="92">
        <v>2.4975000000000002E-3</v>
      </c>
      <c r="D696" s="92">
        <v>2.5081000000000001E-3</v>
      </c>
      <c r="E696" s="236">
        <v>3815488</v>
      </c>
      <c r="F696" s="236"/>
      <c r="G696" s="237">
        <v>219807</v>
      </c>
      <c r="H696" s="225">
        <v>926405</v>
      </c>
      <c r="I696" s="237">
        <v>544905</v>
      </c>
      <c r="J696" s="236">
        <v>22724</v>
      </c>
      <c r="K696" s="225">
        <f t="shared" si="20"/>
        <v>1713841</v>
      </c>
      <c r="L696" s="236"/>
      <c r="M696" s="237">
        <v>108004</v>
      </c>
      <c r="N696" s="237">
        <v>0</v>
      </c>
      <c r="O696" s="236">
        <v>8673</v>
      </c>
      <c r="P696" s="225">
        <f t="shared" si="21"/>
        <v>116677</v>
      </c>
      <c r="Q696" s="236"/>
      <c r="R696" s="237">
        <v>1285823</v>
      </c>
      <c r="S696" s="238">
        <v>670</v>
      </c>
      <c r="T696" s="238">
        <v>1286493</v>
      </c>
    </row>
    <row r="697" spans="1:20">
      <c r="A697" s="231">
        <v>97705</v>
      </c>
      <c r="B697" s="232" t="s">
        <v>1405</v>
      </c>
      <c r="C697" s="92">
        <v>4.7700000000000001E-5</v>
      </c>
      <c r="D697" s="92">
        <v>6.41E-5</v>
      </c>
      <c r="E697" s="236">
        <v>72872</v>
      </c>
      <c r="F697" s="236"/>
      <c r="G697" s="237">
        <v>4198</v>
      </c>
      <c r="H697" s="225">
        <v>17694</v>
      </c>
      <c r="I697" s="237">
        <v>10407</v>
      </c>
      <c r="J697" s="236">
        <v>5558</v>
      </c>
      <c r="K697" s="225">
        <f t="shared" si="20"/>
        <v>37857</v>
      </c>
      <c r="L697" s="236"/>
      <c r="M697" s="237">
        <v>2063</v>
      </c>
      <c r="N697" s="237">
        <v>0</v>
      </c>
      <c r="O697" s="236">
        <v>13023</v>
      </c>
      <c r="P697" s="225">
        <f t="shared" si="21"/>
        <v>15086</v>
      </c>
      <c r="Q697" s="236"/>
      <c r="R697" s="237">
        <v>24558</v>
      </c>
      <c r="S697" s="238">
        <v>105</v>
      </c>
      <c r="T697" s="238">
        <v>24663</v>
      </c>
    </row>
    <row r="698" spans="1:20">
      <c r="A698" s="231">
        <v>97711</v>
      </c>
      <c r="B698" s="232" t="s">
        <v>1406</v>
      </c>
      <c r="C698" s="92">
        <v>9.0879999999999997E-4</v>
      </c>
      <c r="D698" s="92">
        <v>9.3789999999999998E-4</v>
      </c>
      <c r="E698" s="236">
        <v>1388395</v>
      </c>
      <c r="F698" s="236"/>
      <c r="G698" s="237">
        <v>79984</v>
      </c>
      <c r="H698" s="225">
        <v>337104</v>
      </c>
      <c r="I698" s="237">
        <v>198282</v>
      </c>
      <c r="J698" s="236">
        <v>9966</v>
      </c>
      <c r="K698" s="225">
        <f t="shared" si="20"/>
        <v>625336</v>
      </c>
      <c r="L698" s="236"/>
      <c r="M698" s="237">
        <v>39301</v>
      </c>
      <c r="N698" s="237">
        <v>0</v>
      </c>
      <c r="O698" s="236">
        <v>31902</v>
      </c>
      <c r="P698" s="225">
        <f t="shared" si="21"/>
        <v>71203</v>
      </c>
      <c r="Q698" s="236"/>
      <c r="R698" s="237">
        <v>467890</v>
      </c>
      <c r="S698" s="238">
        <v>-1258</v>
      </c>
      <c r="T698" s="238">
        <v>466632</v>
      </c>
    </row>
    <row r="699" spans="1:20">
      <c r="A699" s="231">
        <v>97713</v>
      </c>
      <c r="B699" s="232" t="s">
        <v>1407</v>
      </c>
      <c r="C699" s="92">
        <v>4.1199999999999999E-5</v>
      </c>
      <c r="D699" s="92">
        <v>5.3699999999999997E-5</v>
      </c>
      <c r="E699" s="236">
        <v>62942</v>
      </c>
      <c r="F699" s="236"/>
      <c r="G699" s="237">
        <v>3626</v>
      </c>
      <c r="H699" s="225">
        <v>15283</v>
      </c>
      <c r="I699" s="237">
        <v>8989</v>
      </c>
      <c r="J699" s="236">
        <v>927</v>
      </c>
      <c r="K699" s="225">
        <f t="shared" si="20"/>
        <v>28825</v>
      </c>
      <c r="L699" s="236"/>
      <c r="M699" s="237">
        <v>1782</v>
      </c>
      <c r="N699" s="237">
        <v>0</v>
      </c>
      <c r="O699" s="236">
        <v>16932</v>
      </c>
      <c r="P699" s="225">
        <f t="shared" si="21"/>
        <v>18714</v>
      </c>
      <c r="Q699" s="236"/>
      <c r="R699" s="237">
        <v>21212</v>
      </c>
      <c r="S699" s="238">
        <v>-4802</v>
      </c>
      <c r="T699" s="238">
        <v>16410</v>
      </c>
    </row>
    <row r="700" spans="1:20">
      <c r="A700" s="231">
        <v>97717</v>
      </c>
      <c r="B700" s="232" t="s">
        <v>1408</v>
      </c>
      <c r="C700" s="92">
        <v>4.6999999999999999E-6</v>
      </c>
      <c r="D700" s="92">
        <v>7.5000000000000002E-6</v>
      </c>
      <c r="E700" s="236">
        <v>7180</v>
      </c>
      <c r="F700" s="236"/>
      <c r="G700" s="237">
        <v>414</v>
      </c>
      <c r="H700" s="225">
        <v>1743</v>
      </c>
      <c r="I700" s="237">
        <v>1025</v>
      </c>
      <c r="J700" s="236">
        <v>1078</v>
      </c>
      <c r="K700" s="225">
        <f t="shared" si="20"/>
        <v>4260</v>
      </c>
      <c r="L700" s="236"/>
      <c r="M700" s="237">
        <v>203</v>
      </c>
      <c r="N700" s="237">
        <v>0</v>
      </c>
      <c r="O700" s="236">
        <v>3394</v>
      </c>
      <c r="P700" s="225">
        <f t="shared" si="21"/>
        <v>3597</v>
      </c>
      <c r="Q700" s="236"/>
      <c r="R700" s="237">
        <v>2420</v>
      </c>
      <c r="S700" s="238">
        <v>-1550</v>
      </c>
      <c r="T700" s="238">
        <f>869+1</f>
        <v>870</v>
      </c>
    </row>
    <row r="701" spans="1:20">
      <c r="A701" s="231">
        <v>97721</v>
      </c>
      <c r="B701" s="232" t="s">
        <v>1409</v>
      </c>
      <c r="C701" s="92">
        <v>5.6599999999999999E-4</v>
      </c>
      <c r="D701" s="92">
        <v>5.7249999999999998E-4</v>
      </c>
      <c r="E701" s="236">
        <v>864691</v>
      </c>
      <c r="F701" s="236"/>
      <c r="G701" s="237">
        <v>49814</v>
      </c>
      <c r="H701" s="225">
        <v>209948</v>
      </c>
      <c r="I701" s="237">
        <v>123490</v>
      </c>
      <c r="J701" s="236">
        <v>13608</v>
      </c>
      <c r="K701" s="225">
        <f t="shared" si="20"/>
        <v>396860</v>
      </c>
      <c r="L701" s="236"/>
      <c r="M701" s="237">
        <v>24477</v>
      </c>
      <c r="N701" s="237">
        <v>0</v>
      </c>
      <c r="O701" s="236">
        <v>31303</v>
      </c>
      <c r="P701" s="225">
        <f t="shared" si="21"/>
        <v>55780</v>
      </c>
      <c r="Q701" s="236"/>
      <c r="R701" s="237">
        <v>291402</v>
      </c>
      <c r="S701" s="238">
        <v>-9026</v>
      </c>
      <c r="T701" s="238">
        <v>282376</v>
      </c>
    </row>
    <row r="702" spans="1:20">
      <c r="A702" s="231">
        <v>97727</v>
      </c>
      <c r="B702" s="232" t="s">
        <v>1410</v>
      </c>
      <c r="C702" s="92">
        <v>2.27E-5</v>
      </c>
      <c r="D702" s="92">
        <v>2.37E-5</v>
      </c>
      <c r="E702" s="236">
        <v>34679</v>
      </c>
      <c r="F702" s="236"/>
      <c r="G702" s="237">
        <v>1998</v>
      </c>
      <c r="H702" s="225">
        <v>8420</v>
      </c>
      <c r="I702" s="237">
        <v>4953</v>
      </c>
      <c r="J702" s="236">
        <v>0</v>
      </c>
      <c r="K702" s="225">
        <f t="shared" si="20"/>
        <v>15371</v>
      </c>
      <c r="L702" s="236"/>
      <c r="M702" s="237">
        <v>982</v>
      </c>
      <c r="N702" s="237">
        <v>0</v>
      </c>
      <c r="O702" s="236">
        <v>2260</v>
      </c>
      <c r="P702" s="225">
        <f t="shared" si="21"/>
        <v>3242</v>
      </c>
      <c r="Q702" s="236"/>
      <c r="R702" s="237">
        <v>11687</v>
      </c>
      <c r="S702" s="238">
        <v>-1260</v>
      </c>
      <c r="T702" s="238">
        <v>10427</v>
      </c>
    </row>
    <row r="703" spans="1:20">
      <c r="A703" s="231">
        <v>97731</v>
      </c>
      <c r="B703" s="232" t="s">
        <v>1411</v>
      </c>
      <c r="C703" s="92">
        <v>3.5500000000000002E-5</v>
      </c>
      <c r="D703" s="92">
        <v>3.7100000000000001E-5</v>
      </c>
      <c r="E703" s="236">
        <v>54234</v>
      </c>
      <c r="F703" s="236"/>
      <c r="G703" s="237">
        <v>3124</v>
      </c>
      <c r="H703" s="225">
        <v>13168</v>
      </c>
      <c r="I703" s="237">
        <v>7745</v>
      </c>
      <c r="J703" s="236">
        <v>6361</v>
      </c>
      <c r="K703" s="225">
        <f t="shared" si="20"/>
        <v>30398</v>
      </c>
      <c r="L703" s="236"/>
      <c r="M703" s="237">
        <v>1535</v>
      </c>
      <c r="N703" s="237">
        <v>0</v>
      </c>
      <c r="O703" s="236">
        <v>0</v>
      </c>
      <c r="P703" s="225">
        <f t="shared" si="21"/>
        <v>1535</v>
      </c>
      <c r="Q703" s="236"/>
      <c r="R703" s="237">
        <v>18277</v>
      </c>
      <c r="S703" s="238">
        <v>2961</v>
      </c>
      <c r="T703" s="238">
        <v>21238</v>
      </c>
    </row>
    <row r="704" spans="1:20">
      <c r="A704" s="231">
        <v>97801</v>
      </c>
      <c r="B704" s="232" t="s">
        <v>1412</v>
      </c>
      <c r="C704" s="92">
        <v>6.9303000000000003E-3</v>
      </c>
      <c r="D704" s="92">
        <v>7.3343000000000002E-3</v>
      </c>
      <c r="E704" s="236">
        <v>10587579</v>
      </c>
      <c r="F704" s="236"/>
      <c r="G704" s="237">
        <v>609943</v>
      </c>
      <c r="H704" s="225">
        <v>2570677</v>
      </c>
      <c r="I704" s="237">
        <v>1512053</v>
      </c>
      <c r="J704" s="236">
        <v>27764</v>
      </c>
      <c r="K704" s="225">
        <f t="shared" si="20"/>
        <v>4720437</v>
      </c>
      <c r="L704" s="236"/>
      <c r="M704" s="237">
        <v>299701</v>
      </c>
      <c r="N704" s="237">
        <v>0</v>
      </c>
      <c r="O704" s="236">
        <v>406805</v>
      </c>
      <c r="P704" s="225">
        <f t="shared" si="21"/>
        <v>706506</v>
      </c>
      <c r="Q704" s="236"/>
      <c r="R704" s="237">
        <v>3568023</v>
      </c>
      <c r="S704" s="238">
        <v>-97576</v>
      </c>
      <c r="T704" s="238">
        <v>3470447</v>
      </c>
    </row>
    <row r="705" spans="1:20">
      <c r="A705" s="231">
        <v>97802</v>
      </c>
      <c r="B705" s="232" t="s">
        <v>1413</v>
      </c>
      <c r="C705" s="92">
        <v>1.5300000000000001E-4</v>
      </c>
      <c r="D705" s="92">
        <v>1.8120000000000001E-4</v>
      </c>
      <c r="E705" s="236">
        <v>233742</v>
      </c>
      <c r="F705" s="236"/>
      <c r="G705" s="237">
        <v>13466</v>
      </c>
      <c r="H705" s="225">
        <v>56753</v>
      </c>
      <c r="I705" s="237">
        <v>33382</v>
      </c>
      <c r="J705" s="236">
        <v>9696</v>
      </c>
      <c r="K705" s="225">
        <f t="shared" si="20"/>
        <v>113297</v>
      </c>
      <c r="L705" s="236"/>
      <c r="M705" s="237">
        <v>6616</v>
      </c>
      <c r="N705" s="237">
        <v>0</v>
      </c>
      <c r="O705" s="236">
        <v>28235</v>
      </c>
      <c r="P705" s="225">
        <f t="shared" si="21"/>
        <v>34851</v>
      </c>
      <c r="Q705" s="236"/>
      <c r="R705" s="237">
        <v>78771</v>
      </c>
      <c r="S705" s="238">
        <v>-1176</v>
      </c>
      <c r="T705" s="238">
        <v>77595</v>
      </c>
    </row>
    <row r="706" spans="1:20">
      <c r="A706" s="231">
        <v>97803</v>
      </c>
      <c r="B706" s="232" t="s">
        <v>1414</v>
      </c>
      <c r="C706" s="92">
        <v>7.5300000000000001E-5</v>
      </c>
      <c r="D706" s="92">
        <v>7.9099999999999998E-5</v>
      </c>
      <c r="E706" s="236">
        <v>115038</v>
      </c>
      <c r="F706" s="236"/>
      <c r="G706" s="237">
        <v>6627</v>
      </c>
      <c r="H706" s="225">
        <v>27931</v>
      </c>
      <c r="I706" s="237">
        <v>16429</v>
      </c>
      <c r="J706" s="236">
        <v>5581</v>
      </c>
      <c r="K706" s="225">
        <f t="shared" si="20"/>
        <v>56568</v>
      </c>
      <c r="L706" s="236"/>
      <c r="M706" s="237">
        <v>3256</v>
      </c>
      <c r="N706" s="237">
        <v>0</v>
      </c>
      <c r="O706" s="236">
        <v>1522</v>
      </c>
      <c r="P706" s="225">
        <f t="shared" si="21"/>
        <v>4778</v>
      </c>
      <c r="Q706" s="236"/>
      <c r="R706" s="237">
        <v>38768</v>
      </c>
      <c r="S706" s="238">
        <v>3424</v>
      </c>
      <c r="T706" s="238">
        <v>42192</v>
      </c>
    </row>
    <row r="707" spans="1:20">
      <c r="A707" s="231">
        <v>97805</v>
      </c>
      <c r="B707" s="232" t="s">
        <v>1415</v>
      </c>
      <c r="C707" s="92">
        <v>7.9400000000000006E-5</v>
      </c>
      <c r="D707" s="92">
        <v>8.2600000000000002E-5</v>
      </c>
      <c r="E707" s="236">
        <v>121301</v>
      </c>
      <c r="F707" s="236"/>
      <c r="G707" s="237">
        <v>6988</v>
      </c>
      <c r="H707" s="225">
        <v>29452</v>
      </c>
      <c r="I707" s="237">
        <v>17323</v>
      </c>
      <c r="J707" s="236">
        <v>9711</v>
      </c>
      <c r="K707" s="225">
        <f t="shared" si="20"/>
        <v>63474</v>
      </c>
      <c r="L707" s="236"/>
      <c r="M707" s="237">
        <v>3434</v>
      </c>
      <c r="N707" s="237">
        <v>0</v>
      </c>
      <c r="O707" s="236">
        <v>226</v>
      </c>
      <c r="P707" s="225">
        <f t="shared" si="21"/>
        <v>3660</v>
      </c>
      <c r="Q707" s="236"/>
      <c r="R707" s="237">
        <v>40879</v>
      </c>
      <c r="S707" s="238">
        <v>3824</v>
      </c>
      <c r="T707" s="238">
        <v>44703</v>
      </c>
    </row>
    <row r="708" spans="1:20">
      <c r="A708" s="231">
        <v>97811</v>
      </c>
      <c r="B708" s="232" t="s">
        <v>1416</v>
      </c>
      <c r="C708" s="92">
        <v>2.4172E-3</v>
      </c>
      <c r="D708" s="92">
        <v>2.4088E-3</v>
      </c>
      <c r="E708" s="236">
        <v>3692812</v>
      </c>
      <c r="F708" s="236"/>
      <c r="G708" s="237">
        <v>212740</v>
      </c>
      <c r="H708" s="225">
        <v>896619</v>
      </c>
      <c r="I708" s="237">
        <v>527385</v>
      </c>
      <c r="J708" s="236">
        <v>0</v>
      </c>
      <c r="K708" s="225">
        <f t="shared" si="20"/>
        <v>1636744</v>
      </c>
      <c r="L708" s="236"/>
      <c r="M708" s="237">
        <v>104532</v>
      </c>
      <c r="N708" s="237">
        <v>0</v>
      </c>
      <c r="O708" s="236">
        <v>164062</v>
      </c>
      <c r="P708" s="225">
        <f t="shared" si="21"/>
        <v>268594</v>
      </c>
      <c r="Q708" s="236"/>
      <c r="R708" s="237">
        <v>1244481</v>
      </c>
      <c r="S708" s="238">
        <v>-73272</v>
      </c>
      <c r="T708" s="238">
        <v>1171209</v>
      </c>
    </row>
    <row r="709" spans="1:20">
      <c r="A709" s="231">
        <v>97817</v>
      </c>
      <c r="B709" s="232" t="s">
        <v>1417</v>
      </c>
      <c r="C709" s="92">
        <v>2.2200000000000001E-5</v>
      </c>
      <c r="D709" s="92">
        <v>3.9999999999999998E-6</v>
      </c>
      <c r="E709" s="236">
        <v>33915</v>
      </c>
      <c r="F709" s="236"/>
      <c r="G709" s="237">
        <v>1954</v>
      </c>
      <c r="H709" s="225">
        <v>8235</v>
      </c>
      <c r="I709" s="237">
        <v>4844</v>
      </c>
      <c r="J709" s="236">
        <v>18101</v>
      </c>
      <c r="K709" s="225">
        <f t="shared" si="20"/>
        <v>33134</v>
      </c>
      <c r="L709" s="236"/>
      <c r="M709" s="237">
        <v>960</v>
      </c>
      <c r="N709" s="237">
        <v>0</v>
      </c>
      <c r="O709" s="236">
        <v>2418</v>
      </c>
      <c r="P709" s="225">
        <f t="shared" si="21"/>
        <v>3378</v>
      </c>
      <c r="Q709" s="236"/>
      <c r="R709" s="237">
        <v>11430</v>
      </c>
      <c r="S709" s="238">
        <v>3916</v>
      </c>
      <c r="T709" s="238">
        <f>15345+1</f>
        <v>15346</v>
      </c>
    </row>
    <row r="710" spans="1:20">
      <c r="A710" s="231">
        <v>97818</v>
      </c>
      <c r="B710" s="232" t="s">
        <v>1418</v>
      </c>
      <c r="C710" s="92">
        <v>2.1999999999999999E-5</v>
      </c>
      <c r="D710" s="92">
        <v>2.12E-5</v>
      </c>
      <c r="E710" s="236">
        <v>33610</v>
      </c>
      <c r="F710" s="236"/>
      <c r="G710" s="237">
        <v>1936</v>
      </c>
      <c r="H710" s="225">
        <v>8160</v>
      </c>
      <c r="I710" s="237">
        <v>4800</v>
      </c>
      <c r="J710" s="236">
        <v>6200</v>
      </c>
      <c r="K710" s="225">
        <f t="shared" si="20"/>
        <v>21096</v>
      </c>
      <c r="L710" s="236"/>
      <c r="M710" s="237">
        <v>951</v>
      </c>
      <c r="N710" s="237">
        <v>0</v>
      </c>
      <c r="O710" s="236">
        <v>2136</v>
      </c>
      <c r="P710" s="225">
        <f t="shared" si="21"/>
        <v>3087</v>
      </c>
      <c r="Q710" s="236"/>
      <c r="R710" s="237">
        <v>11327</v>
      </c>
      <c r="S710" s="238">
        <v>134</v>
      </c>
      <c r="T710" s="238">
        <v>11461</v>
      </c>
    </row>
    <row r="711" spans="1:20">
      <c r="A711" s="231">
        <v>97821</v>
      </c>
      <c r="B711" s="232" t="s">
        <v>1419</v>
      </c>
      <c r="C711" s="92">
        <v>1.126E-4</v>
      </c>
      <c r="D711" s="92">
        <v>1.1620000000000001E-4</v>
      </c>
      <c r="E711" s="236">
        <v>172022</v>
      </c>
      <c r="F711" s="236"/>
      <c r="G711" s="237">
        <v>9910</v>
      </c>
      <c r="H711" s="225">
        <v>41767</v>
      </c>
      <c r="I711" s="237">
        <v>24567</v>
      </c>
      <c r="J711" s="236">
        <v>5355</v>
      </c>
      <c r="K711" s="225">
        <f t="shared" si="20"/>
        <v>81599</v>
      </c>
      <c r="L711" s="236"/>
      <c r="M711" s="237">
        <v>4869</v>
      </c>
      <c r="N711" s="237">
        <v>0</v>
      </c>
      <c r="O711" s="236">
        <v>16228</v>
      </c>
      <c r="P711" s="225">
        <f t="shared" si="21"/>
        <v>21097</v>
      </c>
      <c r="Q711" s="236"/>
      <c r="R711" s="237">
        <v>57971</v>
      </c>
      <c r="S711" s="238">
        <v>-9342</v>
      </c>
      <c r="T711" s="238">
        <f>48630-1</f>
        <v>48629</v>
      </c>
    </row>
    <row r="712" spans="1:20">
      <c r="A712" s="231">
        <v>97823</v>
      </c>
      <c r="B712" s="232" t="s">
        <v>1420</v>
      </c>
      <c r="C712" s="92">
        <v>2.3300000000000001E-5</v>
      </c>
      <c r="D712" s="92">
        <v>2.4600000000000002E-5</v>
      </c>
      <c r="E712" s="236">
        <v>35596</v>
      </c>
      <c r="F712" s="236"/>
      <c r="G712" s="237">
        <v>2051</v>
      </c>
      <c r="H712" s="225">
        <v>8642</v>
      </c>
      <c r="I712" s="237">
        <v>5084</v>
      </c>
      <c r="J712" s="236">
        <v>1711</v>
      </c>
      <c r="K712" s="225">
        <f t="shared" si="20"/>
        <v>17488</v>
      </c>
      <c r="L712" s="236"/>
      <c r="M712" s="237">
        <v>1008</v>
      </c>
      <c r="N712" s="237">
        <v>0</v>
      </c>
      <c r="O712" s="236">
        <v>591</v>
      </c>
      <c r="P712" s="225">
        <f t="shared" si="21"/>
        <v>1599</v>
      </c>
      <c r="Q712" s="236"/>
      <c r="R712" s="237">
        <v>11996</v>
      </c>
      <c r="S712" s="238">
        <v>-77</v>
      </c>
      <c r="T712" s="238">
        <v>11919</v>
      </c>
    </row>
    <row r="713" spans="1:20">
      <c r="A713" s="231">
        <v>97831</v>
      </c>
      <c r="B713" s="232" t="s">
        <v>1421</v>
      </c>
      <c r="C713" s="92">
        <v>1.7009999999999999E-4</v>
      </c>
      <c r="D713" s="92">
        <v>1.482E-4</v>
      </c>
      <c r="E713" s="236">
        <v>259866</v>
      </c>
      <c r="F713" s="236"/>
      <c r="G713" s="237">
        <v>14971</v>
      </c>
      <c r="H713" s="225">
        <v>63096</v>
      </c>
      <c r="I713" s="237">
        <v>37112</v>
      </c>
      <c r="J713" s="236">
        <v>15261</v>
      </c>
      <c r="K713" s="225">
        <f t="shared" si="20"/>
        <v>130440</v>
      </c>
      <c r="L713" s="236"/>
      <c r="M713" s="237">
        <v>7356</v>
      </c>
      <c r="N713" s="237">
        <v>0</v>
      </c>
      <c r="O713" s="236">
        <v>8418</v>
      </c>
      <c r="P713" s="225">
        <f t="shared" si="21"/>
        <v>15774</v>
      </c>
      <c r="Q713" s="236"/>
      <c r="R713" s="237">
        <v>87575</v>
      </c>
      <c r="S713" s="238">
        <v>-2075</v>
      </c>
      <c r="T713" s="238">
        <v>85500</v>
      </c>
    </row>
    <row r="714" spans="1:20">
      <c r="A714" s="231">
        <v>97837</v>
      </c>
      <c r="B714" s="232" t="s">
        <v>1422</v>
      </c>
      <c r="C714" s="92">
        <v>1.0200000000000001E-5</v>
      </c>
      <c r="D714" s="92">
        <v>8.8000000000000004E-6</v>
      </c>
      <c r="E714" s="236">
        <v>15583</v>
      </c>
      <c r="F714" s="236"/>
      <c r="G714" s="237">
        <v>898</v>
      </c>
      <c r="H714" s="225">
        <v>3784</v>
      </c>
      <c r="I714" s="237">
        <v>2225</v>
      </c>
      <c r="J714" s="236">
        <v>3302</v>
      </c>
      <c r="K714" s="225">
        <f t="shared" si="20"/>
        <v>10209</v>
      </c>
      <c r="L714" s="236"/>
      <c r="M714" s="237">
        <v>441</v>
      </c>
      <c r="N714" s="237">
        <v>0</v>
      </c>
      <c r="O714" s="236">
        <v>214</v>
      </c>
      <c r="P714" s="225">
        <f t="shared" si="21"/>
        <v>655</v>
      </c>
      <c r="Q714" s="236"/>
      <c r="R714" s="237">
        <v>5251</v>
      </c>
      <c r="S714" s="238">
        <v>1260</v>
      </c>
      <c r="T714" s="238">
        <v>6511</v>
      </c>
    </row>
    <row r="715" spans="1:20">
      <c r="A715" s="231">
        <v>97840</v>
      </c>
      <c r="B715" s="232" t="s">
        <v>1423</v>
      </c>
      <c r="C715" s="92">
        <v>1.3190000000000001E-4</v>
      </c>
      <c r="D715" s="92">
        <v>1.403E-4</v>
      </c>
      <c r="E715" s="236">
        <v>201507</v>
      </c>
      <c r="F715" s="236"/>
      <c r="G715" s="237">
        <v>11609</v>
      </c>
      <c r="H715" s="225">
        <v>48926</v>
      </c>
      <c r="I715" s="237">
        <v>28778</v>
      </c>
      <c r="J715" s="236">
        <v>76227</v>
      </c>
      <c r="K715" s="225">
        <f t="shared" ref="K715:K778" si="23">G715+H715+I715+J715</f>
        <v>165540</v>
      </c>
      <c r="L715" s="236"/>
      <c r="M715" s="237">
        <v>5704</v>
      </c>
      <c r="N715" s="237">
        <v>0</v>
      </c>
      <c r="O715" s="236">
        <v>964</v>
      </c>
      <c r="P715" s="225">
        <f t="shared" ref="P715:P778" si="24">M715+N715+O715</f>
        <v>6668</v>
      </c>
      <c r="Q715" s="236"/>
      <c r="R715" s="237">
        <v>67908</v>
      </c>
      <c r="S715" s="238">
        <v>27073</v>
      </c>
      <c r="T715" s="238">
        <v>94981</v>
      </c>
    </row>
    <row r="716" spans="1:20">
      <c r="A716" s="231">
        <v>97841</v>
      </c>
      <c r="B716" s="232" t="s">
        <v>1424</v>
      </c>
      <c r="C716" s="92">
        <v>1.31E-5</v>
      </c>
      <c r="D716" s="92">
        <v>1.45E-5</v>
      </c>
      <c r="E716" s="236">
        <v>20013</v>
      </c>
      <c r="F716" s="236"/>
      <c r="G716" s="237">
        <v>1153</v>
      </c>
      <c r="H716" s="225">
        <v>4859</v>
      </c>
      <c r="I716" s="237">
        <v>2858</v>
      </c>
      <c r="J716" s="236">
        <v>410</v>
      </c>
      <c r="K716" s="225">
        <f t="shared" si="23"/>
        <v>9280</v>
      </c>
      <c r="L716" s="236"/>
      <c r="M716" s="237">
        <v>567</v>
      </c>
      <c r="N716" s="237">
        <v>0</v>
      </c>
      <c r="O716" s="236">
        <v>4768</v>
      </c>
      <c r="P716" s="225">
        <f t="shared" si="24"/>
        <v>5335</v>
      </c>
      <c r="Q716" s="236"/>
      <c r="R716" s="237">
        <v>6744</v>
      </c>
      <c r="S716" s="238">
        <v>-3859</v>
      </c>
      <c r="T716" s="238">
        <v>2885</v>
      </c>
    </row>
    <row r="717" spans="1:20">
      <c r="A717" s="231">
        <v>97847</v>
      </c>
      <c r="B717" s="232" t="s">
        <v>1425</v>
      </c>
      <c r="C717" s="92">
        <v>2.0999999999999998E-6</v>
      </c>
      <c r="D717" s="92">
        <v>2.2000000000000001E-6</v>
      </c>
      <c r="E717" s="236">
        <v>3208</v>
      </c>
      <c r="F717" s="236"/>
      <c r="G717" s="237">
        <v>185</v>
      </c>
      <c r="H717" s="225">
        <v>779</v>
      </c>
      <c r="I717" s="237">
        <v>458</v>
      </c>
      <c r="J717" s="236">
        <v>1433</v>
      </c>
      <c r="K717" s="225">
        <f t="shared" si="23"/>
        <v>2855</v>
      </c>
      <c r="L717" s="236"/>
      <c r="M717" s="237">
        <v>91</v>
      </c>
      <c r="N717" s="237">
        <v>0</v>
      </c>
      <c r="O717" s="236">
        <v>72</v>
      </c>
      <c r="P717" s="225">
        <f t="shared" si="24"/>
        <v>163</v>
      </c>
      <c r="Q717" s="236"/>
      <c r="R717" s="237">
        <v>1081</v>
      </c>
      <c r="S717" s="238">
        <v>355</v>
      </c>
      <c r="T717" s="238">
        <v>1436</v>
      </c>
    </row>
    <row r="718" spans="1:20">
      <c r="A718" s="231">
        <v>97851</v>
      </c>
      <c r="B718" s="232" t="s">
        <v>1426</v>
      </c>
      <c r="C718" s="92">
        <v>2.7799999999999998E-4</v>
      </c>
      <c r="D718" s="92">
        <v>2.7460000000000001E-4</v>
      </c>
      <c r="E718" s="236">
        <v>424707</v>
      </c>
      <c r="F718" s="236"/>
      <c r="G718" s="237">
        <v>24467</v>
      </c>
      <c r="H718" s="225">
        <v>103120</v>
      </c>
      <c r="I718" s="237">
        <v>60654</v>
      </c>
      <c r="J718" s="236">
        <v>1448</v>
      </c>
      <c r="K718" s="225">
        <f t="shared" si="23"/>
        <v>189689</v>
      </c>
      <c r="L718" s="236"/>
      <c r="M718" s="237">
        <v>12022</v>
      </c>
      <c r="N718" s="237">
        <v>0</v>
      </c>
      <c r="O718" s="236">
        <v>12710</v>
      </c>
      <c r="P718" s="225">
        <f t="shared" si="24"/>
        <v>24732</v>
      </c>
      <c r="Q718" s="236"/>
      <c r="R718" s="237">
        <v>143127</v>
      </c>
      <c r="S718" s="238">
        <v>-2512</v>
      </c>
      <c r="T718" s="238">
        <v>140615</v>
      </c>
    </row>
    <row r="719" spans="1:20">
      <c r="A719" s="231">
        <v>97853</v>
      </c>
      <c r="B719" s="232" t="s">
        <v>1427</v>
      </c>
      <c r="C719" s="92">
        <v>1.0289999999999999E-4</v>
      </c>
      <c r="D719" s="92">
        <v>9.1600000000000004E-5</v>
      </c>
      <c r="E719" s="236">
        <v>157203</v>
      </c>
      <c r="F719" s="236"/>
      <c r="G719" s="237">
        <v>9056</v>
      </c>
      <c r="H719" s="225">
        <v>38169</v>
      </c>
      <c r="I719" s="237">
        <v>22451</v>
      </c>
      <c r="J719" s="236">
        <v>8759</v>
      </c>
      <c r="K719" s="225">
        <f t="shared" si="23"/>
        <v>78435</v>
      </c>
      <c r="L719" s="236"/>
      <c r="M719" s="237">
        <v>4450</v>
      </c>
      <c r="N719" s="237">
        <v>0</v>
      </c>
      <c r="O719" s="236">
        <v>9750</v>
      </c>
      <c r="P719" s="225">
        <f t="shared" si="24"/>
        <v>14200</v>
      </c>
      <c r="Q719" s="236"/>
      <c r="R719" s="237">
        <v>52977</v>
      </c>
      <c r="S719" s="238">
        <v>429</v>
      </c>
      <c r="T719" s="238">
        <f>53407-1</f>
        <v>53406</v>
      </c>
    </row>
    <row r="720" spans="1:20">
      <c r="A720" s="231">
        <v>97861</v>
      </c>
      <c r="B720" s="232" t="s">
        <v>1428</v>
      </c>
      <c r="C720" s="92">
        <v>6.7000000000000002E-5</v>
      </c>
      <c r="D720" s="92">
        <v>6.8499999999999998E-5</v>
      </c>
      <c r="E720" s="236">
        <v>102357</v>
      </c>
      <c r="F720" s="236"/>
      <c r="G720" s="237">
        <v>5897</v>
      </c>
      <c r="H720" s="225">
        <v>24852</v>
      </c>
      <c r="I720" s="237">
        <v>14618</v>
      </c>
      <c r="J720" s="236">
        <v>1771</v>
      </c>
      <c r="K720" s="225">
        <f t="shared" si="23"/>
        <v>47138</v>
      </c>
      <c r="L720" s="236"/>
      <c r="M720" s="237">
        <v>2897</v>
      </c>
      <c r="N720" s="237">
        <v>0</v>
      </c>
      <c r="O720" s="236">
        <v>7954</v>
      </c>
      <c r="P720" s="225">
        <f t="shared" si="24"/>
        <v>10851</v>
      </c>
      <c r="Q720" s="236"/>
      <c r="R720" s="237">
        <v>34495</v>
      </c>
      <c r="S720" s="238">
        <v>-3725</v>
      </c>
      <c r="T720" s="238">
        <f>30769+1</f>
        <v>30770</v>
      </c>
    </row>
    <row r="721" spans="1:20">
      <c r="A721" s="231">
        <v>97871</v>
      </c>
      <c r="B721" s="232" t="s">
        <v>1429</v>
      </c>
      <c r="C721" s="92">
        <v>2.9930000000000001E-4</v>
      </c>
      <c r="D721" s="92">
        <v>3.1500000000000001E-4</v>
      </c>
      <c r="E721" s="236">
        <v>457247</v>
      </c>
      <c r="F721" s="236"/>
      <c r="G721" s="237">
        <v>26342</v>
      </c>
      <c r="H721" s="225">
        <v>111020</v>
      </c>
      <c r="I721" s="237">
        <v>65301</v>
      </c>
      <c r="J721" s="236">
        <v>217143</v>
      </c>
      <c r="K721" s="225">
        <f t="shared" si="23"/>
        <v>419806</v>
      </c>
      <c r="L721" s="236"/>
      <c r="M721" s="237">
        <v>12943</v>
      </c>
      <c r="N721" s="237">
        <v>0</v>
      </c>
      <c r="O721" s="236">
        <v>0</v>
      </c>
      <c r="P721" s="225">
        <f t="shared" si="24"/>
        <v>12943</v>
      </c>
      <c r="Q721" s="236"/>
      <c r="R721" s="237">
        <v>154093</v>
      </c>
      <c r="S721" s="238">
        <v>79417</v>
      </c>
      <c r="T721" s="238">
        <f>233509+1</f>
        <v>233510</v>
      </c>
    </row>
    <row r="722" spans="1:20">
      <c r="A722" s="231">
        <v>97877</v>
      </c>
      <c r="B722" s="232" t="s">
        <v>1430</v>
      </c>
      <c r="C722" s="92">
        <v>1.9E-6</v>
      </c>
      <c r="D722" s="92">
        <v>2.2000000000000001E-6</v>
      </c>
      <c r="E722" s="236">
        <v>2903</v>
      </c>
      <c r="F722" s="236"/>
      <c r="G722" s="237">
        <v>167</v>
      </c>
      <c r="H722" s="225">
        <v>705</v>
      </c>
      <c r="I722" s="237">
        <v>415</v>
      </c>
      <c r="J722" s="236">
        <v>1638</v>
      </c>
      <c r="K722" s="225">
        <f t="shared" si="23"/>
        <v>2925</v>
      </c>
      <c r="L722" s="236"/>
      <c r="M722" s="237">
        <v>82</v>
      </c>
      <c r="N722" s="237">
        <v>0</v>
      </c>
      <c r="O722" s="236">
        <v>0</v>
      </c>
      <c r="P722" s="225">
        <f t="shared" si="24"/>
        <v>82</v>
      </c>
      <c r="Q722" s="236"/>
      <c r="R722" s="237">
        <v>978</v>
      </c>
      <c r="S722" s="238">
        <v>648</v>
      </c>
      <c r="T722" s="238">
        <f>1627-1</f>
        <v>1626</v>
      </c>
    </row>
    <row r="723" spans="1:20">
      <c r="A723" s="231">
        <v>97901</v>
      </c>
      <c r="B723" s="232" t="s">
        <v>1431</v>
      </c>
      <c r="C723" s="92">
        <v>4.2658000000000001E-3</v>
      </c>
      <c r="D723" s="92">
        <v>4.3616999999999996E-3</v>
      </c>
      <c r="E723" s="236">
        <v>6516961</v>
      </c>
      <c r="F723" s="236"/>
      <c r="G723" s="237">
        <v>375437</v>
      </c>
      <c r="H723" s="225">
        <v>1582326</v>
      </c>
      <c r="I723" s="237">
        <v>930712</v>
      </c>
      <c r="J723" s="236">
        <v>88360</v>
      </c>
      <c r="K723" s="225">
        <f t="shared" si="23"/>
        <v>2976835</v>
      </c>
      <c r="L723" s="236"/>
      <c r="M723" s="237">
        <v>184475</v>
      </c>
      <c r="N723" s="237">
        <v>0</v>
      </c>
      <c r="O723" s="236">
        <v>14865</v>
      </c>
      <c r="P723" s="225">
        <f t="shared" si="24"/>
        <v>199340</v>
      </c>
      <c r="Q723" s="236"/>
      <c r="R723" s="237">
        <v>2196222</v>
      </c>
      <c r="S723" s="238">
        <v>35112</v>
      </c>
      <c r="T723" s="238">
        <v>2231334</v>
      </c>
    </row>
    <row r="724" spans="1:20">
      <c r="A724" s="231">
        <v>97911</v>
      </c>
      <c r="B724" s="232" t="s">
        <v>1432</v>
      </c>
      <c r="C724" s="92">
        <v>1.3005E-3</v>
      </c>
      <c r="D724" s="92">
        <v>1.3190000000000001E-3</v>
      </c>
      <c r="E724" s="236">
        <v>1986804</v>
      </c>
      <c r="F724" s="236"/>
      <c r="G724" s="237">
        <v>114458</v>
      </c>
      <c r="H724" s="225">
        <v>482398</v>
      </c>
      <c r="I724" s="237">
        <v>283743</v>
      </c>
      <c r="J724" s="236">
        <v>31167</v>
      </c>
      <c r="K724" s="225">
        <f t="shared" si="23"/>
        <v>911766</v>
      </c>
      <c r="L724" s="236"/>
      <c r="M724" s="237">
        <v>56240</v>
      </c>
      <c r="N724" s="237">
        <v>0</v>
      </c>
      <c r="O724" s="236">
        <v>28435</v>
      </c>
      <c r="P724" s="225">
        <f t="shared" si="24"/>
        <v>84675</v>
      </c>
      <c r="Q724" s="236"/>
      <c r="R724" s="237">
        <v>669555</v>
      </c>
      <c r="S724" s="238">
        <v>10548</v>
      </c>
      <c r="T724" s="238">
        <v>680103</v>
      </c>
    </row>
    <row r="725" spans="1:20">
      <c r="A725" s="231">
        <v>97913</v>
      </c>
      <c r="B725" s="232" t="s">
        <v>1433</v>
      </c>
      <c r="C725" s="92">
        <v>3.5899999999999998E-5</v>
      </c>
      <c r="D725" s="92">
        <v>3.7400000000000001E-5</v>
      </c>
      <c r="E725" s="236">
        <v>54845</v>
      </c>
      <c r="F725" s="236"/>
      <c r="G725" s="237">
        <v>3160</v>
      </c>
      <c r="H725" s="225">
        <v>13317</v>
      </c>
      <c r="I725" s="237">
        <v>7833</v>
      </c>
      <c r="J725" s="236">
        <v>15616</v>
      </c>
      <c r="K725" s="225">
        <f t="shared" si="23"/>
        <v>39926</v>
      </c>
      <c r="L725" s="236"/>
      <c r="M725" s="237">
        <v>1552</v>
      </c>
      <c r="N725" s="237">
        <v>0</v>
      </c>
      <c r="O725" s="236">
        <v>0</v>
      </c>
      <c r="P725" s="225">
        <f t="shared" si="24"/>
        <v>1552</v>
      </c>
      <c r="Q725" s="236"/>
      <c r="R725" s="237">
        <v>18483</v>
      </c>
      <c r="S725" s="238">
        <v>5369</v>
      </c>
      <c r="T725" s="238">
        <f>23851+1</f>
        <v>23852</v>
      </c>
    </row>
    <row r="726" spans="1:20">
      <c r="A726" s="231">
        <v>97917</v>
      </c>
      <c r="B726" s="232" t="s">
        <v>1434</v>
      </c>
      <c r="C726" s="92">
        <v>2.0999999999999999E-5</v>
      </c>
      <c r="D726" s="92">
        <v>1.98E-5</v>
      </c>
      <c r="E726" s="236">
        <v>32082</v>
      </c>
      <c r="F726" s="236"/>
      <c r="G726" s="237">
        <v>1848</v>
      </c>
      <c r="H726" s="225">
        <v>7790</v>
      </c>
      <c r="I726" s="237">
        <v>4582</v>
      </c>
      <c r="J726" s="236">
        <v>7811</v>
      </c>
      <c r="K726" s="225">
        <f t="shared" si="23"/>
        <v>22031</v>
      </c>
      <c r="L726" s="236"/>
      <c r="M726" s="237">
        <v>908</v>
      </c>
      <c r="N726" s="237">
        <v>0</v>
      </c>
      <c r="O726" s="236">
        <v>0</v>
      </c>
      <c r="P726" s="225">
        <f t="shared" si="24"/>
        <v>908</v>
      </c>
      <c r="Q726" s="236"/>
      <c r="R726" s="237">
        <v>10812</v>
      </c>
      <c r="S726" s="238">
        <v>3168</v>
      </c>
      <c r="T726" s="238">
        <f>13979+1</f>
        <v>13980</v>
      </c>
    </row>
    <row r="727" spans="1:20">
      <c r="A727" s="231">
        <v>97921</v>
      </c>
      <c r="B727" s="232" t="s">
        <v>1435</v>
      </c>
      <c r="C727" s="92">
        <v>2.1699999999999999E-4</v>
      </c>
      <c r="D727" s="92">
        <v>2.2169999999999999E-4</v>
      </c>
      <c r="E727" s="236">
        <v>331516</v>
      </c>
      <c r="F727" s="236"/>
      <c r="G727" s="237">
        <v>19098</v>
      </c>
      <c r="H727" s="225">
        <v>80493</v>
      </c>
      <c r="I727" s="237">
        <v>47345</v>
      </c>
      <c r="J727" s="236">
        <v>11562</v>
      </c>
      <c r="K727" s="225">
        <f t="shared" si="23"/>
        <v>158498</v>
      </c>
      <c r="L727" s="236"/>
      <c r="M727" s="237">
        <v>9384</v>
      </c>
      <c r="N727" s="237">
        <v>0</v>
      </c>
      <c r="O727" s="236">
        <v>5992</v>
      </c>
      <c r="P727" s="225">
        <f t="shared" si="24"/>
        <v>15376</v>
      </c>
      <c r="Q727" s="236"/>
      <c r="R727" s="237">
        <v>111721</v>
      </c>
      <c r="S727" s="238">
        <v>3241</v>
      </c>
      <c r="T727" s="238">
        <v>114962</v>
      </c>
    </row>
    <row r="728" spans="1:20">
      <c r="A728" s="231">
        <v>97931</v>
      </c>
      <c r="B728" s="232" t="s">
        <v>1436</v>
      </c>
      <c r="C728" s="92">
        <v>7.0199999999999999E-5</v>
      </c>
      <c r="D728" s="92">
        <v>6.1600000000000007E-5</v>
      </c>
      <c r="E728" s="236">
        <v>107246</v>
      </c>
      <c r="F728" s="236"/>
      <c r="G728" s="237">
        <v>6178</v>
      </c>
      <c r="H728" s="225">
        <v>26039</v>
      </c>
      <c r="I728" s="237">
        <v>15316</v>
      </c>
      <c r="J728" s="236">
        <v>18162</v>
      </c>
      <c r="K728" s="225">
        <f t="shared" si="23"/>
        <v>65695</v>
      </c>
      <c r="L728" s="236"/>
      <c r="M728" s="237">
        <v>3036</v>
      </c>
      <c r="N728" s="237">
        <v>0</v>
      </c>
      <c r="O728" s="236">
        <v>7492</v>
      </c>
      <c r="P728" s="225">
        <f t="shared" si="24"/>
        <v>10528</v>
      </c>
      <c r="Q728" s="236"/>
      <c r="R728" s="237">
        <v>36142</v>
      </c>
      <c r="S728" s="238">
        <v>2117</v>
      </c>
      <c r="T728" s="238">
        <v>38259</v>
      </c>
    </row>
    <row r="729" spans="1:20">
      <c r="A729" s="231">
        <v>97941</v>
      </c>
      <c r="B729" s="232" t="s">
        <v>1437</v>
      </c>
      <c r="C729" s="92">
        <v>2.0479999999999999E-4</v>
      </c>
      <c r="D729" s="92">
        <v>2.3330000000000001E-4</v>
      </c>
      <c r="E729" s="236">
        <v>312878</v>
      </c>
      <c r="F729" s="236"/>
      <c r="G729" s="237">
        <v>18025</v>
      </c>
      <c r="H729" s="225">
        <v>75967</v>
      </c>
      <c r="I729" s="237">
        <v>44683</v>
      </c>
      <c r="J729" s="236">
        <v>17999</v>
      </c>
      <c r="K729" s="225">
        <f t="shared" si="23"/>
        <v>156674</v>
      </c>
      <c r="L729" s="236"/>
      <c r="M729" s="237">
        <v>8857</v>
      </c>
      <c r="N729" s="237">
        <v>0</v>
      </c>
      <c r="O729" s="236">
        <v>8897</v>
      </c>
      <c r="P729" s="225">
        <f t="shared" si="24"/>
        <v>17754</v>
      </c>
      <c r="Q729" s="236"/>
      <c r="R729" s="237">
        <v>105440</v>
      </c>
      <c r="S729" s="238">
        <v>7001</v>
      </c>
      <c r="T729" s="238">
        <v>112441</v>
      </c>
    </row>
    <row r="730" spans="1:20">
      <c r="A730" s="231">
        <v>97947</v>
      </c>
      <c r="B730" s="232" t="s">
        <v>1438</v>
      </c>
      <c r="C730" s="92">
        <v>1.3900000000000001E-5</v>
      </c>
      <c r="D730" s="92">
        <v>1.5500000000000001E-5</v>
      </c>
      <c r="E730" s="236">
        <v>21235</v>
      </c>
      <c r="F730" s="236"/>
      <c r="G730" s="237">
        <v>1223</v>
      </c>
      <c r="H730" s="225">
        <v>5156</v>
      </c>
      <c r="I730" s="237">
        <v>3033</v>
      </c>
      <c r="J730" s="236">
        <v>9518</v>
      </c>
      <c r="K730" s="225">
        <f t="shared" si="23"/>
        <v>18930</v>
      </c>
      <c r="L730" s="236"/>
      <c r="M730" s="237">
        <v>601</v>
      </c>
      <c r="N730" s="237">
        <v>0</v>
      </c>
      <c r="O730" s="236">
        <v>306</v>
      </c>
      <c r="P730" s="225">
        <f t="shared" si="24"/>
        <v>907</v>
      </c>
      <c r="Q730" s="236"/>
      <c r="R730" s="237">
        <v>7156</v>
      </c>
      <c r="S730" s="238">
        <v>3116</v>
      </c>
      <c r="T730" s="238">
        <v>10272</v>
      </c>
    </row>
    <row r="731" spans="1:20">
      <c r="A731" s="231">
        <v>97948</v>
      </c>
      <c r="B731" s="232" t="s">
        <v>1439</v>
      </c>
      <c r="C731" s="92">
        <v>2.2099999999999998E-5</v>
      </c>
      <c r="D731" s="92">
        <v>3.5200000000000002E-5</v>
      </c>
      <c r="E731" s="236">
        <v>33763</v>
      </c>
      <c r="F731" s="236"/>
      <c r="G731" s="237">
        <v>1945</v>
      </c>
      <c r="H731" s="225">
        <v>8198</v>
      </c>
      <c r="I731" s="237">
        <v>4822</v>
      </c>
      <c r="J731" s="236">
        <v>1909</v>
      </c>
      <c r="K731" s="225">
        <f t="shared" si="23"/>
        <v>16874</v>
      </c>
      <c r="L731" s="236"/>
      <c r="M731" s="237">
        <v>956</v>
      </c>
      <c r="N731" s="237">
        <v>0</v>
      </c>
      <c r="O731" s="236">
        <v>8330</v>
      </c>
      <c r="P731" s="225">
        <f t="shared" si="24"/>
        <v>9286</v>
      </c>
      <c r="Q731" s="236"/>
      <c r="R731" s="237">
        <v>11378</v>
      </c>
      <c r="S731" s="238">
        <v>-972</v>
      </c>
      <c r="T731" s="238">
        <v>10406</v>
      </c>
    </row>
    <row r="732" spans="1:20">
      <c r="A732" s="231">
        <v>97951</v>
      </c>
      <c r="B732" s="232" t="s">
        <v>1440</v>
      </c>
      <c r="C732" s="92">
        <v>1.2440999999999999E-3</v>
      </c>
      <c r="D732" s="92">
        <v>1.2497000000000001E-3</v>
      </c>
      <c r="E732" s="236">
        <v>1900640</v>
      </c>
      <c r="F732" s="236"/>
      <c r="G732" s="237">
        <v>109494</v>
      </c>
      <c r="H732" s="225">
        <v>461477</v>
      </c>
      <c r="I732" s="237">
        <v>271438</v>
      </c>
      <c r="J732" s="236">
        <v>31864</v>
      </c>
      <c r="K732" s="225">
        <f t="shared" si="23"/>
        <v>874273</v>
      </c>
      <c r="L732" s="236"/>
      <c r="M732" s="237">
        <v>53801</v>
      </c>
      <c r="N732" s="237">
        <v>0</v>
      </c>
      <c r="O732" s="236">
        <v>7067</v>
      </c>
      <c r="P732" s="225">
        <f t="shared" si="24"/>
        <v>60868</v>
      </c>
      <c r="Q732" s="236"/>
      <c r="R732" s="237">
        <v>640517</v>
      </c>
      <c r="S732" s="238">
        <v>4295</v>
      </c>
      <c r="T732" s="238">
        <f>644813-1</f>
        <v>644812</v>
      </c>
    </row>
    <row r="733" spans="1:20">
      <c r="A733" s="231">
        <v>97957</v>
      </c>
      <c r="B733" s="232" t="s">
        <v>1441</v>
      </c>
      <c r="C733" s="92">
        <v>1.8700000000000001E-5</v>
      </c>
      <c r="D733" s="92">
        <v>1.9599999999999999E-5</v>
      </c>
      <c r="E733" s="236">
        <v>28568</v>
      </c>
      <c r="F733" s="236"/>
      <c r="G733" s="237">
        <v>1646</v>
      </c>
      <c r="H733" s="225">
        <v>6936</v>
      </c>
      <c r="I733" s="237">
        <v>4080</v>
      </c>
      <c r="J733" s="236">
        <v>4456</v>
      </c>
      <c r="K733" s="225">
        <f t="shared" si="23"/>
        <v>17118</v>
      </c>
      <c r="L733" s="236"/>
      <c r="M733" s="237">
        <v>809</v>
      </c>
      <c r="N733" s="237">
        <v>0</v>
      </c>
      <c r="O733" s="236">
        <v>1123</v>
      </c>
      <c r="P733" s="225">
        <f t="shared" si="24"/>
        <v>1932</v>
      </c>
      <c r="Q733" s="236"/>
      <c r="R733" s="237">
        <v>9628</v>
      </c>
      <c r="S733" s="238">
        <v>620</v>
      </c>
      <c r="T733" s="238">
        <f>10247+1</f>
        <v>10248</v>
      </c>
    </row>
    <row r="734" spans="1:20">
      <c r="A734" s="231">
        <v>98001</v>
      </c>
      <c r="B734" s="232" t="s">
        <v>1442</v>
      </c>
      <c r="C734" s="92">
        <v>5.1148000000000001E-3</v>
      </c>
      <c r="D734" s="92">
        <v>4.9659999999999999E-3</v>
      </c>
      <c r="E734" s="236">
        <v>7813998</v>
      </c>
      <c r="F734" s="236"/>
      <c r="G734" s="237">
        <v>450159</v>
      </c>
      <c r="H734" s="225">
        <v>1897248</v>
      </c>
      <c r="I734" s="237">
        <v>1115947</v>
      </c>
      <c r="J734" s="236">
        <v>181889</v>
      </c>
      <c r="K734" s="225">
        <f t="shared" si="23"/>
        <v>3645243</v>
      </c>
      <c r="L734" s="236"/>
      <c r="M734" s="237">
        <v>221190</v>
      </c>
      <c r="N734" s="237">
        <v>0</v>
      </c>
      <c r="O734" s="236">
        <v>0</v>
      </c>
      <c r="P734" s="225">
        <f t="shared" si="24"/>
        <v>221190</v>
      </c>
      <c r="Q734" s="236"/>
      <c r="R734" s="237">
        <v>2633324</v>
      </c>
      <c r="S734" s="238">
        <v>81305</v>
      </c>
      <c r="T734" s="238">
        <v>2714629</v>
      </c>
    </row>
    <row r="735" spans="1:20">
      <c r="A735" s="231">
        <v>98002</v>
      </c>
      <c r="B735" s="232" t="s">
        <v>1443</v>
      </c>
      <c r="C735" s="92">
        <v>6.7000000000000002E-6</v>
      </c>
      <c r="D735" s="92">
        <v>7.3000000000000004E-6</v>
      </c>
      <c r="E735" s="236">
        <v>10236</v>
      </c>
      <c r="F735" s="236"/>
      <c r="G735" s="237">
        <v>590</v>
      </c>
      <c r="H735" s="225">
        <v>2485</v>
      </c>
      <c r="I735" s="237">
        <v>1462</v>
      </c>
      <c r="J735" s="236">
        <v>1007</v>
      </c>
      <c r="K735" s="225">
        <f t="shared" si="23"/>
        <v>5544</v>
      </c>
      <c r="L735" s="236"/>
      <c r="M735" s="237">
        <v>290</v>
      </c>
      <c r="N735" s="237">
        <v>0</v>
      </c>
      <c r="O735" s="236">
        <v>6492</v>
      </c>
      <c r="P735" s="225">
        <f t="shared" si="24"/>
        <v>6782</v>
      </c>
      <c r="Q735" s="236"/>
      <c r="R735" s="237">
        <v>3449</v>
      </c>
      <c r="S735" s="238">
        <v>-6219</v>
      </c>
      <c r="T735" s="238">
        <v>-2770</v>
      </c>
    </row>
    <row r="736" spans="1:20">
      <c r="A736" s="231">
        <v>98003</v>
      </c>
      <c r="B736" s="232" t="s">
        <v>1444</v>
      </c>
      <c r="C736" s="92">
        <v>7.9599999999999997E-5</v>
      </c>
      <c r="D736" s="92">
        <v>8.1600000000000005E-5</v>
      </c>
      <c r="E736" s="236">
        <v>121607</v>
      </c>
      <c r="F736" s="236"/>
      <c r="G736" s="237">
        <v>7006</v>
      </c>
      <c r="H736" s="225">
        <v>29526</v>
      </c>
      <c r="I736" s="237">
        <v>17367</v>
      </c>
      <c r="J736" s="236">
        <v>54986</v>
      </c>
      <c r="K736" s="225">
        <f t="shared" si="23"/>
        <v>108885</v>
      </c>
      <c r="L736" s="236"/>
      <c r="M736" s="237">
        <v>3442</v>
      </c>
      <c r="N736" s="237">
        <v>0</v>
      </c>
      <c r="O736" s="236">
        <v>0</v>
      </c>
      <c r="P736" s="225">
        <f t="shared" si="24"/>
        <v>3442</v>
      </c>
      <c r="Q736" s="236"/>
      <c r="R736" s="237">
        <v>40982</v>
      </c>
      <c r="S736" s="238">
        <v>18634</v>
      </c>
      <c r="T736" s="238">
        <v>59616</v>
      </c>
    </row>
    <row r="737" spans="1:20">
      <c r="A737" s="231">
        <v>98004</v>
      </c>
      <c r="B737" s="232" t="s">
        <v>1445</v>
      </c>
      <c r="C737" s="92">
        <v>1.182E-4</v>
      </c>
      <c r="D737" s="92">
        <v>1.209E-4</v>
      </c>
      <c r="E737" s="236">
        <v>180577</v>
      </c>
      <c r="F737" s="236"/>
      <c r="G737" s="237">
        <v>10403</v>
      </c>
      <c r="H737" s="225">
        <v>43844</v>
      </c>
      <c r="I737" s="237">
        <v>25789</v>
      </c>
      <c r="J737" s="236">
        <v>36575</v>
      </c>
      <c r="K737" s="225">
        <f t="shared" si="23"/>
        <v>116611</v>
      </c>
      <c r="L737" s="236"/>
      <c r="M737" s="237">
        <v>5112</v>
      </c>
      <c r="N737" s="237">
        <v>0</v>
      </c>
      <c r="O737" s="236">
        <v>0</v>
      </c>
      <c r="P737" s="225">
        <f t="shared" si="24"/>
        <v>5112</v>
      </c>
      <c r="Q737" s="236"/>
      <c r="R737" s="237">
        <v>60855</v>
      </c>
      <c r="S737" s="238">
        <v>14190</v>
      </c>
      <c r="T737" s="238">
        <f>75044+1</f>
        <v>75045</v>
      </c>
    </row>
    <row r="738" spans="1:20">
      <c r="A738" s="231">
        <v>98008</v>
      </c>
      <c r="B738" s="232" t="s">
        <v>1446</v>
      </c>
      <c r="C738" s="92">
        <v>7.9999999999999996E-6</v>
      </c>
      <c r="D738" s="92">
        <v>7.7999999999999999E-6</v>
      </c>
      <c r="E738" s="236">
        <v>12222</v>
      </c>
      <c r="F738" s="236"/>
      <c r="G738" s="237">
        <v>704</v>
      </c>
      <c r="H738" s="225">
        <v>2967</v>
      </c>
      <c r="I738" s="237">
        <v>1745</v>
      </c>
      <c r="J738" s="236">
        <v>25</v>
      </c>
      <c r="K738" s="225">
        <f t="shared" si="23"/>
        <v>5441</v>
      </c>
      <c r="L738" s="236"/>
      <c r="M738" s="237">
        <v>346</v>
      </c>
      <c r="N738" s="237">
        <v>0</v>
      </c>
      <c r="O738" s="236">
        <v>804</v>
      </c>
      <c r="P738" s="225">
        <f t="shared" si="24"/>
        <v>1150</v>
      </c>
      <c r="Q738" s="236"/>
      <c r="R738" s="237">
        <v>4119</v>
      </c>
      <c r="S738" s="238">
        <v>-490</v>
      </c>
      <c r="T738" s="238">
        <v>3629</v>
      </c>
    </row>
    <row r="739" spans="1:20">
      <c r="A739" s="231">
        <v>98011</v>
      </c>
      <c r="B739" s="232" t="s">
        <v>1447</v>
      </c>
      <c r="C739" s="92">
        <v>3.1578999999999999E-3</v>
      </c>
      <c r="D739" s="92">
        <v>3.1795E-3</v>
      </c>
      <c r="E739" s="236">
        <v>4824396</v>
      </c>
      <c r="F739" s="236"/>
      <c r="G739" s="237">
        <v>277930</v>
      </c>
      <c r="H739" s="225">
        <v>1171370</v>
      </c>
      <c r="I739" s="237">
        <v>688991</v>
      </c>
      <c r="J739" s="236">
        <v>0</v>
      </c>
      <c r="K739" s="225">
        <f t="shared" si="23"/>
        <v>2138291</v>
      </c>
      <c r="L739" s="236"/>
      <c r="M739" s="237">
        <v>136563</v>
      </c>
      <c r="N739" s="237">
        <v>0</v>
      </c>
      <c r="O739" s="236">
        <v>315025</v>
      </c>
      <c r="P739" s="225">
        <f t="shared" si="24"/>
        <v>451588</v>
      </c>
      <c r="Q739" s="236"/>
      <c r="R739" s="237">
        <v>1625826</v>
      </c>
      <c r="S739" s="238">
        <v>-146862</v>
      </c>
      <c r="T739" s="238">
        <v>1478964</v>
      </c>
    </row>
    <row r="740" spans="1:20">
      <c r="A740" s="231">
        <v>98013</v>
      </c>
      <c r="B740" s="232" t="s">
        <v>1448</v>
      </c>
      <c r="C740" s="92">
        <v>1.415E-4</v>
      </c>
      <c r="D740" s="92">
        <v>1.426E-4</v>
      </c>
      <c r="E740" s="236">
        <v>216173</v>
      </c>
      <c r="F740" s="236"/>
      <c r="G740" s="237">
        <v>12454</v>
      </c>
      <c r="H740" s="225">
        <v>52487</v>
      </c>
      <c r="I740" s="237">
        <v>30872</v>
      </c>
      <c r="J740" s="236">
        <v>126104</v>
      </c>
      <c r="K740" s="225">
        <f t="shared" si="23"/>
        <v>221917</v>
      </c>
      <c r="L740" s="236"/>
      <c r="M740" s="237">
        <v>6119</v>
      </c>
      <c r="N740" s="237">
        <v>0</v>
      </c>
      <c r="O740" s="236">
        <v>2073</v>
      </c>
      <c r="P740" s="225">
        <f t="shared" si="24"/>
        <v>8192</v>
      </c>
      <c r="Q740" s="236"/>
      <c r="R740" s="237">
        <v>72850</v>
      </c>
      <c r="S740" s="238">
        <v>41784</v>
      </c>
      <c r="T740" s="238">
        <f>114635-1</f>
        <v>114634</v>
      </c>
    </row>
    <row r="741" spans="1:20">
      <c r="A741" s="231">
        <v>98021</v>
      </c>
      <c r="B741" s="232" t="s">
        <v>1449</v>
      </c>
      <c r="C741" s="92">
        <v>8.6199999999999995E-5</v>
      </c>
      <c r="D741" s="92">
        <v>7.5099999999999996E-5</v>
      </c>
      <c r="E741" s="236">
        <v>131690</v>
      </c>
      <c r="F741" s="236"/>
      <c r="G741" s="237">
        <v>7587</v>
      </c>
      <c r="H741" s="225">
        <v>31975</v>
      </c>
      <c r="I741" s="237">
        <v>18807</v>
      </c>
      <c r="J741" s="236">
        <v>13468</v>
      </c>
      <c r="K741" s="225">
        <f t="shared" si="23"/>
        <v>71837</v>
      </c>
      <c r="L741" s="236"/>
      <c r="M741" s="237">
        <v>3728</v>
      </c>
      <c r="N741" s="237">
        <v>0</v>
      </c>
      <c r="O741" s="236">
        <v>2708</v>
      </c>
      <c r="P741" s="225">
        <f t="shared" si="24"/>
        <v>6436</v>
      </c>
      <c r="Q741" s="236"/>
      <c r="R741" s="237">
        <v>44380</v>
      </c>
      <c r="S741" s="238">
        <v>6479</v>
      </c>
      <c r="T741" s="238">
        <v>50859</v>
      </c>
    </row>
    <row r="742" spans="1:20">
      <c r="A742" s="231">
        <v>98023</v>
      </c>
      <c r="B742" s="232" t="s">
        <v>1450</v>
      </c>
      <c r="C742" s="92">
        <v>1.43E-5</v>
      </c>
      <c r="D742" s="92">
        <v>1.45E-5</v>
      </c>
      <c r="E742" s="236">
        <v>21846</v>
      </c>
      <c r="F742" s="236"/>
      <c r="G742" s="237">
        <v>1259</v>
      </c>
      <c r="H742" s="225">
        <v>5305</v>
      </c>
      <c r="I742" s="237">
        <v>3120</v>
      </c>
      <c r="J742" s="236">
        <v>109</v>
      </c>
      <c r="K742" s="225">
        <f t="shared" si="23"/>
        <v>9793</v>
      </c>
      <c r="L742" s="236"/>
      <c r="M742" s="237">
        <v>618</v>
      </c>
      <c r="N742" s="237">
        <v>0</v>
      </c>
      <c r="O742" s="236">
        <v>5220</v>
      </c>
      <c r="P742" s="225">
        <f t="shared" si="24"/>
        <v>5838</v>
      </c>
      <c r="Q742" s="236"/>
      <c r="R742" s="237">
        <v>7362</v>
      </c>
      <c r="S742" s="238">
        <v>-2611</v>
      </c>
      <c r="T742" s="238">
        <v>4751</v>
      </c>
    </row>
    <row r="743" spans="1:20">
      <c r="A743" s="231">
        <v>98031</v>
      </c>
      <c r="B743" s="232" t="s">
        <v>1451</v>
      </c>
      <c r="C743" s="92">
        <v>1.537E-4</v>
      </c>
      <c r="D743" s="92">
        <v>1.5530000000000001E-4</v>
      </c>
      <c r="E743" s="236">
        <v>234811</v>
      </c>
      <c r="F743" s="236"/>
      <c r="G743" s="237">
        <v>13527</v>
      </c>
      <c r="H743" s="225">
        <v>57012</v>
      </c>
      <c r="I743" s="237">
        <v>33534</v>
      </c>
      <c r="J743" s="236">
        <v>4651</v>
      </c>
      <c r="K743" s="225">
        <f t="shared" si="23"/>
        <v>108724</v>
      </c>
      <c r="L743" s="236"/>
      <c r="M743" s="237">
        <v>6647</v>
      </c>
      <c r="N743" s="237">
        <v>0</v>
      </c>
      <c r="O743" s="236">
        <v>9184</v>
      </c>
      <c r="P743" s="225">
        <f t="shared" si="24"/>
        <v>15831</v>
      </c>
      <c r="Q743" s="236"/>
      <c r="R743" s="237">
        <v>79132</v>
      </c>
      <c r="S743" s="238">
        <v>-1401</v>
      </c>
      <c r="T743" s="238">
        <f>77730+1</f>
        <v>77731</v>
      </c>
    </row>
    <row r="744" spans="1:20">
      <c r="A744" s="231">
        <v>98041</v>
      </c>
      <c r="B744" s="232" t="s">
        <v>1452</v>
      </c>
      <c r="C744" s="92">
        <v>1.9230000000000001E-4</v>
      </c>
      <c r="D744" s="92">
        <v>1.6559999999999999E-4</v>
      </c>
      <c r="E744" s="236">
        <v>293781</v>
      </c>
      <c r="F744" s="236"/>
      <c r="G744" s="237">
        <v>16925</v>
      </c>
      <c r="H744" s="225">
        <v>71330</v>
      </c>
      <c r="I744" s="237">
        <v>41956</v>
      </c>
      <c r="J744" s="236">
        <v>17154</v>
      </c>
      <c r="K744" s="225">
        <f t="shared" si="23"/>
        <v>147365</v>
      </c>
      <c r="L744" s="236"/>
      <c r="M744" s="237">
        <v>8316</v>
      </c>
      <c r="N744" s="237">
        <v>0</v>
      </c>
      <c r="O744" s="236">
        <v>5779</v>
      </c>
      <c r="P744" s="225">
        <f t="shared" si="24"/>
        <v>14095</v>
      </c>
      <c r="Q744" s="236"/>
      <c r="R744" s="237">
        <v>99005</v>
      </c>
      <c r="S744" s="238">
        <v>943</v>
      </c>
      <c r="T744" s="238">
        <v>99948</v>
      </c>
    </row>
    <row r="745" spans="1:20">
      <c r="A745" s="231">
        <v>98051</v>
      </c>
      <c r="B745" s="232" t="s">
        <v>1453</v>
      </c>
      <c r="C745" s="92">
        <v>2.8019999999999998E-4</v>
      </c>
      <c r="D745" s="92">
        <v>3.0019999999999998E-4</v>
      </c>
      <c r="E745" s="236">
        <v>428068</v>
      </c>
      <c r="F745" s="236"/>
      <c r="G745" s="237">
        <v>24661</v>
      </c>
      <c r="H745" s="225">
        <v>103936</v>
      </c>
      <c r="I745" s="237">
        <v>61134</v>
      </c>
      <c r="J745" s="236">
        <v>21691</v>
      </c>
      <c r="K745" s="225">
        <f t="shared" si="23"/>
        <v>211422</v>
      </c>
      <c r="L745" s="236"/>
      <c r="M745" s="237">
        <v>12117</v>
      </c>
      <c r="N745" s="237">
        <v>0</v>
      </c>
      <c r="O745" s="236">
        <v>7516</v>
      </c>
      <c r="P745" s="225">
        <f t="shared" si="24"/>
        <v>19633</v>
      </c>
      <c r="Q745" s="236"/>
      <c r="R745" s="237">
        <v>144259</v>
      </c>
      <c r="S745" s="238">
        <v>7566</v>
      </c>
      <c r="T745" s="238">
        <v>151825</v>
      </c>
    </row>
    <row r="746" spans="1:20">
      <c r="A746" s="231">
        <v>98061</v>
      </c>
      <c r="B746" s="232" t="s">
        <v>1454</v>
      </c>
      <c r="C746" s="92">
        <v>1.0670000000000001E-4</v>
      </c>
      <c r="D746" s="92">
        <v>9.9099999999999996E-5</v>
      </c>
      <c r="E746" s="236">
        <v>163008</v>
      </c>
      <c r="F746" s="236"/>
      <c r="G746" s="237">
        <v>9391</v>
      </c>
      <c r="H746" s="225">
        <v>39579</v>
      </c>
      <c r="I746" s="237">
        <v>23280</v>
      </c>
      <c r="J746" s="236">
        <v>3820</v>
      </c>
      <c r="K746" s="225">
        <f t="shared" si="23"/>
        <v>76070</v>
      </c>
      <c r="L746" s="236"/>
      <c r="M746" s="237">
        <v>4614</v>
      </c>
      <c r="N746" s="237">
        <v>0</v>
      </c>
      <c r="O746" s="236">
        <v>17433</v>
      </c>
      <c r="P746" s="225">
        <f t="shared" si="24"/>
        <v>22047</v>
      </c>
      <c r="Q746" s="236"/>
      <c r="R746" s="237">
        <v>54934</v>
      </c>
      <c r="S746" s="238">
        <v>-6260</v>
      </c>
      <c r="T746" s="238">
        <v>48674</v>
      </c>
    </row>
    <row r="747" spans="1:20">
      <c r="A747" s="231">
        <v>98071</v>
      </c>
      <c r="B747" s="232" t="s">
        <v>1455</v>
      </c>
      <c r="C747" s="92">
        <v>4.0099999999999999E-5</v>
      </c>
      <c r="D747" s="92">
        <v>3.4400000000000003E-5</v>
      </c>
      <c r="E747" s="236">
        <v>61262</v>
      </c>
      <c r="F747" s="236"/>
      <c r="G747" s="237">
        <v>3529</v>
      </c>
      <c r="H747" s="225">
        <v>14874</v>
      </c>
      <c r="I747" s="237">
        <v>8749</v>
      </c>
      <c r="J747" s="236">
        <v>18505</v>
      </c>
      <c r="K747" s="225">
        <f t="shared" si="23"/>
        <v>45657</v>
      </c>
      <c r="L747" s="236"/>
      <c r="M747" s="237">
        <v>1734</v>
      </c>
      <c r="N747" s="237">
        <v>0</v>
      </c>
      <c r="O747" s="236">
        <v>1200</v>
      </c>
      <c r="P747" s="225">
        <f t="shared" si="24"/>
        <v>2934</v>
      </c>
      <c r="Q747" s="236"/>
      <c r="R747" s="237">
        <v>20645</v>
      </c>
      <c r="S747" s="238">
        <v>4654</v>
      </c>
      <c r="T747" s="238">
        <v>25299</v>
      </c>
    </row>
    <row r="748" spans="1:20">
      <c r="A748" s="231">
        <v>98081</v>
      </c>
      <c r="B748" s="232" t="s">
        <v>1456</v>
      </c>
      <c r="C748" s="92">
        <v>1.8300000000000001E-5</v>
      </c>
      <c r="D748" s="92">
        <v>1.9400000000000001E-5</v>
      </c>
      <c r="E748" s="236">
        <v>27957</v>
      </c>
      <c r="F748" s="236"/>
      <c r="G748" s="237">
        <v>1611</v>
      </c>
      <c r="H748" s="225">
        <v>6788</v>
      </c>
      <c r="I748" s="237">
        <v>3993</v>
      </c>
      <c r="J748" s="236">
        <v>0</v>
      </c>
      <c r="K748" s="225">
        <f t="shared" si="23"/>
        <v>12392</v>
      </c>
      <c r="L748" s="236"/>
      <c r="M748" s="237">
        <v>791</v>
      </c>
      <c r="N748" s="237">
        <v>0</v>
      </c>
      <c r="O748" s="236">
        <v>4207</v>
      </c>
      <c r="P748" s="225">
        <f t="shared" si="24"/>
        <v>4998</v>
      </c>
      <c r="Q748" s="236"/>
      <c r="R748" s="237">
        <v>9422</v>
      </c>
      <c r="S748" s="238">
        <v>-1896</v>
      </c>
      <c r="T748" s="238">
        <v>7526</v>
      </c>
    </row>
    <row r="749" spans="1:20">
      <c r="A749" s="231">
        <v>98091</v>
      </c>
      <c r="B749" s="232" t="s">
        <v>1457</v>
      </c>
      <c r="C749" s="92">
        <v>4.7500000000000003E-5</v>
      </c>
      <c r="D749" s="92">
        <v>5.0899999999999997E-5</v>
      </c>
      <c r="E749" s="236">
        <v>72567</v>
      </c>
      <c r="F749" s="236"/>
      <c r="G749" s="237">
        <v>4181</v>
      </c>
      <c r="H749" s="225">
        <v>17619</v>
      </c>
      <c r="I749" s="237">
        <v>10364</v>
      </c>
      <c r="J749" s="236">
        <v>1261</v>
      </c>
      <c r="K749" s="225">
        <f t="shared" si="23"/>
        <v>33425</v>
      </c>
      <c r="L749" s="236"/>
      <c r="M749" s="237">
        <v>2054</v>
      </c>
      <c r="N749" s="237">
        <v>0</v>
      </c>
      <c r="O749" s="236">
        <v>807</v>
      </c>
      <c r="P749" s="225">
        <f t="shared" si="24"/>
        <v>2861</v>
      </c>
      <c r="Q749" s="236"/>
      <c r="R749" s="237">
        <v>24455</v>
      </c>
      <c r="S749" s="238">
        <v>-295</v>
      </c>
      <c r="T749" s="238">
        <v>24160</v>
      </c>
    </row>
    <row r="750" spans="1:20">
      <c r="A750" s="231">
        <v>98101</v>
      </c>
      <c r="B750" s="232" t="s">
        <v>1458</v>
      </c>
      <c r="C750" s="92">
        <v>2.8706999999999999E-3</v>
      </c>
      <c r="D750" s="92">
        <v>2.7642999999999999E-3</v>
      </c>
      <c r="E750" s="236">
        <v>4385634</v>
      </c>
      <c r="F750" s="236"/>
      <c r="G750" s="237">
        <v>252653</v>
      </c>
      <c r="H750" s="225">
        <v>1064838</v>
      </c>
      <c r="I750" s="237">
        <v>626329</v>
      </c>
      <c r="J750" s="236">
        <v>37308</v>
      </c>
      <c r="K750" s="225">
        <f t="shared" si="23"/>
        <v>1981128</v>
      </c>
      <c r="L750" s="236"/>
      <c r="M750" s="237">
        <v>124143</v>
      </c>
      <c r="N750" s="237">
        <v>0</v>
      </c>
      <c r="O750" s="236">
        <v>32438</v>
      </c>
      <c r="P750" s="225">
        <f t="shared" si="24"/>
        <v>156581</v>
      </c>
      <c r="Q750" s="236"/>
      <c r="R750" s="237">
        <v>1477963</v>
      </c>
      <c r="S750" s="238">
        <v>14286</v>
      </c>
      <c r="T750" s="238">
        <f>1492248+1</f>
        <v>1492249</v>
      </c>
    </row>
    <row r="751" spans="1:20">
      <c r="A751" s="231">
        <v>98102</v>
      </c>
      <c r="B751" s="232" t="s">
        <v>1459</v>
      </c>
      <c r="C751" s="92">
        <v>1.5809999999999999E-4</v>
      </c>
      <c r="D751" s="92">
        <v>1.683E-4</v>
      </c>
      <c r="E751" s="236">
        <v>241533</v>
      </c>
      <c r="F751" s="236"/>
      <c r="G751" s="237">
        <v>13915</v>
      </c>
      <c r="H751" s="225">
        <v>58644</v>
      </c>
      <c r="I751" s="237">
        <v>34494</v>
      </c>
      <c r="J751" s="236">
        <v>0</v>
      </c>
      <c r="K751" s="225">
        <f t="shared" si="23"/>
        <v>107053</v>
      </c>
      <c r="L751" s="236"/>
      <c r="M751" s="237">
        <v>6837</v>
      </c>
      <c r="N751" s="237">
        <v>0</v>
      </c>
      <c r="O751" s="236">
        <v>14329</v>
      </c>
      <c r="P751" s="225">
        <f t="shared" si="24"/>
        <v>21166</v>
      </c>
      <c r="Q751" s="236"/>
      <c r="R751" s="237">
        <v>81397</v>
      </c>
      <c r="S751" s="238">
        <v>-5584</v>
      </c>
      <c r="T751" s="238">
        <v>75813</v>
      </c>
    </row>
    <row r="752" spans="1:20">
      <c r="A752" s="231">
        <v>98103</v>
      </c>
      <c r="B752" s="232" t="s">
        <v>1460</v>
      </c>
      <c r="C752" s="92">
        <v>5.4410000000000005E-4</v>
      </c>
      <c r="D752" s="92">
        <v>5.3600000000000002E-4</v>
      </c>
      <c r="E752" s="236">
        <v>831234</v>
      </c>
      <c r="F752" s="236"/>
      <c r="G752" s="237">
        <v>47887</v>
      </c>
      <c r="H752" s="225">
        <v>201824</v>
      </c>
      <c r="I752" s="237">
        <v>118712</v>
      </c>
      <c r="J752" s="236">
        <v>9730</v>
      </c>
      <c r="K752" s="225">
        <f t="shared" si="23"/>
        <v>378153</v>
      </c>
      <c r="L752" s="236"/>
      <c r="M752" s="237">
        <v>23530</v>
      </c>
      <c r="N752" s="237">
        <v>0</v>
      </c>
      <c r="O752" s="236">
        <v>27055</v>
      </c>
      <c r="P752" s="225">
        <f t="shared" si="24"/>
        <v>50585</v>
      </c>
      <c r="Q752" s="236"/>
      <c r="R752" s="237">
        <v>280127</v>
      </c>
      <c r="S752" s="238">
        <v>-17051</v>
      </c>
      <c r="T752" s="238">
        <v>263076</v>
      </c>
    </row>
    <row r="753" spans="1:20">
      <c r="A753" s="231">
        <v>98107</v>
      </c>
      <c r="B753" s="232" t="s">
        <v>1461</v>
      </c>
      <c r="C753" s="92">
        <v>1.08E-5</v>
      </c>
      <c r="D753" s="92">
        <v>1.08E-5</v>
      </c>
      <c r="E753" s="236">
        <v>16499</v>
      </c>
      <c r="F753" s="236"/>
      <c r="G753" s="237">
        <v>951</v>
      </c>
      <c r="H753" s="225">
        <v>4006</v>
      </c>
      <c r="I753" s="237">
        <v>2356</v>
      </c>
      <c r="J753" s="236">
        <v>8237</v>
      </c>
      <c r="K753" s="225">
        <f t="shared" si="23"/>
        <v>15550</v>
      </c>
      <c r="L753" s="236"/>
      <c r="M753" s="237">
        <v>467</v>
      </c>
      <c r="N753" s="237">
        <v>0</v>
      </c>
      <c r="O753" s="236">
        <v>0</v>
      </c>
      <c r="P753" s="225">
        <f t="shared" si="24"/>
        <v>467</v>
      </c>
      <c r="Q753" s="236"/>
      <c r="R753" s="237">
        <v>5560</v>
      </c>
      <c r="S753" s="238">
        <v>3467</v>
      </c>
      <c r="T753" s="238">
        <v>9027</v>
      </c>
    </row>
    <row r="754" spans="1:20">
      <c r="A754" s="231">
        <v>98109</v>
      </c>
      <c r="B754" s="232" t="s">
        <v>1462</v>
      </c>
      <c r="C754" s="92">
        <v>1.573E-4</v>
      </c>
      <c r="D754" s="92">
        <v>1.4660000000000001E-4</v>
      </c>
      <c r="E754" s="236">
        <v>240311</v>
      </c>
      <c r="F754" s="236"/>
      <c r="G754" s="237">
        <v>13844</v>
      </c>
      <c r="H754" s="225">
        <v>58348</v>
      </c>
      <c r="I754" s="237">
        <v>34320</v>
      </c>
      <c r="J754" s="236">
        <v>12163</v>
      </c>
      <c r="K754" s="225">
        <f t="shared" si="23"/>
        <v>118675</v>
      </c>
      <c r="L754" s="236"/>
      <c r="M754" s="237">
        <v>6802</v>
      </c>
      <c r="N754" s="237">
        <v>0</v>
      </c>
      <c r="O754" s="236">
        <v>24551</v>
      </c>
      <c r="P754" s="225">
        <f t="shared" si="24"/>
        <v>31353</v>
      </c>
      <c r="Q754" s="236"/>
      <c r="R754" s="237">
        <v>80985</v>
      </c>
      <c r="S754" s="238">
        <v>-7590</v>
      </c>
      <c r="T754" s="238">
        <v>73395</v>
      </c>
    </row>
    <row r="755" spans="1:20">
      <c r="A755" s="231">
        <v>98111</v>
      </c>
      <c r="B755" s="232" t="s">
        <v>1463</v>
      </c>
      <c r="C755" s="92">
        <v>1.0143000000000001E-3</v>
      </c>
      <c r="D755" s="92">
        <v>1.0191E-3</v>
      </c>
      <c r="E755" s="236">
        <v>1549569</v>
      </c>
      <c r="F755" s="236"/>
      <c r="G755" s="237">
        <v>89270</v>
      </c>
      <c r="H755" s="225">
        <v>376238</v>
      </c>
      <c r="I755" s="237">
        <v>221300</v>
      </c>
      <c r="J755" s="236">
        <v>0</v>
      </c>
      <c r="K755" s="225">
        <f t="shared" si="23"/>
        <v>686808</v>
      </c>
      <c r="L755" s="236"/>
      <c r="M755" s="237">
        <v>43863</v>
      </c>
      <c r="N755" s="237">
        <v>0</v>
      </c>
      <c r="O755" s="236">
        <v>66610</v>
      </c>
      <c r="P755" s="225">
        <f t="shared" si="24"/>
        <v>110473</v>
      </c>
      <c r="Q755" s="236"/>
      <c r="R755" s="237">
        <v>522206</v>
      </c>
      <c r="S755" s="238">
        <v>-21506</v>
      </c>
      <c r="T755" s="238">
        <v>500700</v>
      </c>
    </row>
    <row r="756" spans="1:20">
      <c r="A756" s="231">
        <v>98113</v>
      </c>
      <c r="B756" s="232" t="s">
        <v>1464</v>
      </c>
      <c r="C756" s="92">
        <v>4.6199999999999998E-5</v>
      </c>
      <c r="D756" s="92">
        <v>3.8999999999999999E-5</v>
      </c>
      <c r="E756" s="236">
        <v>70581</v>
      </c>
      <c r="F756" s="236"/>
      <c r="G756" s="237">
        <v>4066</v>
      </c>
      <c r="H756" s="225">
        <v>17137</v>
      </c>
      <c r="I756" s="237">
        <v>10080</v>
      </c>
      <c r="J756" s="236">
        <v>11739</v>
      </c>
      <c r="K756" s="225">
        <f t="shared" si="23"/>
        <v>43022</v>
      </c>
      <c r="L756" s="236"/>
      <c r="M756" s="237">
        <v>1998</v>
      </c>
      <c r="N756" s="237">
        <v>0</v>
      </c>
      <c r="O756" s="236">
        <v>0</v>
      </c>
      <c r="P756" s="225">
        <f t="shared" si="24"/>
        <v>1998</v>
      </c>
      <c r="Q756" s="236"/>
      <c r="R756" s="237">
        <v>23786</v>
      </c>
      <c r="S756" s="238">
        <v>4647</v>
      </c>
      <c r="T756" s="238">
        <f>28432+1</f>
        <v>28433</v>
      </c>
    </row>
    <row r="757" spans="1:20">
      <c r="A757" s="231">
        <v>98121</v>
      </c>
      <c r="B757" s="232" t="s">
        <v>1465</v>
      </c>
      <c r="C757" s="92">
        <v>2.0100000000000001E-4</v>
      </c>
      <c r="D757" s="92">
        <v>2.2910000000000001E-4</v>
      </c>
      <c r="E757" s="236">
        <v>307072</v>
      </c>
      <c r="F757" s="236"/>
      <c r="G757" s="237">
        <v>17690</v>
      </c>
      <c r="H757" s="225">
        <v>74558</v>
      </c>
      <c r="I757" s="237">
        <v>43854</v>
      </c>
      <c r="J757" s="236">
        <v>2134</v>
      </c>
      <c r="K757" s="225">
        <f t="shared" si="23"/>
        <v>138236</v>
      </c>
      <c r="L757" s="236"/>
      <c r="M757" s="237">
        <v>8692</v>
      </c>
      <c r="N757" s="237">
        <v>0</v>
      </c>
      <c r="O757" s="236">
        <v>25239</v>
      </c>
      <c r="P757" s="225">
        <f t="shared" si="24"/>
        <v>33931</v>
      </c>
      <c r="Q757" s="236"/>
      <c r="R757" s="237">
        <v>103484</v>
      </c>
      <c r="S757" s="238">
        <v>-5712</v>
      </c>
      <c r="T757" s="238">
        <f>97771+1</f>
        <v>97772</v>
      </c>
    </row>
    <row r="758" spans="1:20">
      <c r="A758" s="231">
        <v>98131</v>
      </c>
      <c r="B758" s="232" t="s">
        <v>1466</v>
      </c>
      <c r="C758" s="92">
        <v>2.5230000000000001E-4</v>
      </c>
      <c r="D758" s="92">
        <v>2.9569999999999998E-4</v>
      </c>
      <c r="E758" s="236">
        <v>385445</v>
      </c>
      <c r="F758" s="236"/>
      <c r="G758" s="237">
        <v>22205</v>
      </c>
      <c r="H758" s="225">
        <v>93586</v>
      </c>
      <c r="I758" s="237">
        <v>55047</v>
      </c>
      <c r="J758" s="236">
        <v>0</v>
      </c>
      <c r="K758" s="225">
        <f t="shared" si="23"/>
        <v>170838</v>
      </c>
      <c r="L758" s="236"/>
      <c r="M758" s="237">
        <v>10911</v>
      </c>
      <c r="N758" s="237">
        <v>0</v>
      </c>
      <c r="O758" s="236">
        <v>53749</v>
      </c>
      <c r="P758" s="225">
        <f t="shared" si="24"/>
        <v>64660</v>
      </c>
      <c r="Q758" s="236"/>
      <c r="R758" s="237">
        <v>129895</v>
      </c>
      <c r="S758" s="238">
        <v>-23653</v>
      </c>
      <c r="T758" s="238">
        <v>106242</v>
      </c>
    </row>
    <row r="759" spans="1:20">
      <c r="A759" s="231">
        <v>98141</v>
      </c>
      <c r="B759" s="232" t="s">
        <v>1467</v>
      </c>
      <c r="C759" s="92">
        <v>3.0360000000000001E-4</v>
      </c>
      <c r="D759" s="92">
        <v>2.9030000000000001E-4</v>
      </c>
      <c r="E759" s="236">
        <v>463817</v>
      </c>
      <c r="F759" s="236"/>
      <c r="G759" s="237">
        <v>26720</v>
      </c>
      <c r="H759" s="225">
        <v>112616</v>
      </c>
      <c r="I759" s="237">
        <v>66239</v>
      </c>
      <c r="J759" s="236">
        <v>5226</v>
      </c>
      <c r="K759" s="225">
        <f t="shared" si="23"/>
        <v>210801</v>
      </c>
      <c r="L759" s="236"/>
      <c r="M759" s="237">
        <v>13129</v>
      </c>
      <c r="N759" s="237">
        <v>0</v>
      </c>
      <c r="O759" s="236">
        <v>22375</v>
      </c>
      <c r="P759" s="225">
        <f t="shared" si="24"/>
        <v>35504</v>
      </c>
      <c r="Q759" s="236"/>
      <c r="R759" s="237">
        <v>156307</v>
      </c>
      <c r="S759" s="238">
        <v>-11630</v>
      </c>
      <c r="T759" s="238">
        <v>144677</v>
      </c>
    </row>
    <row r="760" spans="1:20">
      <c r="A760" s="231">
        <v>98147</v>
      </c>
      <c r="B760" s="232" t="s">
        <v>1468</v>
      </c>
      <c r="C760" s="92">
        <v>1.29E-5</v>
      </c>
      <c r="D760" s="92">
        <v>1.29E-5</v>
      </c>
      <c r="E760" s="236">
        <v>19708</v>
      </c>
      <c r="F760" s="236"/>
      <c r="G760" s="237">
        <v>1135</v>
      </c>
      <c r="H760" s="225">
        <v>4785</v>
      </c>
      <c r="I760" s="237">
        <v>2815</v>
      </c>
      <c r="J760" s="236">
        <v>8231</v>
      </c>
      <c r="K760" s="225">
        <f t="shared" si="23"/>
        <v>16966</v>
      </c>
      <c r="L760" s="236"/>
      <c r="M760" s="237">
        <v>558</v>
      </c>
      <c r="N760" s="237">
        <v>0</v>
      </c>
      <c r="O760" s="236">
        <v>0</v>
      </c>
      <c r="P760" s="225">
        <f t="shared" si="24"/>
        <v>558</v>
      </c>
      <c r="Q760" s="236"/>
      <c r="R760" s="237">
        <v>6641</v>
      </c>
      <c r="S760" s="238">
        <v>3295</v>
      </c>
      <c r="T760" s="238">
        <f>9937-1</f>
        <v>9936</v>
      </c>
    </row>
    <row r="761" spans="1:20">
      <c r="A761" s="231">
        <v>98161</v>
      </c>
      <c r="B761" s="232" t="s">
        <v>1469</v>
      </c>
      <c r="C761" s="92">
        <v>7.3000000000000004E-6</v>
      </c>
      <c r="D761" s="92">
        <v>7.4000000000000003E-6</v>
      </c>
      <c r="E761" s="236">
        <v>11152</v>
      </c>
      <c r="F761" s="236"/>
      <c r="G761" s="237">
        <v>642</v>
      </c>
      <c r="H761" s="225">
        <v>2708</v>
      </c>
      <c r="I761" s="237">
        <v>1593</v>
      </c>
      <c r="J761" s="236">
        <v>2689</v>
      </c>
      <c r="K761" s="225">
        <f t="shared" si="23"/>
        <v>7632</v>
      </c>
      <c r="L761" s="236"/>
      <c r="M761" s="237">
        <v>316</v>
      </c>
      <c r="N761" s="237">
        <v>0</v>
      </c>
      <c r="O761" s="236">
        <v>0</v>
      </c>
      <c r="P761" s="225">
        <f t="shared" si="24"/>
        <v>316</v>
      </c>
      <c r="Q761" s="236"/>
      <c r="R761" s="237">
        <v>3758</v>
      </c>
      <c r="S761" s="238">
        <v>1075</v>
      </c>
      <c r="T761" s="238">
        <v>4833</v>
      </c>
    </row>
    <row r="762" spans="1:20">
      <c r="A762" s="231">
        <v>98201</v>
      </c>
      <c r="B762" s="232" t="s">
        <v>1470</v>
      </c>
      <c r="C762" s="92">
        <v>3.1664000000000002E-3</v>
      </c>
      <c r="D762" s="92">
        <v>3.0368999999999999E-3</v>
      </c>
      <c r="E762" s="236">
        <v>4837382</v>
      </c>
      <c r="F762" s="236"/>
      <c r="G762" s="237">
        <v>278678</v>
      </c>
      <c r="H762" s="225">
        <v>1174522</v>
      </c>
      <c r="I762" s="237">
        <v>690845</v>
      </c>
      <c r="J762" s="236">
        <v>63594</v>
      </c>
      <c r="K762" s="225">
        <f t="shared" si="23"/>
        <v>2207639</v>
      </c>
      <c r="L762" s="236"/>
      <c r="M762" s="237">
        <v>136931</v>
      </c>
      <c r="N762" s="237">
        <v>0</v>
      </c>
      <c r="O762" s="236">
        <v>39608</v>
      </c>
      <c r="P762" s="225">
        <f t="shared" si="24"/>
        <v>176539</v>
      </c>
      <c r="Q762" s="236"/>
      <c r="R762" s="237">
        <v>1630202</v>
      </c>
      <c r="S762" s="238">
        <v>-5370</v>
      </c>
      <c r="T762" s="238">
        <v>1624832</v>
      </c>
    </row>
    <row r="763" spans="1:20">
      <c r="A763" s="231">
        <v>98205</v>
      </c>
      <c r="B763" s="232" t="s">
        <v>1471</v>
      </c>
      <c r="C763" s="92">
        <v>4.6799999999999999E-5</v>
      </c>
      <c r="D763" s="92">
        <v>5.13E-5</v>
      </c>
      <c r="E763" s="236">
        <v>71497</v>
      </c>
      <c r="F763" s="236"/>
      <c r="G763" s="237">
        <v>4119</v>
      </c>
      <c r="H763" s="225">
        <v>17359</v>
      </c>
      <c r="I763" s="237">
        <v>10211</v>
      </c>
      <c r="J763" s="236">
        <v>1985</v>
      </c>
      <c r="K763" s="225">
        <f t="shared" si="23"/>
        <v>33674</v>
      </c>
      <c r="L763" s="236"/>
      <c r="M763" s="237">
        <v>2024</v>
      </c>
      <c r="N763" s="237">
        <v>0</v>
      </c>
      <c r="O763" s="236">
        <v>2510</v>
      </c>
      <c r="P763" s="225">
        <f t="shared" si="24"/>
        <v>4534</v>
      </c>
      <c r="Q763" s="236"/>
      <c r="R763" s="237">
        <v>24095</v>
      </c>
      <c r="S763" s="238">
        <v>-141</v>
      </c>
      <c r="T763" s="238">
        <f>23953+1</f>
        <v>23954</v>
      </c>
    </row>
    <row r="764" spans="1:20">
      <c r="A764" s="231">
        <v>98211</v>
      </c>
      <c r="B764" s="232" t="s">
        <v>1472</v>
      </c>
      <c r="C764" s="92">
        <v>8.6689999999999998E-4</v>
      </c>
      <c r="D764" s="92">
        <v>9.1609999999999999E-4</v>
      </c>
      <c r="E764" s="236">
        <v>1324383</v>
      </c>
      <c r="F764" s="236"/>
      <c r="G764" s="237">
        <v>76297</v>
      </c>
      <c r="H764" s="225">
        <v>321561</v>
      </c>
      <c r="I764" s="237">
        <v>189140</v>
      </c>
      <c r="J764" s="236">
        <v>0</v>
      </c>
      <c r="K764" s="225">
        <f t="shared" si="23"/>
        <v>586998</v>
      </c>
      <c r="L764" s="236"/>
      <c r="M764" s="237">
        <v>37489</v>
      </c>
      <c r="N764" s="237">
        <v>0</v>
      </c>
      <c r="O764" s="236">
        <v>136830</v>
      </c>
      <c r="P764" s="225">
        <f t="shared" si="24"/>
        <v>174319</v>
      </c>
      <c r="Q764" s="236"/>
      <c r="R764" s="237">
        <v>446318</v>
      </c>
      <c r="S764" s="238">
        <v>-50136</v>
      </c>
      <c r="T764" s="238">
        <v>396182</v>
      </c>
    </row>
    <row r="765" spans="1:20">
      <c r="A765" s="231">
        <v>98218</v>
      </c>
      <c r="B765" s="232" t="s">
        <v>1473</v>
      </c>
      <c r="C765" s="92">
        <v>1.3200000000000001E-5</v>
      </c>
      <c r="D765" s="92">
        <v>1.0200000000000001E-5</v>
      </c>
      <c r="E765" s="236">
        <v>20166</v>
      </c>
      <c r="F765" s="236"/>
      <c r="G765" s="237">
        <v>1162</v>
      </c>
      <c r="H765" s="225">
        <v>4896</v>
      </c>
      <c r="I765" s="237">
        <v>2880</v>
      </c>
      <c r="J765" s="236">
        <v>1827</v>
      </c>
      <c r="K765" s="225">
        <f t="shared" si="23"/>
        <v>10765</v>
      </c>
      <c r="L765" s="236"/>
      <c r="M765" s="237">
        <v>571</v>
      </c>
      <c r="N765" s="237">
        <v>0</v>
      </c>
      <c r="O765" s="236">
        <v>1072</v>
      </c>
      <c r="P765" s="225">
        <f t="shared" si="24"/>
        <v>1643</v>
      </c>
      <c r="Q765" s="236"/>
      <c r="R765" s="237">
        <v>6796</v>
      </c>
      <c r="S765" s="238">
        <v>-336</v>
      </c>
      <c r="T765" s="238">
        <v>6460</v>
      </c>
    </row>
    <row r="766" spans="1:20">
      <c r="A766" s="231">
        <v>98221</v>
      </c>
      <c r="B766" s="232" t="s">
        <v>1474</v>
      </c>
      <c r="C766" s="92">
        <v>1.8899999999999999E-5</v>
      </c>
      <c r="D766" s="92">
        <v>1.6799999999999998E-5</v>
      </c>
      <c r="E766" s="236">
        <v>28874</v>
      </c>
      <c r="F766" s="236"/>
      <c r="G766" s="237">
        <v>1663</v>
      </c>
      <c r="H766" s="225">
        <v>7011</v>
      </c>
      <c r="I766" s="237">
        <v>4124</v>
      </c>
      <c r="J766" s="236">
        <v>4593</v>
      </c>
      <c r="K766" s="225">
        <f t="shared" si="23"/>
        <v>17391</v>
      </c>
      <c r="L766" s="236"/>
      <c r="M766" s="237">
        <v>817</v>
      </c>
      <c r="N766" s="237">
        <v>0</v>
      </c>
      <c r="O766" s="236">
        <v>0</v>
      </c>
      <c r="P766" s="225">
        <f t="shared" si="24"/>
        <v>817</v>
      </c>
      <c r="Q766" s="236"/>
      <c r="R766" s="237">
        <v>9731</v>
      </c>
      <c r="S766" s="238">
        <v>1469</v>
      </c>
      <c r="T766" s="238">
        <v>11200</v>
      </c>
    </row>
    <row r="767" spans="1:20">
      <c r="A767" s="231">
        <v>98231</v>
      </c>
      <c r="B767" s="232" t="s">
        <v>1475</v>
      </c>
      <c r="C767" s="92">
        <v>2.2799999999999999E-5</v>
      </c>
      <c r="D767" s="92">
        <v>3.1999999999999999E-5</v>
      </c>
      <c r="E767" s="236">
        <v>34832</v>
      </c>
      <c r="F767" s="236"/>
      <c r="G767" s="237">
        <v>2007</v>
      </c>
      <c r="H767" s="225">
        <v>8457</v>
      </c>
      <c r="I767" s="237">
        <v>4975</v>
      </c>
      <c r="J767" s="236">
        <v>1705</v>
      </c>
      <c r="K767" s="225">
        <f t="shared" si="23"/>
        <v>17144</v>
      </c>
      <c r="L767" s="236"/>
      <c r="M767" s="237">
        <v>986</v>
      </c>
      <c r="N767" s="237">
        <v>0</v>
      </c>
      <c r="O767" s="236">
        <v>9632</v>
      </c>
      <c r="P767" s="225">
        <f t="shared" si="24"/>
        <v>10618</v>
      </c>
      <c r="Q767" s="236"/>
      <c r="R767" s="237">
        <v>11738</v>
      </c>
      <c r="S767" s="238">
        <v>-3592</v>
      </c>
      <c r="T767" s="238">
        <v>8146</v>
      </c>
    </row>
    <row r="768" spans="1:20">
      <c r="A768" s="231">
        <v>98237</v>
      </c>
      <c r="B768" s="232" t="s">
        <v>1476</v>
      </c>
      <c r="C768" s="92">
        <v>5.9000000000000003E-6</v>
      </c>
      <c r="D768" s="92">
        <v>2.7E-6</v>
      </c>
      <c r="E768" s="236">
        <v>9014</v>
      </c>
      <c r="F768" s="236"/>
      <c r="G768" s="237">
        <v>519</v>
      </c>
      <c r="H768" s="225">
        <v>2188</v>
      </c>
      <c r="I768" s="237">
        <v>1287</v>
      </c>
      <c r="J768" s="236">
        <v>5034</v>
      </c>
      <c r="K768" s="225">
        <f t="shared" si="23"/>
        <v>9028</v>
      </c>
      <c r="L768" s="236"/>
      <c r="M768" s="237">
        <v>255</v>
      </c>
      <c r="N768" s="237">
        <v>0</v>
      </c>
      <c r="O768" s="236">
        <v>0</v>
      </c>
      <c r="P768" s="225">
        <f t="shared" si="24"/>
        <v>255</v>
      </c>
      <c r="Q768" s="236"/>
      <c r="R768" s="237">
        <v>3038</v>
      </c>
      <c r="S768" s="238">
        <v>1666</v>
      </c>
      <c r="T768" s="238">
        <v>4704</v>
      </c>
    </row>
    <row r="769" spans="1:20">
      <c r="A769" s="231">
        <v>98241</v>
      </c>
      <c r="B769" s="232" t="s">
        <v>1477</v>
      </c>
      <c r="C769" s="92">
        <v>1.5099999999999999E-5</v>
      </c>
      <c r="D769" s="92">
        <v>1.98E-5</v>
      </c>
      <c r="E769" s="236">
        <v>23069</v>
      </c>
      <c r="F769" s="236"/>
      <c r="G769" s="237">
        <v>1329</v>
      </c>
      <c r="H769" s="225">
        <v>5602</v>
      </c>
      <c r="I769" s="237">
        <v>3295</v>
      </c>
      <c r="J769" s="236">
        <v>5512</v>
      </c>
      <c r="K769" s="225">
        <f t="shared" si="23"/>
        <v>15738</v>
      </c>
      <c r="L769" s="236"/>
      <c r="M769" s="237">
        <v>653</v>
      </c>
      <c r="N769" s="237">
        <v>0</v>
      </c>
      <c r="O769" s="236">
        <v>2200</v>
      </c>
      <c r="P769" s="225">
        <f t="shared" si="24"/>
        <v>2853</v>
      </c>
      <c r="Q769" s="236"/>
      <c r="R769" s="237">
        <v>7774</v>
      </c>
      <c r="S769" s="238">
        <v>2564</v>
      </c>
      <c r="T769" s="238">
        <f>10339-1</f>
        <v>10338</v>
      </c>
    </row>
    <row r="770" spans="1:20">
      <c r="A770" s="231">
        <v>98251</v>
      </c>
      <c r="B770" s="232" t="s">
        <v>1478</v>
      </c>
      <c r="C770" s="92">
        <v>3.0000000000000001E-6</v>
      </c>
      <c r="D770" s="92">
        <v>3.1E-6</v>
      </c>
      <c r="E770" s="236">
        <v>4583</v>
      </c>
      <c r="F770" s="236"/>
      <c r="G770" s="237">
        <v>264</v>
      </c>
      <c r="H770" s="225">
        <v>1113</v>
      </c>
      <c r="I770" s="237">
        <v>655</v>
      </c>
      <c r="J770" s="236">
        <v>1375</v>
      </c>
      <c r="K770" s="225">
        <f t="shared" si="23"/>
        <v>3407</v>
      </c>
      <c r="L770" s="236"/>
      <c r="M770" s="237">
        <v>130</v>
      </c>
      <c r="N770" s="237">
        <v>0</v>
      </c>
      <c r="O770" s="236">
        <v>0</v>
      </c>
      <c r="P770" s="225">
        <f t="shared" si="24"/>
        <v>130</v>
      </c>
      <c r="Q770" s="236"/>
      <c r="R770" s="237">
        <v>1545</v>
      </c>
      <c r="S770" s="238">
        <v>561</v>
      </c>
      <c r="T770" s="238">
        <v>2106</v>
      </c>
    </row>
    <row r="771" spans="1:20">
      <c r="A771" s="231">
        <v>98261</v>
      </c>
      <c r="B771" s="232" t="s">
        <v>1479</v>
      </c>
      <c r="C771" s="92">
        <v>3.3200000000000001E-5</v>
      </c>
      <c r="D771" s="92">
        <v>2.97E-5</v>
      </c>
      <c r="E771" s="236">
        <v>50720</v>
      </c>
      <c r="F771" s="236"/>
      <c r="G771" s="237">
        <v>2922</v>
      </c>
      <c r="H771" s="225">
        <v>12315</v>
      </c>
      <c r="I771" s="237">
        <v>7244</v>
      </c>
      <c r="J771" s="236">
        <v>6546</v>
      </c>
      <c r="K771" s="225">
        <f t="shared" si="23"/>
        <v>29027</v>
      </c>
      <c r="L771" s="236"/>
      <c r="M771" s="237">
        <v>1436</v>
      </c>
      <c r="N771" s="237">
        <v>0</v>
      </c>
      <c r="O771" s="236">
        <v>4922</v>
      </c>
      <c r="P771" s="225">
        <f t="shared" si="24"/>
        <v>6358</v>
      </c>
      <c r="Q771" s="236"/>
      <c r="R771" s="237">
        <v>17093</v>
      </c>
      <c r="S771" s="238">
        <v>793</v>
      </c>
      <c r="T771" s="238">
        <v>17886</v>
      </c>
    </row>
    <row r="772" spans="1:20">
      <c r="A772" s="231">
        <v>98271</v>
      </c>
      <c r="B772" s="232" t="s">
        <v>1480</v>
      </c>
      <c r="C772" s="92">
        <v>5.1000000000000003E-6</v>
      </c>
      <c r="D772" s="92">
        <v>4.5000000000000001E-6</v>
      </c>
      <c r="E772" s="236">
        <v>7791</v>
      </c>
      <c r="F772" s="236"/>
      <c r="G772" s="237">
        <v>449</v>
      </c>
      <c r="H772" s="225">
        <v>1891</v>
      </c>
      <c r="I772" s="237">
        <v>1113</v>
      </c>
      <c r="J772" s="236">
        <v>3229</v>
      </c>
      <c r="K772" s="225">
        <f t="shared" si="23"/>
        <v>6682</v>
      </c>
      <c r="L772" s="236"/>
      <c r="M772" s="237">
        <v>221</v>
      </c>
      <c r="N772" s="237">
        <v>0</v>
      </c>
      <c r="O772" s="236">
        <v>0</v>
      </c>
      <c r="P772" s="225">
        <f t="shared" si="24"/>
        <v>221</v>
      </c>
      <c r="Q772" s="236"/>
      <c r="R772" s="237">
        <v>2626</v>
      </c>
      <c r="S772" s="238">
        <v>1560</v>
      </c>
      <c r="T772" s="238">
        <f>4185+1</f>
        <v>4186</v>
      </c>
    </row>
    <row r="773" spans="1:20">
      <c r="A773" s="231">
        <v>98301</v>
      </c>
      <c r="B773" s="232" t="s">
        <v>1481</v>
      </c>
      <c r="C773" s="92">
        <v>1.7542E-3</v>
      </c>
      <c r="D773" s="92">
        <v>1.7776999999999999E-3</v>
      </c>
      <c r="E773" s="236">
        <v>2679932</v>
      </c>
      <c r="F773" s="236"/>
      <c r="G773" s="237">
        <v>154389</v>
      </c>
      <c r="H773" s="225">
        <v>650690</v>
      </c>
      <c r="I773" s="237">
        <v>382731</v>
      </c>
      <c r="J773" s="236">
        <v>51704</v>
      </c>
      <c r="K773" s="225">
        <f t="shared" si="23"/>
        <v>1239514</v>
      </c>
      <c r="L773" s="236"/>
      <c r="M773" s="237">
        <v>75860</v>
      </c>
      <c r="N773" s="237">
        <v>0</v>
      </c>
      <c r="O773" s="236">
        <v>7816</v>
      </c>
      <c r="P773" s="225">
        <f t="shared" si="24"/>
        <v>83676</v>
      </c>
      <c r="Q773" s="236"/>
      <c r="R773" s="237">
        <v>903139</v>
      </c>
      <c r="S773" s="238">
        <v>17344</v>
      </c>
      <c r="T773" s="238">
        <v>920483</v>
      </c>
    </row>
    <row r="774" spans="1:20">
      <c r="A774" s="231">
        <v>98304</v>
      </c>
      <c r="B774" s="232" t="s">
        <v>1482</v>
      </c>
      <c r="C774" s="92">
        <v>2.0999999999999999E-5</v>
      </c>
      <c r="D774" s="92">
        <v>2.2900000000000001E-5</v>
      </c>
      <c r="E774" s="236">
        <v>32082</v>
      </c>
      <c r="F774" s="236"/>
      <c r="G774" s="237">
        <v>1848</v>
      </c>
      <c r="H774" s="225">
        <v>7790</v>
      </c>
      <c r="I774" s="237">
        <v>4582</v>
      </c>
      <c r="J774" s="236">
        <v>2290</v>
      </c>
      <c r="K774" s="225">
        <f t="shared" si="23"/>
        <v>16510</v>
      </c>
      <c r="L774" s="236"/>
      <c r="M774" s="237">
        <v>908</v>
      </c>
      <c r="N774" s="237">
        <v>0</v>
      </c>
      <c r="O774" s="236">
        <v>0</v>
      </c>
      <c r="P774" s="225">
        <f t="shared" si="24"/>
        <v>908</v>
      </c>
      <c r="Q774" s="236"/>
      <c r="R774" s="237">
        <v>10812</v>
      </c>
      <c r="S774" s="238">
        <v>818</v>
      </c>
      <c r="T774" s="238">
        <f>11629+1</f>
        <v>11630</v>
      </c>
    </row>
    <row r="775" spans="1:20">
      <c r="A775" s="231">
        <v>98308</v>
      </c>
      <c r="B775" s="232" t="s">
        <v>1483</v>
      </c>
      <c r="C775" s="92">
        <v>2.37E-5</v>
      </c>
      <c r="D775" s="92">
        <v>2.55E-5</v>
      </c>
      <c r="E775" s="236">
        <v>36207</v>
      </c>
      <c r="F775" s="236"/>
      <c r="G775" s="237">
        <v>2086</v>
      </c>
      <c r="H775" s="225">
        <v>8791</v>
      </c>
      <c r="I775" s="237">
        <v>5171</v>
      </c>
      <c r="J775" s="236">
        <v>7272</v>
      </c>
      <c r="K775" s="225">
        <f t="shared" si="23"/>
        <v>23320</v>
      </c>
      <c r="L775" s="236"/>
      <c r="M775" s="237">
        <v>1025</v>
      </c>
      <c r="N775" s="237">
        <v>0</v>
      </c>
      <c r="O775" s="236">
        <v>0</v>
      </c>
      <c r="P775" s="225">
        <f t="shared" si="24"/>
        <v>1025</v>
      </c>
      <c r="Q775" s="236"/>
      <c r="R775" s="237">
        <v>12202</v>
      </c>
      <c r="S775" s="238">
        <v>3390</v>
      </c>
      <c r="T775" s="238">
        <v>15592</v>
      </c>
    </row>
    <row r="776" spans="1:20">
      <c r="A776" s="231">
        <v>98311</v>
      </c>
      <c r="B776" s="232" t="s">
        <v>1484</v>
      </c>
      <c r="C776" s="92">
        <v>1.1536000000000001E-3</v>
      </c>
      <c r="D776" s="92">
        <v>1.1441999999999999E-3</v>
      </c>
      <c r="E776" s="236">
        <v>1762381</v>
      </c>
      <c r="F776" s="236"/>
      <c r="G776" s="237">
        <v>101529</v>
      </c>
      <c r="H776" s="225">
        <v>427908</v>
      </c>
      <c r="I776" s="237">
        <v>251692</v>
      </c>
      <c r="J776" s="236">
        <v>12653</v>
      </c>
      <c r="K776" s="225">
        <f t="shared" si="23"/>
        <v>793782</v>
      </c>
      <c r="L776" s="236"/>
      <c r="M776" s="237">
        <v>49887</v>
      </c>
      <c r="N776" s="237">
        <v>0</v>
      </c>
      <c r="O776" s="236">
        <v>98661</v>
      </c>
      <c r="P776" s="225">
        <f t="shared" si="24"/>
        <v>148548</v>
      </c>
      <c r="Q776" s="236"/>
      <c r="R776" s="237">
        <v>593924</v>
      </c>
      <c r="S776" s="238">
        <v>-18424</v>
      </c>
      <c r="T776" s="238">
        <f>575501-1</f>
        <v>575500</v>
      </c>
    </row>
    <row r="777" spans="1:20">
      <c r="A777" s="231">
        <v>98313</v>
      </c>
      <c r="B777" s="232" t="s">
        <v>1485</v>
      </c>
      <c r="C777" s="92">
        <v>2.3560000000000001E-4</v>
      </c>
      <c r="D777" s="92">
        <v>2.4240000000000001E-4</v>
      </c>
      <c r="E777" s="236">
        <v>359932</v>
      </c>
      <c r="F777" s="236"/>
      <c r="G777" s="237">
        <v>20735</v>
      </c>
      <c r="H777" s="225">
        <v>87392</v>
      </c>
      <c r="I777" s="237">
        <v>51403</v>
      </c>
      <c r="J777" s="236">
        <v>233571</v>
      </c>
      <c r="K777" s="225">
        <f t="shared" si="23"/>
        <v>393101</v>
      </c>
      <c r="L777" s="236"/>
      <c r="M777" s="237">
        <v>10189</v>
      </c>
      <c r="N777" s="237">
        <v>0</v>
      </c>
      <c r="O777" s="236">
        <v>59</v>
      </c>
      <c r="P777" s="225">
        <f t="shared" si="24"/>
        <v>10248</v>
      </c>
      <c r="Q777" s="236"/>
      <c r="R777" s="237">
        <v>121297</v>
      </c>
      <c r="S777" s="238">
        <v>77966</v>
      </c>
      <c r="T777" s="238">
        <v>199263</v>
      </c>
    </row>
    <row r="778" spans="1:20">
      <c r="A778" s="231">
        <v>98321</v>
      </c>
      <c r="B778" s="232" t="s">
        <v>1486</v>
      </c>
      <c r="C778" s="92">
        <v>2.05E-5</v>
      </c>
      <c r="D778" s="92">
        <v>2.1399999999999998E-5</v>
      </c>
      <c r="E778" s="236">
        <v>31318</v>
      </c>
      <c r="F778" s="236"/>
      <c r="G778" s="237">
        <v>1804</v>
      </c>
      <c r="H778" s="225">
        <v>7604</v>
      </c>
      <c r="I778" s="237">
        <v>4473</v>
      </c>
      <c r="J778" s="236">
        <v>1639</v>
      </c>
      <c r="K778" s="225">
        <f t="shared" si="23"/>
        <v>15520</v>
      </c>
      <c r="L778" s="236"/>
      <c r="M778" s="237">
        <v>887</v>
      </c>
      <c r="N778" s="237">
        <v>0</v>
      </c>
      <c r="O778" s="236">
        <v>3066</v>
      </c>
      <c r="P778" s="225">
        <f t="shared" si="24"/>
        <v>3953</v>
      </c>
      <c r="Q778" s="236"/>
      <c r="R778" s="237">
        <v>10554</v>
      </c>
      <c r="S778" s="238">
        <v>472</v>
      </c>
      <c r="T778" s="238">
        <v>11026</v>
      </c>
    </row>
    <row r="779" spans="1:20">
      <c r="A779" s="231">
        <v>98331</v>
      </c>
      <c r="B779" s="232" t="s">
        <v>1487</v>
      </c>
      <c r="C779" s="92">
        <v>9.7999999999999993E-6</v>
      </c>
      <c r="D779" s="92">
        <v>1.03E-5</v>
      </c>
      <c r="E779" s="236">
        <v>14972</v>
      </c>
      <c r="F779" s="236"/>
      <c r="G779" s="237">
        <v>863</v>
      </c>
      <c r="H779" s="225">
        <v>3635</v>
      </c>
      <c r="I779" s="237">
        <v>2138</v>
      </c>
      <c r="J779" s="236">
        <v>3035</v>
      </c>
      <c r="K779" s="225">
        <f t="shared" ref="K779:K842" si="25">G779+H779+I779+J779</f>
        <v>9671</v>
      </c>
      <c r="L779" s="236"/>
      <c r="M779" s="237">
        <v>424</v>
      </c>
      <c r="N779" s="237">
        <v>0</v>
      </c>
      <c r="O779" s="236">
        <v>132</v>
      </c>
      <c r="P779" s="225">
        <f t="shared" ref="P779:P842" si="26">M779+N779+O779</f>
        <v>556</v>
      </c>
      <c r="Q779" s="236"/>
      <c r="R779" s="237">
        <v>5045</v>
      </c>
      <c r="S779" s="238">
        <v>972</v>
      </c>
      <c r="T779" s="238">
        <f>6018-1</f>
        <v>6017</v>
      </c>
    </row>
    <row r="780" spans="1:20">
      <c r="A780" s="231">
        <v>98401</v>
      </c>
      <c r="B780" s="232" t="s">
        <v>1488</v>
      </c>
      <c r="C780" s="92">
        <v>2.7655000000000002E-3</v>
      </c>
      <c r="D780" s="92">
        <v>2.7567999999999998E-3</v>
      </c>
      <c r="E780" s="236">
        <v>4224918</v>
      </c>
      <c r="F780" s="236"/>
      <c r="G780" s="237">
        <v>243394</v>
      </c>
      <c r="H780" s="225">
        <v>1025815</v>
      </c>
      <c r="I780" s="237">
        <v>603377</v>
      </c>
      <c r="J780" s="236">
        <v>168129</v>
      </c>
      <c r="K780" s="225">
        <f t="shared" si="25"/>
        <v>2040715</v>
      </c>
      <c r="L780" s="236"/>
      <c r="M780" s="237">
        <v>119594</v>
      </c>
      <c r="N780" s="237">
        <v>0</v>
      </c>
      <c r="O780" s="236">
        <v>6292</v>
      </c>
      <c r="P780" s="225">
        <f t="shared" si="26"/>
        <v>125886</v>
      </c>
      <c r="Q780" s="236"/>
      <c r="R780" s="237">
        <v>1423801</v>
      </c>
      <c r="S780" s="238">
        <v>58759</v>
      </c>
      <c r="T780" s="238">
        <v>1482560</v>
      </c>
    </row>
    <row r="781" spans="1:20">
      <c r="A781" s="231">
        <v>98404</v>
      </c>
      <c r="B781" s="232" t="s">
        <v>1489</v>
      </c>
      <c r="C781" s="92">
        <v>1.52E-5</v>
      </c>
      <c r="D781" s="92">
        <v>0</v>
      </c>
      <c r="E781" s="236">
        <v>23221</v>
      </c>
      <c r="F781" s="236"/>
      <c r="G781" s="237">
        <v>1338</v>
      </c>
      <c r="H781" s="225">
        <v>5638</v>
      </c>
      <c r="I781" s="237">
        <v>3316</v>
      </c>
      <c r="J781" s="236">
        <v>9290</v>
      </c>
      <c r="K781" s="225">
        <f t="shared" si="25"/>
        <v>19582</v>
      </c>
      <c r="L781" s="236"/>
      <c r="M781" s="237">
        <v>657</v>
      </c>
      <c r="N781" s="237">
        <v>0</v>
      </c>
      <c r="O781" s="236">
        <v>0</v>
      </c>
      <c r="P781" s="225">
        <f t="shared" si="26"/>
        <v>657</v>
      </c>
      <c r="Q781" s="236"/>
      <c r="R781" s="237">
        <v>7826</v>
      </c>
      <c r="S781" s="238">
        <v>2323</v>
      </c>
      <c r="T781" s="238">
        <f>10148+1</f>
        <v>10149</v>
      </c>
    </row>
    <row r="782" spans="1:20">
      <c r="A782" s="231">
        <v>98411</v>
      </c>
      <c r="B782" s="232" t="s">
        <v>1490</v>
      </c>
      <c r="C782" s="92">
        <v>1.9816E-3</v>
      </c>
      <c r="D782" s="92">
        <v>2.0076999999999998E-3</v>
      </c>
      <c r="E782" s="236">
        <v>3027336</v>
      </c>
      <c r="F782" s="236"/>
      <c r="G782" s="237">
        <v>174403</v>
      </c>
      <c r="H782" s="225">
        <v>735040</v>
      </c>
      <c r="I782" s="237">
        <v>432345</v>
      </c>
      <c r="J782" s="236">
        <v>3986</v>
      </c>
      <c r="K782" s="225">
        <f t="shared" si="25"/>
        <v>1345774</v>
      </c>
      <c r="L782" s="236"/>
      <c r="M782" s="237">
        <v>85694</v>
      </c>
      <c r="N782" s="237">
        <v>0</v>
      </c>
      <c r="O782" s="236">
        <v>73699</v>
      </c>
      <c r="P782" s="225">
        <f t="shared" si="26"/>
        <v>159393</v>
      </c>
      <c r="Q782" s="236"/>
      <c r="R782" s="237">
        <v>1020215</v>
      </c>
      <c r="S782" s="238">
        <v>-19116</v>
      </c>
      <c r="T782" s="238">
        <v>1001099</v>
      </c>
    </row>
    <row r="783" spans="1:20">
      <c r="A783" s="231">
        <v>98414</v>
      </c>
      <c r="B783" s="232" t="s">
        <v>1491</v>
      </c>
      <c r="C783" s="243">
        <f>0.00283%+0.00102%</f>
        <v>3.8500000000000001E-5</v>
      </c>
      <c r="D783" s="92">
        <v>4.3600000000000003E-5</v>
      </c>
      <c r="E783" s="236">
        <f>43235+15583</f>
        <v>58818</v>
      </c>
      <c r="F783" s="236"/>
      <c r="G783" s="237">
        <f>2491+898</f>
        <v>3389</v>
      </c>
      <c r="H783" s="225">
        <v>14282</v>
      </c>
      <c r="I783" s="237">
        <f>6174+2225</f>
        <v>8399</v>
      </c>
      <c r="J783" s="236">
        <v>14474</v>
      </c>
      <c r="K783" s="225">
        <f t="shared" si="25"/>
        <v>40544</v>
      </c>
      <c r="L783" s="236"/>
      <c r="M783" s="237">
        <f>1224+441</f>
        <v>1665</v>
      </c>
      <c r="N783" s="237">
        <v>0</v>
      </c>
      <c r="O783" s="236">
        <f>0+24505</f>
        <v>24505</v>
      </c>
      <c r="P783" s="225">
        <f t="shared" si="26"/>
        <v>26170</v>
      </c>
      <c r="Q783" s="236"/>
      <c r="R783" s="237">
        <f>14570+5251</f>
        <v>19821</v>
      </c>
      <c r="S783" s="238">
        <f>3619-7460</f>
        <v>-3841</v>
      </c>
      <c r="T783" s="238">
        <f>18189-2209</f>
        <v>15980</v>
      </c>
    </row>
    <row r="784" spans="1:20">
      <c r="A784" s="231">
        <v>98417</v>
      </c>
      <c r="B784" s="232" t="s">
        <v>1492</v>
      </c>
      <c r="C784" s="92">
        <v>2.2900000000000001E-5</v>
      </c>
      <c r="D784" s="92">
        <v>2.4899999999999999E-5</v>
      </c>
      <c r="E784" s="236">
        <v>34985</v>
      </c>
      <c r="F784" s="236"/>
      <c r="G784" s="237">
        <v>2015</v>
      </c>
      <c r="H784" s="225">
        <v>8494</v>
      </c>
      <c r="I784" s="237">
        <v>4996</v>
      </c>
      <c r="J784" s="236">
        <v>2511</v>
      </c>
      <c r="K784" s="225">
        <f t="shared" si="25"/>
        <v>18016</v>
      </c>
      <c r="L784" s="236"/>
      <c r="M784" s="237">
        <v>990</v>
      </c>
      <c r="N784" s="237">
        <v>0</v>
      </c>
      <c r="O784" s="236">
        <v>424</v>
      </c>
      <c r="P784" s="225">
        <f t="shared" si="26"/>
        <v>1414</v>
      </c>
      <c r="Q784" s="236"/>
      <c r="R784" s="237">
        <v>11790</v>
      </c>
      <c r="S784" s="238">
        <v>315</v>
      </c>
      <c r="T784" s="238">
        <v>12105</v>
      </c>
    </row>
    <row r="785" spans="1:20">
      <c r="A785" s="231">
        <v>98421</v>
      </c>
      <c r="B785" s="232" t="s">
        <v>1493</v>
      </c>
      <c r="C785" s="92">
        <v>8.2700000000000004E-5</v>
      </c>
      <c r="D785" s="92">
        <v>1.0840000000000001E-4</v>
      </c>
      <c r="E785" s="236">
        <v>126343</v>
      </c>
      <c r="F785" s="236"/>
      <c r="G785" s="237">
        <v>7279</v>
      </c>
      <c r="H785" s="225">
        <v>30676</v>
      </c>
      <c r="I785" s="237">
        <v>18043</v>
      </c>
      <c r="J785" s="236">
        <v>5132</v>
      </c>
      <c r="K785" s="225">
        <f t="shared" si="25"/>
        <v>61130</v>
      </c>
      <c r="L785" s="236"/>
      <c r="M785" s="237">
        <v>3576</v>
      </c>
      <c r="N785" s="237">
        <v>0</v>
      </c>
      <c r="O785" s="236">
        <v>12725</v>
      </c>
      <c r="P785" s="225">
        <f t="shared" si="26"/>
        <v>16301</v>
      </c>
      <c r="Q785" s="236"/>
      <c r="R785" s="237">
        <v>42578</v>
      </c>
      <c r="S785" s="238">
        <v>-911</v>
      </c>
      <c r="T785" s="238">
        <v>41667</v>
      </c>
    </row>
    <row r="786" spans="1:20">
      <c r="A786" s="231">
        <v>98427</v>
      </c>
      <c r="B786" s="232" t="s">
        <v>1494</v>
      </c>
      <c r="C786" s="92">
        <v>3.9999999999999998E-6</v>
      </c>
      <c r="D786" s="92">
        <v>4.6E-6</v>
      </c>
      <c r="E786" s="236">
        <v>6111</v>
      </c>
      <c r="F786" s="236"/>
      <c r="G786" s="237">
        <v>352</v>
      </c>
      <c r="H786" s="225">
        <v>1484</v>
      </c>
      <c r="I786" s="237">
        <v>873</v>
      </c>
      <c r="J786" s="236">
        <v>1351</v>
      </c>
      <c r="K786" s="225">
        <f t="shared" si="25"/>
        <v>4060</v>
      </c>
      <c r="L786" s="236"/>
      <c r="M786" s="237">
        <v>173</v>
      </c>
      <c r="N786" s="237">
        <v>0</v>
      </c>
      <c r="O786" s="236">
        <v>0</v>
      </c>
      <c r="P786" s="225">
        <f t="shared" si="26"/>
        <v>173</v>
      </c>
      <c r="Q786" s="236"/>
      <c r="R786" s="237">
        <v>2059</v>
      </c>
      <c r="S786" s="238">
        <v>487</v>
      </c>
      <c r="T786" s="238">
        <f>2547-1</f>
        <v>2546</v>
      </c>
    </row>
    <row r="787" spans="1:20">
      <c r="A787" s="231">
        <v>98431</v>
      </c>
      <c r="B787" s="232" t="s">
        <v>1495</v>
      </c>
      <c r="C787" s="92">
        <v>2.0589999999999999E-4</v>
      </c>
      <c r="D787" s="92">
        <v>2.0010000000000001E-4</v>
      </c>
      <c r="E787" s="236">
        <v>314558</v>
      </c>
      <c r="F787" s="236"/>
      <c r="G787" s="237">
        <v>18121</v>
      </c>
      <c r="H787" s="225">
        <v>76375</v>
      </c>
      <c r="I787" s="237">
        <v>44923</v>
      </c>
      <c r="J787" s="236">
        <v>1246</v>
      </c>
      <c r="K787" s="225">
        <f t="shared" si="25"/>
        <v>140665</v>
      </c>
      <c r="L787" s="236"/>
      <c r="M787" s="237">
        <v>8904</v>
      </c>
      <c r="N787" s="237">
        <v>0</v>
      </c>
      <c r="O787" s="236">
        <v>24844</v>
      </c>
      <c r="P787" s="225">
        <f t="shared" si="26"/>
        <v>33748</v>
      </c>
      <c r="Q787" s="236"/>
      <c r="R787" s="237">
        <v>106006</v>
      </c>
      <c r="S787" s="238">
        <v>-7635</v>
      </c>
      <c r="T787" s="238">
        <f>98372-1</f>
        <v>98371</v>
      </c>
    </row>
    <row r="788" spans="1:20">
      <c r="A788" s="231">
        <v>98441</v>
      </c>
      <c r="B788" s="232" t="s">
        <v>1496</v>
      </c>
      <c r="C788" s="92">
        <v>8.2700000000000004E-5</v>
      </c>
      <c r="D788" s="92">
        <v>9.1000000000000003E-5</v>
      </c>
      <c r="E788" s="236">
        <v>126343</v>
      </c>
      <c r="F788" s="236"/>
      <c r="G788" s="237">
        <v>7279</v>
      </c>
      <c r="H788" s="225">
        <v>30676</v>
      </c>
      <c r="I788" s="237">
        <v>18043</v>
      </c>
      <c r="J788" s="236">
        <v>570</v>
      </c>
      <c r="K788" s="225">
        <f t="shared" si="25"/>
        <v>56568</v>
      </c>
      <c r="L788" s="236"/>
      <c r="M788" s="237">
        <v>3576</v>
      </c>
      <c r="N788" s="237">
        <v>0</v>
      </c>
      <c r="O788" s="236">
        <v>22406</v>
      </c>
      <c r="P788" s="225">
        <f t="shared" si="26"/>
        <v>25982</v>
      </c>
      <c r="Q788" s="236"/>
      <c r="R788" s="237">
        <v>42578</v>
      </c>
      <c r="S788" s="238">
        <v>-8026</v>
      </c>
      <c r="T788" s="238">
        <v>34552</v>
      </c>
    </row>
    <row r="789" spans="1:20">
      <c r="A789" s="231">
        <v>98451</v>
      </c>
      <c r="B789" s="232" t="s">
        <v>1497</v>
      </c>
      <c r="C789" s="92">
        <v>5.7000000000000003E-5</v>
      </c>
      <c r="D789" s="92">
        <v>5.6199999999999997E-5</v>
      </c>
      <c r="E789" s="236">
        <v>87080</v>
      </c>
      <c r="F789" s="236"/>
      <c r="G789" s="237">
        <v>5017</v>
      </c>
      <c r="H789" s="225">
        <v>21143</v>
      </c>
      <c r="I789" s="237">
        <v>12436</v>
      </c>
      <c r="J789" s="236">
        <v>508</v>
      </c>
      <c r="K789" s="225">
        <f t="shared" si="25"/>
        <v>39104</v>
      </c>
      <c r="L789" s="236"/>
      <c r="M789" s="237">
        <v>2465</v>
      </c>
      <c r="N789" s="237">
        <v>0</v>
      </c>
      <c r="O789" s="236">
        <v>1478</v>
      </c>
      <c r="P789" s="225">
        <f t="shared" si="26"/>
        <v>3943</v>
      </c>
      <c r="Q789" s="236"/>
      <c r="R789" s="237">
        <v>29346</v>
      </c>
      <c r="S789" s="238">
        <v>-530</v>
      </c>
      <c r="T789" s="238">
        <v>28816</v>
      </c>
    </row>
    <row r="790" spans="1:20">
      <c r="A790" s="231">
        <v>98481</v>
      </c>
      <c r="B790" s="232" t="s">
        <v>1498</v>
      </c>
      <c r="C790" s="92">
        <v>6.3899999999999995E-5</v>
      </c>
      <c r="D790" s="92">
        <v>6.7700000000000006E-5</v>
      </c>
      <c r="E790" s="236">
        <v>97621</v>
      </c>
      <c r="F790" s="236"/>
      <c r="G790" s="237">
        <v>5624</v>
      </c>
      <c r="H790" s="225">
        <v>23703</v>
      </c>
      <c r="I790" s="237">
        <v>13942</v>
      </c>
      <c r="J790" s="236">
        <v>1545</v>
      </c>
      <c r="K790" s="225">
        <f t="shared" si="25"/>
        <v>44814</v>
      </c>
      <c r="L790" s="236"/>
      <c r="M790" s="237">
        <v>2763</v>
      </c>
      <c r="N790" s="237">
        <v>0</v>
      </c>
      <c r="O790" s="236">
        <v>5772</v>
      </c>
      <c r="P790" s="225">
        <f t="shared" si="26"/>
        <v>8535</v>
      </c>
      <c r="Q790" s="236"/>
      <c r="R790" s="237">
        <v>32899</v>
      </c>
      <c r="S790" s="238">
        <v>-35</v>
      </c>
      <c r="T790" s="238">
        <f>32863+1</f>
        <v>32864</v>
      </c>
    </row>
    <row r="791" spans="1:20">
      <c r="A791" s="231">
        <v>98501</v>
      </c>
      <c r="B791" s="232" t="s">
        <v>1499</v>
      </c>
      <c r="C791" s="92">
        <v>1.6022E-3</v>
      </c>
      <c r="D791" s="92">
        <v>1.5690999999999999E-3</v>
      </c>
      <c r="E791" s="236">
        <v>2447718</v>
      </c>
      <c r="F791" s="236"/>
      <c r="G791" s="237">
        <v>141011</v>
      </c>
      <c r="H791" s="225">
        <v>594309</v>
      </c>
      <c r="I791" s="237">
        <v>349568</v>
      </c>
      <c r="J791" s="236">
        <v>75098</v>
      </c>
      <c r="K791" s="225">
        <f t="shared" si="25"/>
        <v>1159986</v>
      </c>
      <c r="L791" s="236"/>
      <c r="M791" s="237">
        <v>69287</v>
      </c>
      <c r="N791" s="237">
        <v>0</v>
      </c>
      <c r="O791" s="236">
        <v>2932</v>
      </c>
      <c r="P791" s="225">
        <f t="shared" si="26"/>
        <v>72219</v>
      </c>
      <c r="Q791" s="236"/>
      <c r="R791" s="237">
        <v>824883</v>
      </c>
      <c r="S791" s="238">
        <v>19182</v>
      </c>
      <c r="T791" s="238">
        <v>844065</v>
      </c>
    </row>
    <row r="792" spans="1:20">
      <c r="A792" s="231">
        <v>98511</v>
      </c>
      <c r="B792" s="232" t="s">
        <v>1500</v>
      </c>
      <c r="C792" s="92">
        <v>4.8000000000000001E-5</v>
      </c>
      <c r="D792" s="92">
        <v>4.5800000000000002E-5</v>
      </c>
      <c r="E792" s="236">
        <v>73331</v>
      </c>
      <c r="F792" s="236"/>
      <c r="G792" s="237">
        <v>4225</v>
      </c>
      <c r="H792" s="225">
        <v>17804</v>
      </c>
      <c r="I792" s="237">
        <v>10473</v>
      </c>
      <c r="J792" s="236">
        <v>5918</v>
      </c>
      <c r="K792" s="225">
        <f t="shared" si="25"/>
        <v>38420</v>
      </c>
      <c r="L792" s="236"/>
      <c r="M792" s="237">
        <v>2076</v>
      </c>
      <c r="N792" s="237">
        <v>0</v>
      </c>
      <c r="O792" s="236">
        <v>11919</v>
      </c>
      <c r="P792" s="225">
        <f t="shared" si="26"/>
        <v>13995</v>
      </c>
      <c r="Q792" s="236"/>
      <c r="R792" s="237">
        <v>24713</v>
      </c>
      <c r="S792" s="238">
        <v>-9378</v>
      </c>
      <c r="T792" s="238">
        <f>15334+1</f>
        <v>15335</v>
      </c>
    </row>
    <row r="793" spans="1:20">
      <c r="A793" s="231">
        <v>98517</v>
      </c>
      <c r="B793" s="232" t="s">
        <v>1501</v>
      </c>
      <c r="C793" s="92">
        <v>2.3E-6</v>
      </c>
      <c r="D793" s="92">
        <v>2.6000000000000001E-6</v>
      </c>
      <c r="E793" s="236">
        <v>3514</v>
      </c>
      <c r="F793" s="236"/>
      <c r="G793" s="237">
        <v>202</v>
      </c>
      <c r="H793" s="225">
        <v>854</v>
      </c>
      <c r="I793" s="237">
        <v>502</v>
      </c>
      <c r="J793" s="236">
        <v>1623</v>
      </c>
      <c r="K793" s="225">
        <f t="shared" si="25"/>
        <v>3181</v>
      </c>
      <c r="L793" s="236"/>
      <c r="M793" s="237">
        <v>99</v>
      </c>
      <c r="N793" s="237">
        <v>0</v>
      </c>
      <c r="O793" s="236">
        <v>0</v>
      </c>
      <c r="P793" s="225">
        <f t="shared" si="26"/>
        <v>99</v>
      </c>
      <c r="Q793" s="236"/>
      <c r="R793" s="237">
        <v>1184</v>
      </c>
      <c r="S793" s="238">
        <v>589</v>
      </c>
      <c r="T793" s="238">
        <v>1773</v>
      </c>
    </row>
    <row r="794" spans="1:20">
      <c r="A794" s="231">
        <v>98521</v>
      </c>
      <c r="B794" s="232" t="s">
        <v>1502</v>
      </c>
      <c r="C794" s="92">
        <v>6.6180000000000004E-4</v>
      </c>
      <c r="D794" s="92">
        <v>5.7059999999999999E-4</v>
      </c>
      <c r="E794" s="236">
        <v>1011047</v>
      </c>
      <c r="F794" s="236"/>
      <c r="G794" s="237">
        <v>58246</v>
      </c>
      <c r="H794" s="225">
        <v>245484</v>
      </c>
      <c r="I794" s="237">
        <v>144392</v>
      </c>
      <c r="J794" s="236">
        <v>34795</v>
      </c>
      <c r="K794" s="225">
        <f t="shared" si="25"/>
        <v>482917</v>
      </c>
      <c r="L794" s="236"/>
      <c r="M794" s="237">
        <v>28620</v>
      </c>
      <c r="N794" s="237">
        <v>0</v>
      </c>
      <c r="O794" s="236">
        <v>43967</v>
      </c>
      <c r="P794" s="225">
        <f t="shared" si="26"/>
        <v>72587</v>
      </c>
      <c r="Q794" s="236"/>
      <c r="R794" s="237">
        <v>340724</v>
      </c>
      <c r="S794" s="238">
        <v>-10201</v>
      </c>
      <c r="T794" s="238">
        <v>330523</v>
      </c>
    </row>
    <row r="795" spans="1:20">
      <c r="A795" s="231">
        <v>98601</v>
      </c>
      <c r="B795" s="232" t="s">
        <v>1503</v>
      </c>
      <c r="C795" s="92">
        <v>3.4148E-3</v>
      </c>
      <c r="D795" s="92">
        <v>3.5065999999999999E-3</v>
      </c>
      <c r="E795" s="236">
        <v>5216869</v>
      </c>
      <c r="F795" s="236"/>
      <c r="G795" s="237">
        <v>300540</v>
      </c>
      <c r="H795" s="225">
        <v>1266662</v>
      </c>
      <c r="I795" s="237">
        <v>745041</v>
      </c>
      <c r="J795" s="236">
        <v>0</v>
      </c>
      <c r="K795" s="225">
        <f t="shared" si="25"/>
        <v>2312243</v>
      </c>
      <c r="L795" s="236"/>
      <c r="M795" s="237">
        <v>147673</v>
      </c>
      <c r="N795" s="237">
        <v>0</v>
      </c>
      <c r="O795" s="236">
        <v>216693</v>
      </c>
      <c r="P795" s="225">
        <f t="shared" si="26"/>
        <v>364366</v>
      </c>
      <c r="Q795" s="236"/>
      <c r="R795" s="237">
        <v>1758089</v>
      </c>
      <c r="S795" s="238">
        <v>-93549</v>
      </c>
      <c r="T795" s="238">
        <v>1664540</v>
      </c>
    </row>
    <row r="796" spans="1:20">
      <c r="A796" s="231">
        <v>98604</v>
      </c>
      <c r="B796" s="232" t="s">
        <v>1504</v>
      </c>
      <c r="C796" s="92">
        <v>1.34E-5</v>
      </c>
      <c r="D796" s="92">
        <v>1.59E-5</v>
      </c>
      <c r="E796" s="236">
        <v>20471</v>
      </c>
      <c r="F796" s="236"/>
      <c r="G796" s="237">
        <v>1179</v>
      </c>
      <c r="H796" s="225">
        <v>4970</v>
      </c>
      <c r="I796" s="237">
        <v>2924</v>
      </c>
      <c r="J796" s="236">
        <f>5979+2967</f>
        <v>8946</v>
      </c>
      <c r="K796" s="225">
        <f t="shared" si="25"/>
        <v>18019</v>
      </c>
      <c r="L796" s="236"/>
      <c r="M796" s="237">
        <v>579</v>
      </c>
      <c r="N796" s="237">
        <v>0</v>
      </c>
      <c r="O796" s="236">
        <f>527+4977</f>
        <v>5504</v>
      </c>
      <c r="P796" s="225">
        <f t="shared" si="26"/>
        <v>6083</v>
      </c>
      <c r="Q796" s="236"/>
      <c r="R796" s="237">
        <v>6899</v>
      </c>
      <c r="S796" s="238">
        <f>1959+178</f>
        <v>2137</v>
      </c>
      <c r="T796" s="238">
        <f>8857+1+178</f>
        <v>9036</v>
      </c>
    </row>
    <row r="797" spans="1:20">
      <c r="A797" s="231">
        <v>98607</v>
      </c>
      <c r="B797" s="232" t="s">
        <v>1505</v>
      </c>
      <c r="C797" s="92">
        <v>5.9000000000000003E-6</v>
      </c>
      <c r="D797" s="92">
        <v>5.9000000000000003E-6</v>
      </c>
      <c r="E797" s="236">
        <v>9014</v>
      </c>
      <c r="F797" s="236"/>
      <c r="G797" s="237">
        <v>519</v>
      </c>
      <c r="H797" s="225">
        <v>2188</v>
      </c>
      <c r="I797" s="237">
        <v>1287</v>
      </c>
      <c r="J797" s="236">
        <v>52</v>
      </c>
      <c r="K797" s="225">
        <f t="shared" si="25"/>
        <v>4046</v>
      </c>
      <c r="L797" s="236"/>
      <c r="M797" s="237">
        <v>255</v>
      </c>
      <c r="N797" s="237">
        <v>0</v>
      </c>
      <c r="O797" s="236">
        <v>1474</v>
      </c>
      <c r="P797" s="225">
        <f t="shared" si="26"/>
        <v>1729</v>
      </c>
      <c r="Q797" s="236"/>
      <c r="R797" s="237">
        <v>3038</v>
      </c>
      <c r="S797" s="238">
        <v>-861</v>
      </c>
      <c r="T797" s="238">
        <v>2177</v>
      </c>
    </row>
    <row r="798" spans="1:20">
      <c r="A798" s="231">
        <v>98608</v>
      </c>
      <c r="B798" s="232" t="s">
        <v>1506</v>
      </c>
      <c r="C798" s="92">
        <v>4.9200000000000003E-5</v>
      </c>
      <c r="D798" s="92">
        <v>4.2299999999999998E-5</v>
      </c>
      <c r="E798" s="236">
        <v>75164</v>
      </c>
      <c r="F798" s="236"/>
      <c r="G798" s="237">
        <v>4330</v>
      </c>
      <c r="H798" s="225">
        <v>18250</v>
      </c>
      <c r="I798" s="237">
        <v>10734</v>
      </c>
      <c r="J798" s="236">
        <v>6529</v>
      </c>
      <c r="K798" s="225">
        <f t="shared" si="25"/>
        <v>39843</v>
      </c>
      <c r="L798" s="236"/>
      <c r="M798" s="237">
        <v>2128</v>
      </c>
      <c r="N798" s="237">
        <v>0</v>
      </c>
      <c r="O798" s="236">
        <v>5369</v>
      </c>
      <c r="P798" s="225">
        <f t="shared" si="26"/>
        <v>7497</v>
      </c>
      <c r="Q798" s="236"/>
      <c r="R798" s="237">
        <v>25330</v>
      </c>
      <c r="S798" s="238">
        <v>1217</v>
      </c>
      <c r="T798" s="238">
        <v>26547</v>
      </c>
    </row>
    <row r="799" spans="1:20">
      <c r="A799" s="231">
        <v>98611</v>
      </c>
      <c r="B799" s="232" t="s">
        <v>1507</v>
      </c>
      <c r="C799" s="92">
        <v>8.6899999999999998E-5</v>
      </c>
      <c r="D799" s="92">
        <v>8.6700000000000007E-5</v>
      </c>
      <c r="E799" s="236">
        <v>132759</v>
      </c>
      <c r="F799" s="236"/>
      <c r="G799" s="237">
        <v>7648</v>
      </c>
      <c r="H799" s="225">
        <v>32235</v>
      </c>
      <c r="I799" s="237">
        <v>18960</v>
      </c>
      <c r="J799" s="236">
        <v>10690</v>
      </c>
      <c r="K799" s="225">
        <f t="shared" si="25"/>
        <v>69533</v>
      </c>
      <c r="L799" s="236"/>
      <c r="M799" s="237">
        <v>3758</v>
      </c>
      <c r="N799" s="237">
        <v>0</v>
      </c>
      <c r="O799" s="236">
        <v>9519</v>
      </c>
      <c r="P799" s="225">
        <f t="shared" si="26"/>
        <v>13277</v>
      </c>
      <c r="Q799" s="236"/>
      <c r="R799" s="237">
        <v>44740</v>
      </c>
      <c r="S799" s="238">
        <v>910</v>
      </c>
      <c r="T799" s="238">
        <f>45649+1</f>
        <v>45650</v>
      </c>
    </row>
    <row r="800" spans="1:20">
      <c r="A800" s="231">
        <v>98621</v>
      </c>
      <c r="B800" s="232" t="s">
        <v>1508</v>
      </c>
      <c r="C800" s="92">
        <v>1.314E-4</v>
      </c>
      <c r="D800" s="92">
        <v>1.3239999999999999E-4</v>
      </c>
      <c r="E800" s="236">
        <v>200743</v>
      </c>
      <c r="F800" s="236"/>
      <c r="G800" s="237">
        <v>11565</v>
      </c>
      <c r="H800" s="225">
        <v>48740</v>
      </c>
      <c r="I800" s="237">
        <v>28669</v>
      </c>
      <c r="J800" s="236">
        <v>473</v>
      </c>
      <c r="K800" s="225">
        <f t="shared" si="25"/>
        <v>89447</v>
      </c>
      <c r="L800" s="236"/>
      <c r="M800" s="237">
        <v>5682</v>
      </c>
      <c r="N800" s="237">
        <v>0</v>
      </c>
      <c r="O800" s="236">
        <v>10727</v>
      </c>
      <c r="P800" s="225">
        <f t="shared" si="26"/>
        <v>16409</v>
      </c>
      <c r="Q800" s="236"/>
      <c r="R800" s="237">
        <v>67651</v>
      </c>
      <c r="S800" s="238">
        <v>-3535</v>
      </c>
      <c r="T800" s="238">
        <f>64115+1</f>
        <v>64116</v>
      </c>
    </row>
    <row r="801" spans="1:20">
      <c r="A801" s="231">
        <v>98627</v>
      </c>
      <c r="B801" s="232" t="s">
        <v>1509</v>
      </c>
      <c r="C801" s="92">
        <v>8.6999999999999997E-6</v>
      </c>
      <c r="D801" s="92">
        <v>9.3999999999999998E-6</v>
      </c>
      <c r="E801" s="236">
        <v>13291</v>
      </c>
      <c r="F801" s="236"/>
      <c r="G801" s="237">
        <v>766</v>
      </c>
      <c r="H801" s="225">
        <v>3227</v>
      </c>
      <c r="I801" s="237">
        <v>1898</v>
      </c>
      <c r="J801" s="236">
        <v>316</v>
      </c>
      <c r="K801" s="225">
        <f t="shared" si="25"/>
        <v>6207</v>
      </c>
      <c r="L801" s="236"/>
      <c r="M801" s="237">
        <v>376</v>
      </c>
      <c r="N801" s="237">
        <v>0</v>
      </c>
      <c r="O801" s="236">
        <v>1098</v>
      </c>
      <c r="P801" s="225">
        <f t="shared" si="26"/>
        <v>1474</v>
      </c>
      <c r="Q801" s="236"/>
      <c r="R801" s="237">
        <v>4479</v>
      </c>
      <c r="S801" s="238">
        <v>-220</v>
      </c>
      <c r="T801" s="238">
        <v>4259</v>
      </c>
    </row>
    <row r="802" spans="1:20">
      <c r="A802" s="231">
        <v>98631</v>
      </c>
      <c r="B802" s="232" t="s">
        <v>1510</v>
      </c>
      <c r="C802" s="92">
        <v>1.0051999999999999E-3</v>
      </c>
      <c r="D802" s="92">
        <v>1.0415000000000001E-3</v>
      </c>
      <c r="E802" s="236">
        <v>1535667</v>
      </c>
      <c r="F802" s="236"/>
      <c r="G802" s="237">
        <v>88469</v>
      </c>
      <c r="H802" s="225">
        <v>372862</v>
      </c>
      <c r="I802" s="237">
        <v>219315</v>
      </c>
      <c r="J802" s="236">
        <v>0</v>
      </c>
      <c r="K802" s="225">
        <f t="shared" si="25"/>
        <v>680646</v>
      </c>
      <c r="L802" s="236"/>
      <c r="M802" s="237">
        <v>43470</v>
      </c>
      <c r="N802" s="237">
        <v>0</v>
      </c>
      <c r="O802" s="236">
        <v>102113</v>
      </c>
      <c r="P802" s="225">
        <f t="shared" si="26"/>
        <v>145583</v>
      </c>
      <c r="Q802" s="236"/>
      <c r="R802" s="237">
        <v>517521</v>
      </c>
      <c r="S802" s="238">
        <v>-41744</v>
      </c>
      <c r="T802" s="238">
        <v>475777</v>
      </c>
    </row>
    <row r="803" spans="1:20">
      <c r="A803" s="231">
        <v>98637</v>
      </c>
      <c r="B803" s="232" t="s">
        <v>1511</v>
      </c>
      <c r="C803" s="92">
        <v>2.0800000000000001E-5</v>
      </c>
      <c r="D803" s="92">
        <v>2.2200000000000001E-5</v>
      </c>
      <c r="E803" s="236">
        <v>31777</v>
      </c>
      <c r="F803" s="236"/>
      <c r="G803" s="237">
        <v>1831</v>
      </c>
      <c r="H803" s="225">
        <v>7715</v>
      </c>
      <c r="I803" s="237">
        <v>4538</v>
      </c>
      <c r="J803" s="236">
        <v>8386</v>
      </c>
      <c r="K803" s="225">
        <f t="shared" si="25"/>
        <v>22470</v>
      </c>
      <c r="L803" s="236"/>
      <c r="M803" s="237">
        <v>899</v>
      </c>
      <c r="N803" s="237">
        <v>0</v>
      </c>
      <c r="O803" s="236">
        <v>0</v>
      </c>
      <c r="P803" s="225">
        <f t="shared" si="26"/>
        <v>899</v>
      </c>
      <c r="Q803" s="236"/>
      <c r="R803" s="237">
        <v>10709</v>
      </c>
      <c r="S803" s="238">
        <v>3206</v>
      </c>
      <c r="T803" s="238">
        <f>13914+1</f>
        <v>13915</v>
      </c>
    </row>
    <row r="804" spans="1:20">
      <c r="A804" s="231">
        <v>98641</v>
      </c>
      <c r="B804" s="232" t="s">
        <v>1512</v>
      </c>
      <c r="C804" s="92">
        <v>2.965E-4</v>
      </c>
      <c r="D804" s="92">
        <v>3.0019999999999998E-4</v>
      </c>
      <c r="E804" s="236">
        <v>452970</v>
      </c>
      <c r="F804" s="236"/>
      <c r="G804" s="237">
        <v>26095</v>
      </c>
      <c r="H804" s="225">
        <v>109981</v>
      </c>
      <c r="I804" s="237">
        <v>64690</v>
      </c>
      <c r="J804" s="236">
        <v>3407</v>
      </c>
      <c r="K804" s="225">
        <f t="shared" si="25"/>
        <v>204173</v>
      </c>
      <c r="L804" s="236"/>
      <c r="M804" s="237">
        <v>12822</v>
      </c>
      <c r="N804" s="237">
        <v>0</v>
      </c>
      <c r="O804" s="236">
        <v>7840</v>
      </c>
      <c r="P804" s="225">
        <f t="shared" si="26"/>
        <v>20662</v>
      </c>
      <c r="Q804" s="236"/>
      <c r="R804" s="237">
        <v>152651</v>
      </c>
      <c r="S804" s="238">
        <v>-183</v>
      </c>
      <c r="T804" s="238">
        <v>152468</v>
      </c>
    </row>
    <row r="805" spans="1:20">
      <c r="A805" s="231">
        <v>98701</v>
      </c>
      <c r="B805" s="232" t="s">
        <v>1513</v>
      </c>
      <c r="C805" s="92">
        <v>1.1333999999999999E-3</v>
      </c>
      <c r="D805" s="92">
        <v>1.1793000000000001E-3</v>
      </c>
      <c r="E805" s="236">
        <v>1731521</v>
      </c>
      <c r="F805" s="236"/>
      <c r="G805" s="237">
        <v>99752</v>
      </c>
      <c r="H805" s="225">
        <v>420415</v>
      </c>
      <c r="I805" s="237">
        <v>247285</v>
      </c>
      <c r="J805" s="236">
        <v>3431</v>
      </c>
      <c r="K805" s="225">
        <f t="shared" si="25"/>
        <v>770883</v>
      </c>
      <c r="L805" s="236"/>
      <c r="M805" s="237">
        <v>49014</v>
      </c>
      <c r="N805" s="237">
        <v>0</v>
      </c>
      <c r="O805" s="236">
        <v>66380</v>
      </c>
      <c r="P805" s="225">
        <f t="shared" si="26"/>
        <v>115394</v>
      </c>
      <c r="Q805" s="236"/>
      <c r="R805" s="237">
        <v>583524</v>
      </c>
      <c r="S805" s="238">
        <v>-25976</v>
      </c>
      <c r="T805" s="238">
        <v>557548</v>
      </c>
    </row>
    <row r="806" spans="1:20">
      <c r="A806" s="231">
        <v>98711</v>
      </c>
      <c r="B806" s="232" t="s">
        <v>1514</v>
      </c>
      <c r="C806" s="92">
        <v>1.8369999999999999E-4</v>
      </c>
      <c r="D806" s="92">
        <v>1.8039999999999999E-4</v>
      </c>
      <c r="E806" s="236">
        <v>280643</v>
      </c>
      <c r="F806" s="236"/>
      <c r="G806" s="237">
        <v>16168</v>
      </c>
      <c r="H806" s="225">
        <v>68140</v>
      </c>
      <c r="I806" s="237">
        <v>40080</v>
      </c>
      <c r="J806" s="236">
        <v>1238</v>
      </c>
      <c r="K806" s="225">
        <f t="shared" si="25"/>
        <v>125626</v>
      </c>
      <c r="L806" s="236"/>
      <c r="M806" s="237">
        <v>7944</v>
      </c>
      <c r="N806" s="237">
        <v>0</v>
      </c>
      <c r="O806" s="236">
        <v>16374</v>
      </c>
      <c r="P806" s="225">
        <f t="shared" si="26"/>
        <v>24318</v>
      </c>
      <c r="Q806" s="236"/>
      <c r="R806" s="237">
        <v>94577</v>
      </c>
      <c r="S806" s="238">
        <v>-4053</v>
      </c>
      <c r="T806" s="238">
        <v>90524</v>
      </c>
    </row>
    <row r="807" spans="1:20">
      <c r="A807" s="231">
        <v>98717</v>
      </c>
      <c r="B807" s="232" t="s">
        <v>1515</v>
      </c>
      <c r="C807" s="92">
        <v>2.1100000000000001E-5</v>
      </c>
      <c r="D807" s="92">
        <v>1.8600000000000001E-5</v>
      </c>
      <c r="E807" s="236">
        <v>32235</v>
      </c>
      <c r="F807" s="236"/>
      <c r="G807" s="237">
        <v>1857</v>
      </c>
      <c r="H807" s="225">
        <v>7827</v>
      </c>
      <c r="I807" s="237">
        <v>4604</v>
      </c>
      <c r="J807" s="236">
        <v>1439</v>
      </c>
      <c r="K807" s="225">
        <f t="shared" si="25"/>
        <v>15727</v>
      </c>
      <c r="L807" s="236"/>
      <c r="M807" s="237">
        <v>912</v>
      </c>
      <c r="N807" s="237">
        <v>0</v>
      </c>
      <c r="O807" s="236">
        <v>534</v>
      </c>
      <c r="P807" s="225">
        <f t="shared" si="26"/>
        <v>1446</v>
      </c>
      <c r="Q807" s="236"/>
      <c r="R807" s="237">
        <v>10863</v>
      </c>
      <c r="S807" s="238">
        <v>247</v>
      </c>
      <c r="T807" s="238">
        <v>11110</v>
      </c>
    </row>
    <row r="808" spans="1:20">
      <c r="A808" s="231">
        <v>98801</v>
      </c>
      <c r="B808" s="232" t="s">
        <v>1516</v>
      </c>
      <c r="C808" s="92">
        <v>2.2859E-3</v>
      </c>
      <c r="D808" s="92">
        <v>2.1771999999999998E-3</v>
      </c>
      <c r="E808" s="236">
        <v>3492222</v>
      </c>
      <c r="F808" s="236"/>
      <c r="G808" s="237">
        <v>201184</v>
      </c>
      <c r="H808" s="225">
        <v>847916</v>
      </c>
      <c r="I808" s="237">
        <v>498738</v>
      </c>
      <c r="J808" s="236">
        <v>146068</v>
      </c>
      <c r="K808" s="225">
        <f t="shared" si="25"/>
        <v>1693906</v>
      </c>
      <c r="L808" s="236"/>
      <c r="M808" s="237">
        <v>98854</v>
      </c>
      <c r="N808" s="237">
        <v>0</v>
      </c>
      <c r="O808" s="236">
        <v>0</v>
      </c>
      <c r="P808" s="225">
        <f t="shared" si="26"/>
        <v>98854</v>
      </c>
      <c r="Q808" s="236"/>
      <c r="R808" s="237">
        <v>1176882</v>
      </c>
      <c r="S808" s="238">
        <v>55567</v>
      </c>
      <c r="T808" s="238">
        <v>1232449</v>
      </c>
    </row>
    <row r="809" spans="1:20">
      <c r="A809" s="231">
        <v>98811</v>
      </c>
      <c r="B809" s="232" t="s">
        <v>1517</v>
      </c>
      <c r="C809" s="92">
        <v>6.5160000000000001E-4</v>
      </c>
      <c r="D809" s="92">
        <v>7.1120000000000005E-4</v>
      </c>
      <c r="E809" s="236">
        <v>995464</v>
      </c>
      <c r="F809" s="236"/>
      <c r="G809" s="237">
        <v>57348</v>
      </c>
      <c r="H809" s="225">
        <v>241700</v>
      </c>
      <c r="I809" s="237">
        <v>142166</v>
      </c>
      <c r="J809" s="236">
        <v>16975</v>
      </c>
      <c r="K809" s="225">
        <f t="shared" si="25"/>
        <v>458189</v>
      </c>
      <c r="L809" s="236"/>
      <c r="M809" s="237">
        <v>28178</v>
      </c>
      <c r="N809" s="237">
        <v>0</v>
      </c>
      <c r="O809" s="236">
        <v>46894</v>
      </c>
      <c r="P809" s="225">
        <f t="shared" si="26"/>
        <v>75072</v>
      </c>
      <c r="Q809" s="236"/>
      <c r="R809" s="237">
        <v>335472</v>
      </c>
      <c r="S809" s="238">
        <v>-312</v>
      </c>
      <c r="T809" s="238">
        <f>335161-1</f>
        <v>335160</v>
      </c>
    </row>
    <row r="810" spans="1:20">
      <c r="A810" s="231">
        <v>98817</v>
      </c>
      <c r="B810" s="232" t="s">
        <v>1518</v>
      </c>
      <c r="C810" s="92">
        <v>2.5199999999999999E-5</v>
      </c>
      <c r="D810" s="92">
        <v>2.34E-5</v>
      </c>
      <c r="E810" s="236">
        <v>38499</v>
      </c>
      <c r="F810" s="236"/>
      <c r="G810" s="237">
        <v>2218</v>
      </c>
      <c r="H810" s="225">
        <v>9347</v>
      </c>
      <c r="I810" s="237">
        <v>5498</v>
      </c>
      <c r="J810" s="236">
        <v>3862</v>
      </c>
      <c r="K810" s="225">
        <f t="shared" si="25"/>
        <v>20925</v>
      </c>
      <c r="L810" s="236"/>
      <c r="M810" s="237">
        <v>1090</v>
      </c>
      <c r="N810" s="237">
        <v>0</v>
      </c>
      <c r="O810" s="236">
        <v>2179</v>
      </c>
      <c r="P810" s="225">
        <f t="shared" si="26"/>
        <v>3269</v>
      </c>
      <c r="Q810" s="236"/>
      <c r="R810" s="237">
        <v>12974</v>
      </c>
      <c r="S810" s="238">
        <v>-1216</v>
      </c>
      <c r="T810" s="238">
        <v>11758</v>
      </c>
    </row>
    <row r="811" spans="1:20">
      <c r="A811" s="231">
        <v>98901</v>
      </c>
      <c r="B811" s="232" t="s">
        <v>1519</v>
      </c>
      <c r="C811" s="92">
        <v>3.5050000000000001E-4</v>
      </c>
      <c r="D811" s="92">
        <v>3.392E-4</v>
      </c>
      <c r="E811" s="236">
        <v>535467</v>
      </c>
      <c r="F811" s="236"/>
      <c r="G811" s="237">
        <v>30848</v>
      </c>
      <c r="H811" s="225">
        <v>130012</v>
      </c>
      <c r="I811" s="237">
        <v>76472</v>
      </c>
      <c r="J811" s="236">
        <v>7505</v>
      </c>
      <c r="K811" s="225">
        <f t="shared" si="25"/>
        <v>244837</v>
      </c>
      <c r="L811" s="236"/>
      <c r="M811" s="237">
        <v>15157</v>
      </c>
      <c r="N811" s="237">
        <v>0</v>
      </c>
      <c r="O811" s="236">
        <v>2530</v>
      </c>
      <c r="P811" s="225">
        <f t="shared" si="26"/>
        <v>17687</v>
      </c>
      <c r="Q811" s="236"/>
      <c r="R811" s="237">
        <v>180453</v>
      </c>
      <c r="S811" s="238">
        <v>975</v>
      </c>
      <c r="T811" s="238">
        <v>181428</v>
      </c>
    </row>
    <row r="812" spans="1:20">
      <c r="A812" s="231">
        <v>98904</v>
      </c>
      <c r="B812" s="232" t="s">
        <v>1520</v>
      </c>
      <c r="C812" s="92">
        <v>2.7999999999999999E-6</v>
      </c>
      <c r="D812" s="92">
        <v>5.2000000000000002E-6</v>
      </c>
      <c r="E812" s="236">
        <v>4278</v>
      </c>
      <c r="F812" s="236"/>
      <c r="G812" s="237">
        <v>246</v>
      </c>
      <c r="H812" s="225">
        <v>1039</v>
      </c>
      <c r="I812" s="237">
        <v>611</v>
      </c>
      <c r="J812" s="236">
        <v>365</v>
      </c>
      <c r="K812" s="225">
        <f t="shared" si="25"/>
        <v>2261</v>
      </c>
      <c r="L812" s="236"/>
      <c r="M812" s="237">
        <v>121</v>
      </c>
      <c r="N812" s="237">
        <v>0</v>
      </c>
      <c r="O812" s="236">
        <v>1887</v>
      </c>
      <c r="P812" s="225">
        <f t="shared" si="26"/>
        <v>2008</v>
      </c>
      <c r="Q812" s="236"/>
      <c r="R812" s="237">
        <v>1442</v>
      </c>
      <c r="S812" s="238">
        <v>-315</v>
      </c>
      <c r="T812" s="238">
        <f>1126+1</f>
        <v>1127</v>
      </c>
    </row>
    <row r="813" spans="1:20">
      <c r="A813" s="231">
        <v>98911</v>
      </c>
      <c r="B813" s="232" t="s">
        <v>1521</v>
      </c>
      <c r="C813" s="92">
        <v>2.7900000000000001E-5</v>
      </c>
      <c r="D813" s="92">
        <v>2.8600000000000001E-5</v>
      </c>
      <c r="E813" s="236">
        <v>42623</v>
      </c>
      <c r="F813" s="236"/>
      <c r="G813" s="237">
        <v>2456</v>
      </c>
      <c r="H813" s="225">
        <v>10349</v>
      </c>
      <c r="I813" s="237">
        <v>6087</v>
      </c>
      <c r="J813" s="236">
        <v>12780</v>
      </c>
      <c r="K813" s="225">
        <f t="shared" si="25"/>
        <v>31672</v>
      </c>
      <c r="L813" s="236"/>
      <c r="M813" s="237">
        <v>1207</v>
      </c>
      <c r="N813" s="237">
        <v>0</v>
      </c>
      <c r="O813" s="236">
        <v>0</v>
      </c>
      <c r="P813" s="225">
        <f t="shared" si="26"/>
        <v>1207</v>
      </c>
      <c r="Q813" s="236"/>
      <c r="R813" s="237">
        <v>14364</v>
      </c>
      <c r="S813" s="238">
        <v>5565</v>
      </c>
      <c r="T813" s="238">
        <v>19929</v>
      </c>
    </row>
    <row r="814" spans="1:20">
      <c r="A814" s="231">
        <v>99001</v>
      </c>
      <c r="B814" s="232" t="s">
        <v>1522</v>
      </c>
      <c r="C814" s="92">
        <v>8.0949000000000004E-3</v>
      </c>
      <c r="D814" s="92">
        <v>7.8098999999999998E-3</v>
      </c>
      <c r="E814" s="236">
        <v>12366765</v>
      </c>
      <c r="F814" s="236"/>
      <c r="G814" s="237">
        <v>712440</v>
      </c>
      <c r="H814" s="225">
        <v>3002666</v>
      </c>
      <c r="I814" s="237">
        <v>1766145</v>
      </c>
      <c r="J814" s="236">
        <v>355732</v>
      </c>
      <c r="K814" s="225">
        <f t="shared" si="25"/>
        <v>5836983</v>
      </c>
      <c r="L814" s="236"/>
      <c r="M814" s="237">
        <v>350064</v>
      </c>
      <c r="N814" s="237">
        <v>0</v>
      </c>
      <c r="O814" s="236">
        <v>0</v>
      </c>
      <c r="P814" s="225">
        <f t="shared" si="26"/>
        <v>350064</v>
      </c>
      <c r="Q814" s="236"/>
      <c r="R814" s="237">
        <v>4167611</v>
      </c>
      <c r="S814" s="238">
        <v>186049</v>
      </c>
      <c r="T814" s="238">
        <v>4353660</v>
      </c>
    </row>
    <row r="815" spans="1:20">
      <c r="A815" s="231">
        <v>99011</v>
      </c>
      <c r="B815" s="232" t="s">
        <v>1523</v>
      </c>
      <c r="C815" s="92">
        <v>3.8736999999999999E-3</v>
      </c>
      <c r="D815" s="92">
        <v>3.9039000000000001E-3</v>
      </c>
      <c r="E815" s="236">
        <v>5917941</v>
      </c>
      <c r="F815" s="236"/>
      <c r="G815" s="237">
        <v>340928</v>
      </c>
      <c r="H815" s="225">
        <v>1436883</v>
      </c>
      <c r="I815" s="237">
        <v>845164</v>
      </c>
      <c r="J815" s="236">
        <v>0</v>
      </c>
      <c r="K815" s="225">
        <f t="shared" si="25"/>
        <v>2622975</v>
      </c>
      <c r="L815" s="236"/>
      <c r="M815" s="237">
        <v>167518</v>
      </c>
      <c r="N815" s="237">
        <v>0</v>
      </c>
      <c r="O815" s="236">
        <v>396289</v>
      </c>
      <c r="P815" s="225">
        <f t="shared" si="26"/>
        <v>563807</v>
      </c>
      <c r="Q815" s="236"/>
      <c r="R815" s="237">
        <v>1994351</v>
      </c>
      <c r="S815" s="238">
        <v>-212974</v>
      </c>
      <c r="T815" s="238">
        <v>1781377</v>
      </c>
    </row>
    <row r="816" spans="1:20">
      <c r="A816" s="231">
        <v>99013</v>
      </c>
      <c r="B816" s="232" t="s">
        <v>1524</v>
      </c>
      <c r="C816" s="92">
        <v>5.5999999999999999E-5</v>
      </c>
      <c r="D816" s="92">
        <v>6.02E-5</v>
      </c>
      <c r="E816" s="236">
        <v>85552</v>
      </c>
      <c r="F816" s="236"/>
      <c r="G816" s="237">
        <v>4929</v>
      </c>
      <c r="H816" s="225">
        <v>20773</v>
      </c>
      <c r="I816" s="237">
        <v>12218</v>
      </c>
      <c r="J816" s="236">
        <v>10</v>
      </c>
      <c r="K816" s="225">
        <f t="shared" si="25"/>
        <v>37930</v>
      </c>
      <c r="L816" s="236"/>
      <c r="M816" s="237">
        <v>2422</v>
      </c>
      <c r="N816" s="237">
        <v>0</v>
      </c>
      <c r="O816" s="236">
        <v>8046</v>
      </c>
      <c r="P816" s="225">
        <f t="shared" si="26"/>
        <v>10468</v>
      </c>
      <c r="Q816" s="236"/>
      <c r="R816" s="237">
        <v>28831</v>
      </c>
      <c r="S816" s="238">
        <v>-2790</v>
      </c>
      <c r="T816" s="238">
        <f>26042-1</f>
        <v>26041</v>
      </c>
    </row>
    <row r="817" spans="1:20">
      <c r="A817" s="231">
        <v>99014</v>
      </c>
      <c r="B817" s="232" t="s">
        <v>1525</v>
      </c>
      <c r="C817" s="92">
        <v>2.0100000000000001E-5</v>
      </c>
      <c r="D817" s="92">
        <v>2.4199999999999999E-5</v>
      </c>
      <c r="E817" s="236">
        <v>30707</v>
      </c>
      <c r="F817" s="236"/>
      <c r="G817" s="237">
        <v>1769</v>
      </c>
      <c r="H817" s="225">
        <v>7456</v>
      </c>
      <c r="I817" s="237">
        <v>4385</v>
      </c>
      <c r="J817" s="236">
        <v>12703</v>
      </c>
      <c r="K817" s="225">
        <f t="shared" si="25"/>
        <v>26313</v>
      </c>
      <c r="L817" s="236"/>
      <c r="M817" s="237">
        <v>869</v>
      </c>
      <c r="N817" s="237">
        <v>0</v>
      </c>
      <c r="O817" s="236">
        <v>0</v>
      </c>
      <c r="P817" s="225">
        <f t="shared" si="26"/>
        <v>869</v>
      </c>
      <c r="Q817" s="236"/>
      <c r="R817" s="237">
        <v>10348</v>
      </c>
      <c r="S817" s="238">
        <v>4335</v>
      </c>
      <c r="T817" s="238">
        <v>14683</v>
      </c>
    </row>
    <row r="818" spans="1:20">
      <c r="A818" s="231">
        <v>99017</v>
      </c>
      <c r="B818" s="232" t="s">
        <v>1526</v>
      </c>
      <c r="C818" s="92">
        <v>5.13E-5</v>
      </c>
      <c r="D818" s="92">
        <v>4.6999999999999997E-5</v>
      </c>
      <c r="E818" s="236">
        <v>78372</v>
      </c>
      <c r="F818" s="236"/>
      <c r="G818" s="237">
        <v>4515</v>
      </c>
      <c r="H818" s="225">
        <v>19029</v>
      </c>
      <c r="I818" s="237">
        <v>11193</v>
      </c>
      <c r="J818" s="236">
        <v>8072</v>
      </c>
      <c r="K818" s="225">
        <f t="shared" si="25"/>
        <v>42809</v>
      </c>
      <c r="L818" s="236"/>
      <c r="M818" s="237">
        <v>2218</v>
      </c>
      <c r="N818" s="237">
        <v>0</v>
      </c>
      <c r="O818" s="236">
        <v>3306</v>
      </c>
      <c r="P818" s="225">
        <f t="shared" si="26"/>
        <v>5524</v>
      </c>
      <c r="Q818" s="236"/>
      <c r="R818" s="237">
        <v>26411</v>
      </c>
      <c r="S818" s="238">
        <v>-629</v>
      </c>
      <c r="T818" s="238">
        <v>25782</v>
      </c>
    </row>
    <row r="819" spans="1:20">
      <c r="A819" s="231">
        <v>99021</v>
      </c>
      <c r="B819" s="232" t="s">
        <v>1527</v>
      </c>
      <c r="C819" s="92">
        <v>1.5249999999999999E-4</v>
      </c>
      <c r="D819" s="92">
        <v>1.3420000000000001E-4</v>
      </c>
      <c r="E819" s="236">
        <v>232978</v>
      </c>
      <c r="F819" s="236"/>
      <c r="G819" s="237">
        <v>13422</v>
      </c>
      <c r="H819" s="225">
        <v>56568</v>
      </c>
      <c r="I819" s="237">
        <v>33272</v>
      </c>
      <c r="J819" s="236">
        <v>11565</v>
      </c>
      <c r="K819" s="225">
        <f t="shared" si="25"/>
        <v>114827</v>
      </c>
      <c r="L819" s="236"/>
      <c r="M819" s="237">
        <v>6595</v>
      </c>
      <c r="N819" s="237">
        <v>0</v>
      </c>
      <c r="O819" s="236">
        <v>728</v>
      </c>
      <c r="P819" s="225">
        <f t="shared" si="26"/>
        <v>7323</v>
      </c>
      <c r="Q819" s="236"/>
      <c r="R819" s="237">
        <v>78514</v>
      </c>
      <c r="S819" s="238">
        <v>3978</v>
      </c>
      <c r="T819" s="238">
        <f>82491+1</f>
        <v>82492</v>
      </c>
    </row>
    <row r="820" spans="1:20">
      <c r="A820" s="231">
        <v>99022</v>
      </c>
      <c r="B820" s="232" t="s">
        <v>211</v>
      </c>
      <c r="C820" s="92">
        <v>1.08E-5</v>
      </c>
      <c r="D820" s="92">
        <v>1.1800000000000001E-5</v>
      </c>
      <c r="E820" s="236">
        <v>16499</v>
      </c>
      <c r="F820" s="236"/>
      <c r="G820" s="237">
        <v>951</v>
      </c>
      <c r="H820" s="225">
        <v>4006</v>
      </c>
      <c r="I820" s="237">
        <v>2356</v>
      </c>
      <c r="J820" s="236">
        <v>8944</v>
      </c>
      <c r="K820" s="225">
        <f t="shared" si="25"/>
        <v>16257</v>
      </c>
      <c r="L820" s="236"/>
      <c r="M820" s="237">
        <v>467</v>
      </c>
      <c r="N820" s="237">
        <v>0</v>
      </c>
      <c r="O820" s="236">
        <v>132</v>
      </c>
      <c r="P820" s="225">
        <f t="shared" si="26"/>
        <v>599</v>
      </c>
      <c r="Q820" s="236"/>
      <c r="R820" s="237">
        <v>5560</v>
      </c>
      <c r="S820" s="238">
        <v>2896</v>
      </c>
      <c r="T820" s="238">
        <v>8456</v>
      </c>
    </row>
    <row r="821" spans="1:20">
      <c r="A821" s="231">
        <v>99031</v>
      </c>
      <c r="B821" s="232" t="s">
        <v>1528</v>
      </c>
      <c r="C821" s="92">
        <v>1.518E-4</v>
      </c>
      <c r="D821" s="92">
        <v>1.5970000000000001E-4</v>
      </c>
      <c r="E821" s="236">
        <v>231908</v>
      </c>
      <c r="F821" s="236"/>
      <c r="G821" s="237">
        <v>13360</v>
      </c>
      <c r="H821" s="225">
        <v>56308</v>
      </c>
      <c r="I821" s="237">
        <v>33120</v>
      </c>
      <c r="J821" s="236">
        <v>2845</v>
      </c>
      <c r="K821" s="225">
        <f t="shared" si="25"/>
        <v>105633</v>
      </c>
      <c r="L821" s="236"/>
      <c r="M821" s="237">
        <v>6565</v>
      </c>
      <c r="N821" s="237">
        <v>0</v>
      </c>
      <c r="O821" s="236">
        <v>23907</v>
      </c>
      <c r="P821" s="225">
        <f t="shared" si="26"/>
        <v>30472</v>
      </c>
      <c r="Q821" s="236"/>
      <c r="R821" s="237">
        <v>78153</v>
      </c>
      <c r="S821" s="238">
        <v>-11727</v>
      </c>
      <c r="T821" s="238">
        <v>66426</v>
      </c>
    </row>
    <row r="822" spans="1:20">
      <c r="A822" s="231">
        <v>99041</v>
      </c>
      <c r="B822" s="232" t="s">
        <v>1529</v>
      </c>
      <c r="C822" s="92">
        <v>6.3500000000000004E-4</v>
      </c>
      <c r="D822" s="92">
        <v>5.6289999999999997E-4</v>
      </c>
      <c r="E822" s="236">
        <v>970104</v>
      </c>
      <c r="F822" s="236"/>
      <c r="G822" s="237">
        <v>55887</v>
      </c>
      <c r="H822" s="225">
        <v>235543</v>
      </c>
      <c r="I822" s="237">
        <v>138544</v>
      </c>
      <c r="J822" s="236">
        <v>52920</v>
      </c>
      <c r="K822" s="225">
        <f t="shared" si="25"/>
        <v>482894</v>
      </c>
      <c r="L822" s="236"/>
      <c r="M822" s="237">
        <v>27461</v>
      </c>
      <c r="N822" s="237">
        <v>0</v>
      </c>
      <c r="O822" s="236">
        <v>0</v>
      </c>
      <c r="P822" s="225">
        <f t="shared" si="26"/>
        <v>27461</v>
      </c>
      <c r="Q822" s="236"/>
      <c r="R822" s="237">
        <v>326926</v>
      </c>
      <c r="S822" s="238">
        <v>28997</v>
      </c>
      <c r="T822" s="238">
        <v>355923</v>
      </c>
    </row>
    <row r="823" spans="1:20">
      <c r="A823" s="231">
        <v>99047</v>
      </c>
      <c r="B823" s="232" t="s">
        <v>1530</v>
      </c>
      <c r="C823" s="92">
        <v>1.42E-5</v>
      </c>
      <c r="D823" s="92">
        <v>9.2E-6</v>
      </c>
      <c r="E823" s="236">
        <v>21694</v>
      </c>
      <c r="F823" s="236"/>
      <c r="G823" s="237">
        <v>1250</v>
      </c>
      <c r="H823" s="225">
        <v>5267</v>
      </c>
      <c r="I823" s="237">
        <v>3098</v>
      </c>
      <c r="J823" s="236">
        <v>6410</v>
      </c>
      <c r="K823" s="225">
        <f t="shared" si="25"/>
        <v>16025</v>
      </c>
      <c r="L823" s="236"/>
      <c r="M823" s="237">
        <v>614</v>
      </c>
      <c r="N823" s="237">
        <v>0</v>
      </c>
      <c r="O823" s="236">
        <v>0</v>
      </c>
      <c r="P823" s="225">
        <f t="shared" si="26"/>
        <v>614</v>
      </c>
      <c r="Q823" s="236"/>
      <c r="R823" s="237">
        <v>7311</v>
      </c>
      <c r="S823" s="238">
        <v>2345</v>
      </c>
      <c r="T823" s="238">
        <f>9655+1</f>
        <v>9656</v>
      </c>
    </row>
    <row r="824" spans="1:20">
      <c r="A824" s="231">
        <v>99051</v>
      </c>
      <c r="B824" s="232" t="s">
        <v>1531</v>
      </c>
      <c r="C824" s="92">
        <v>3.5359999999999998E-4</v>
      </c>
      <c r="D824" s="92">
        <v>3.3349999999999997E-4</v>
      </c>
      <c r="E824" s="236">
        <v>540203</v>
      </c>
      <c r="F824" s="236"/>
      <c r="G824" s="237">
        <v>31121</v>
      </c>
      <c r="H824" s="225">
        <v>131162</v>
      </c>
      <c r="I824" s="237">
        <v>77148</v>
      </c>
      <c r="J824" s="236">
        <v>11433</v>
      </c>
      <c r="K824" s="225">
        <f t="shared" si="25"/>
        <v>250864</v>
      </c>
      <c r="L824" s="236"/>
      <c r="M824" s="237">
        <v>15291</v>
      </c>
      <c r="N824" s="237">
        <v>0</v>
      </c>
      <c r="O824" s="236">
        <v>2536</v>
      </c>
      <c r="P824" s="225">
        <f t="shared" si="26"/>
        <v>17827</v>
      </c>
      <c r="Q824" s="236"/>
      <c r="R824" s="237">
        <v>182049</v>
      </c>
      <c r="S824" s="238">
        <v>4776</v>
      </c>
      <c r="T824" s="238">
        <f>186824+1</f>
        <v>186825</v>
      </c>
    </row>
    <row r="825" spans="1:20">
      <c r="A825" s="231">
        <v>99061</v>
      </c>
      <c r="B825" s="232" t="s">
        <v>1532</v>
      </c>
      <c r="C825" s="92">
        <v>8.1000000000000004E-6</v>
      </c>
      <c r="D825" s="92">
        <v>8.3999999999999992E-6</v>
      </c>
      <c r="E825" s="236">
        <v>12375</v>
      </c>
      <c r="F825" s="236"/>
      <c r="G825" s="237">
        <v>713</v>
      </c>
      <c r="H825" s="225">
        <v>3005</v>
      </c>
      <c r="I825" s="237">
        <v>1767</v>
      </c>
      <c r="J825" s="236">
        <v>7276</v>
      </c>
      <c r="K825" s="225">
        <f t="shared" si="25"/>
        <v>12761</v>
      </c>
      <c r="L825" s="236"/>
      <c r="M825" s="237">
        <v>350</v>
      </c>
      <c r="N825" s="237">
        <v>0</v>
      </c>
      <c r="O825" s="236">
        <v>0</v>
      </c>
      <c r="P825" s="225">
        <f t="shared" si="26"/>
        <v>350</v>
      </c>
      <c r="Q825" s="236"/>
      <c r="R825" s="237">
        <v>4170</v>
      </c>
      <c r="S825" s="238">
        <v>2674</v>
      </c>
      <c r="T825" s="238">
        <v>6844</v>
      </c>
    </row>
    <row r="826" spans="1:20">
      <c r="A826" s="231">
        <v>99071</v>
      </c>
      <c r="B826" s="232" t="s">
        <v>1533</v>
      </c>
      <c r="C826" s="92">
        <v>3.04E-5</v>
      </c>
      <c r="D826" s="92">
        <v>3.0499999999999999E-5</v>
      </c>
      <c r="E826" s="236">
        <v>46443</v>
      </c>
      <c r="F826" s="236"/>
      <c r="G826" s="237">
        <v>2676</v>
      </c>
      <c r="H826" s="225">
        <v>11277</v>
      </c>
      <c r="I826" s="237">
        <v>6633</v>
      </c>
      <c r="J826" s="236">
        <v>818</v>
      </c>
      <c r="K826" s="225">
        <f t="shared" si="25"/>
        <v>21404</v>
      </c>
      <c r="L826" s="236"/>
      <c r="M826" s="237">
        <v>1315</v>
      </c>
      <c r="N826" s="237">
        <v>0</v>
      </c>
      <c r="O826" s="236">
        <v>2093</v>
      </c>
      <c r="P826" s="225">
        <f t="shared" si="26"/>
        <v>3408</v>
      </c>
      <c r="Q826" s="236"/>
      <c r="R826" s="237">
        <v>15651</v>
      </c>
      <c r="S826" s="238">
        <v>-1107</v>
      </c>
      <c r="T826" s="238">
        <v>14544</v>
      </c>
    </row>
    <row r="827" spans="1:20">
      <c r="A827" s="231">
        <v>99081</v>
      </c>
      <c r="B827" s="232" t="s">
        <v>1534</v>
      </c>
      <c r="C827" s="92">
        <v>1.1E-5</v>
      </c>
      <c r="D827" s="92">
        <v>2.9600000000000001E-5</v>
      </c>
      <c r="E827" s="236">
        <v>16805</v>
      </c>
      <c r="F827" s="236"/>
      <c r="G827" s="237">
        <v>968</v>
      </c>
      <c r="H827" s="225">
        <v>4081</v>
      </c>
      <c r="I827" s="237">
        <v>2400</v>
      </c>
      <c r="J827" s="236">
        <v>3587</v>
      </c>
      <c r="K827" s="225">
        <f t="shared" si="25"/>
        <v>11036</v>
      </c>
      <c r="L827" s="236"/>
      <c r="M827" s="237">
        <v>476</v>
      </c>
      <c r="N827" s="237">
        <v>0</v>
      </c>
      <c r="O827" s="236">
        <v>13215</v>
      </c>
      <c r="P827" s="225">
        <f t="shared" si="26"/>
        <v>13691</v>
      </c>
      <c r="Q827" s="236"/>
      <c r="R827" s="237">
        <v>5663</v>
      </c>
      <c r="S827" s="238">
        <v>-2898</v>
      </c>
      <c r="T827" s="238">
        <f>2766-1</f>
        <v>2765</v>
      </c>
    </row>
    <row r="828" spans="1:20">
      <c r="A828" s="231">
        <v>99091</v>
      </c>
      <c r="B828" s="232" t="s">
        <v>1535</v>
      </c>
      <c r="C828" s="92">
        <v>3.9999999999999998E-6</v>
      </c>
      <c r="D828" s="92">
        <v>4.1999999999999996E-6</v>
      </c>
      <c r="E828" s="236">
        <v>6111</v>
      </c>
      <c r="F828" s="236"/>
      <c r="G828" s="237">
        <v>352</v>
      </c>
      <c r="H828" s="225">
        <v>1484</v>
      </c>
      <c r="I828" s="237">
        <v>873</v>
      </c>
      <c r="J828" s="236">
        <v>4105</v>
      </c>
      <c r="K828" s="225">
        <f t="shared" si="25"/>
        <v>6814</v>
      </c>
      <c r="L828" s="236"/>
      <c r="M828" s="237">
        <v>173</v>
      </c>
      <c r="N828" s="237">
        <v>0</v>
      </c>
      <c r="O828" s="236">
        <v>3232</v>
      </c>
      <c r="P828" s="225">
        <f t="shared" si="26"/>
        <v>3405</v>
      </c>
      <c r="Q828" s="236"/>
      <c r="R828" s="237">
        <v>2059</v>
      </c>
      <c r="S828" s="238">
        <v>-1926</v>
      </c>
      <c r="T828" s="238">
        <f>134-1</f>
        <v>133</v>
      </c>
    </row>
    <row r="829" spans="1:20">
      <c r="A829" s="231">
        <v>99101</v>
      </c>
      <c r="B829" s="232" t="s">
        <v>1536</v>
      </c>
      <c r="C829" s="92">
        <v>2.1724000000000001E-3</v>
      </c>
      <c r="D829" s="92">
        <v>2.0087999999999998E-3</v>
      </c>
      <c r="E829" s="236">
        <v>3318825</v>
      </c>
      <c r="F829" s="236"/>
      <c r="G829" s="237">
        <v>191195</v>
      </c>
      <c r="H829" s="225">
        <v>805815</v>
      </c>
      <c r="I829" s="237">
        <v>473974</v>
      </c>
      <c r="J829" s="236">
        <v>48335</v>
      </c>
      <c r="K829" s="225">
        <f t="shared" si="25"/>
        <v>1519319</v>
      </c>
      <c r="L829" s="236"/>
      <c r="M829" s="237">
        <v>93945</v>
      </c>
      <c r="N829" s="237">
        <v>0</v>
      </c>
      <c r="O829" s="236">
        <v>44900</v>
      </c>
      <c r="P829" s="225">
        <f t="shared" si="26"/>
        <v>138845</v>
      </c>
      <c r="Q829" s="236"/>
      <c r="R829" s="237">
        <v>1118447</v>
      </c>
      <c r="S829" s="238">
        <v>-14151</v>
      </c>
      <c r="T829" s="238">
        <v>1104296</v>
      </c>
    </row>
    <row r="830" spans="1:20">
      <c r="A830" s="231">
        <v>99104</v>
      </c>
      <c r="B830" s="232" t="s">
        <v>1537</v>
      </c>
      <c r="C830" s="92">
        <v>3.3500000000000001E-5</v>
      </c>
      <c r="D830" s="92">
        <v>3.4799999999999999E-5</v>
      </c>
      <c r="E830" s="236">
        <v>51179</v>
      </c>
      <c r="F830" s="236"/>
      <c r="G830" s="237">
        <v>2948</v>
      </c>
      <c r="H830" s="225">
        <v>12426</v>
      </c>
      <c r="I830" s="237">
        <v>7309</v>
      </c>
      <c r="J830" s="236">
        <v>15217</v>
      </c>
      <c r="K830" s="225">
        <f t="shared" si="25"/>
        <v>37900</v>
      </c>
      <c r="L830" s="236"/>
      <c r="M830" s="237">
        <v>1449</v>
      </c>
      <c r="N830" s="237">
        <v>0</v>
      </c>
      <c r="O830" s="236">
        <v>0</v>
      </c>
      <c r="P830" s="225">
        <f t="shared" si="26"/>
        <v>1449</v>
      </c>
      <c r="Q830" s="236"/>
      <c r="R830" s="237">
        <v>17247</v>
      </c>
      <c r="S830" s="238">
        <v>6167</v>
      </c>
      <c r="T830" s="238">
        <f>23415-1</f>
        <v>23414</v>
      </c>
    </row>
    <row r="831" spans="1:20">
      <c r="A831" s="231">
        <v>99109</v>
      </c>
      <c r="B831" s="232" t="s">
        <v>1538</v>
      </c>
      <c r="C831" s="92">
        <v>1.2339999999999999E-4</v>
      </c>
      <c r="D831" s="92">
        <v>1.1849999999999999E-4</v>
      </c>
      <c r="E831" s="236">
        <v>188521</v>
      </c>
      <c r="F831" s="236"/>
      <c r="G831" s="237">
        <v>10861</v>
      </c>
      <c r="H831" s="225">
        <v>45773</v>
      </c>
      <c r="I831" s="237">
        <v>26923</v>
      </c>
      <c r="J831" s="236">
        <v>6454</v>
      </c>
      <c r="K831" s="225">
        <f t="shared" si="25"/>
        <v>90011</v>
      </c>
      <c r="L831" s="236"/>
      <c r="M831" s="237">
        <v>5336</v>
      </c>
      <c r="N831" s="237">
        <v>0</v>
      </c>
      <c r="O831" s="236">
        <v>14208</v>
      </c>
      <c r="P831" s="225">
        <f t="shared" si="26"/>
        <v>19544</v>
      </c>
      <c r="Q831" s="236"/>
      <c r="R831" s="237">
        <v>63532</v>
      </c>
      <c r="S831" s="238">
        <v>-5391</v>
      </c>
      <c r="T831" s="238">
        <f>58140+1</f>
        <v>58141</v>
      </c>
    </row>
    <row r="832" spans="1:20">
      <c r="A832" s="231">
        <v>99110</v>
      </c>
      <c r="B832" s="232" t="s">
        <v>1539</v>
      </c>
      <c r="C832" s="92">
        <v>1.7670000000000001E-4</v>
      </c>
      <c r="D832" s="92">
        <v>1.8369999999999999E-4</v>
      </c>
      <c r="E832" s="236">
        <v>269949</v>
      </c>
      <c r="F832" s="236"/>
      <c r="G832" s="237">
        <v>15552</v>
      </c>
      <c r="H832" s="225">
        <v>65544</v>
      </c>
      <c r="I832" s="237">
        <v>38552</v>
      </c>
      <c r="J832" s="236">
        <v>69046</v>
      </c>
      <c r="K832" s="225">
        <f t="shared" si="25"/>
        <v>188694</v>
      </c>
      <c r="L832" s="236"/>
      <c r="M832" s="237">
        <v>7641</v>
      </c>
      <c r="N832" s="237">
        <v>0</v>
      </c>
      <c r="O832" s="236">
        <v>0</v>
      </c>
      <c r="P832" s="225">
        <f t="shared" si="26"/>
        <v>7641</v>
      </c>
      <c r="Q832" s="236"/>
      <c r="R832" s="237">
        <v>90973</v>
      </c>
      <c r="S832" s="238">
        <v>27602</v>
      </c>
      <c r="T832" s="238">
        <v>118575</v>
      </c>
    </row>
    <row r="833" spans="1:20">
      <c r="A833" s="231">
        <v>99111</v>
      </c>
      <c r="B833" s="232" t="s">
        <v>1540</v>
      </c>
      <c r="C833" s="92">
        <v>1.2618E-3</v>
      </c>
      <c r="D833" s="92">
        <v>1.2757000000000001E-3</v>
      </c>
      <c r="E833" s="236">
        <v>1927681</v>
      </c>
      <c r="F833" s="236"/>
      <c r="G833" s="237">
        <v>111052</v>
      </c>
      <c r="H833" s="225">
        <v>468043</v>
      </c>
      <c r="I833" s="237">
        <v>275300</v>
      </c>
      <c r="J833" s="236">
        <v>0</v>
      </c>
      <c r="K833" s="225">
        <f t="shared" si="25"/>
        <v>854395</v>
      </c>
      <c r="L833" s="236"/>
      <c r="M833" s="237">
        <v>54567</v>
      </c>
      <c r="N833" s="237">
        <v>0</v>
      </c>
      <c r="O833" s="236">
        <v>143900</v>
      </c>
      <c r="P833" s="225">
        <f t="shared" si="26"/>
        <v>198467</v>
      </c>
      <c r="Q833" s="236"/>
      <c r="R833" s="237">
        <v>649630</v>
      </c>
      <c r="S833" s="238">
        <v>-68554</v>
      </c>
      <c r="T833" s="238">
        <v>581076</v>
      </c>
    </row>
    <row r="834" spans="1:20">
      <c r="A834" s="231">
        <v>99201</v>
      </c>
      <c r="B834" s="232" t="s">
        <v>1541</v>
      </c>
      <c r="C834" s="92">
        <v>3.3297199999999999E-2</v>
      </c>
      <c r="D834" s="92">
        <v>3.22145E-2</v>
      </c>
      <c r="E834" s="236">
        <v>50868898</v>
      </c>
      <c r="F834" s="236"/>
      <c r="G834" s="237">
        <v>2930520</v>
      </c>
      <c r="H834" s="225">
        <v>12351030</v>
      </c>
      <c r="I834" s="237">
        <v>7264783</v>
      </c>
      <c r="J834" s="236">
        <v>1320745</v>
      </c>
      <c r="K834" s="225">
        <f t="shared" si="25"/>
        <v>23867078</v>
      </c>
      <c r="L834" s="236"/>
      <c r="M834" s="237">
        <v>1439937</v>
      </c>
      <c r="N834" s="237">
        <v>0</v>
      </c>
      <c r="O834" s="236">
        <v>241517</v>
      </c>
      <c r="P834" s="225">
        <f t="shared" si="26"/>
        <v>1681454</v>
      </c>
      <c r="Q834" s="236"/>
      <c r="R834" s="237">
        <v>17142864</v>
      </c>
      <c r="S834" s="238">
        <v>242815</v>
      </c>
      <c r="T834" s="238">
        <v>17385679</v>
      </c>
    </row>
    <row r="835" spans="1:20">
      <c r="A835" s="231">
        <v>99202</v>
      </c>
      <c r="B835" s="232" t="s">
        <v>1542</v>
      </c>
      <c r="C835" s="92">
        <v>2.5855000000000001E-3</v>
      </c>
      <c r="D835" s="92">
        <v>2.5138000000000001E-3</v>
      </c>
      <c r="E835" s="236">
        <v>3949928</v>
      </c>
      <c r="F835" s="236"/>
      <c r="G835" s="237">
        <v>227552</v>
      </c>
      <c r="H835" s="225">
        <v>959048</v>
      </c>
      <c r="I835" s="237">
        <v>564104</v>
      </c>
      <c r="J835" s="236">
        <v>0</v>
      </c>
      <c r="K835" s="225">
        <f t="shared" si="25"/>
        <v>1750704</v>
      </c>
      <c r="L835" s="236"/>
      <c r="M835" s="237">
        <v>111810</v>
      </c>
      <c r="N835" s="237">
        <v>0</v>
      </c>
      <c r="O835" s="236">
        <v>184130</v>
      </c>
      <c r="P835" s="225">
        <f t="shared" si="26"/>
        <v>295940</v>
      </c>
      <c r="Q835" s="236"/>
      <c r="R835" s="237">
        <v>1331129</v>
      </c>
      <c r="S835" s="238">
        <v>-73084</v>
      </c>
      <c r="T835" s="238">
        <v>1258045</v>
      </c>
    </row>
    <row r="836" spans="1:20">
      <c r="A836" s="231">
        <v>99203</v>
      </c>
      <c r="B836" s="232" t="s">
        <v>1543</v>
      </c>
      <c r="C836" s="92">
        <v>3.0410000000000002E-4</v>
      </c>
      <c r="D836" s="92">
        <v>3.1990000000000002E-4</v>
      </c>
      <c r="E836" s="236">
        <v>464581</v>
      </c>
      <c r="F836" s="236"/>
      <c r="G836" s="237">
        <v>26764</v>
      </c>
      <c r="H836" s="225">
        <v>112801</v>
      </c>
      <c r="I836" s="237">
        <v>66349</v>
      </c>
      <c r="J836" s="236">
        <v>24433</v>
      </c>
      <c r="K836" s="225">
        <f t="shared" si="25"/>
        <v>230347</v>
      </c>
      <c r="L836" s="236"/>
      <c r="M836" s="237">
        <v>13151</v>
      </c>
      <c r="N836" s="237">
        <v>0</v>
      </c>
      <c r="O836" s="236">
        <v>20730</v>
      </c>
      <c r="P836" s="225">
        <f t="shared" si="26"/>
        <v>33881</v>
      </c>
      <c r="Q836" s="236"/>
      <c r="R836" s="237">
        <v>156564</v>
      </c>
      <c r="S836" s="238">
        <v>11213</v>
      </c>
      <c r="T836" s="238">
        <v>167777</v>
      </c>
    </row>
    <row r="837" spans="1:20">
      <c r="A837" s="231">
        <v>99204</v>
      </c>
      <c r="B837" s="232" t="s">
        <v>1544</v>
      </c>
      <c r="C837" s="92">
        <v>8.3549999999999998E-4</v>
      </c>
      <c r="D837" s="92">
        <v>7.4910000000000005E-4</v>
      </c>
      <c r="E837" s="236">
        <v>1276413</v>
      </c>
      <c r="F837" s="236"/>
      <c r="G837" s="237">
        <v>73533</v>
      </c>
      <c r="H837" s="225">
        <v>309914</v>
      </c>
      <c r="I837" s="237">
        <v>182289</v>
      </c>
      <c r="J837" s="236">
        <v>108607</v>
      </c>
      <c r="K837" s="225">
        <f t="shared" si="25"/>
        <v>674343</v>
      </c>
      <c r="L837" s="236"/>
      <c r="M837" s="237">
        <v>36131</v>
      </c>
      <c r="N837" s="237">
        <v>0</v>
      </c>
      <c r="O837" s="236">
        <v>0</v>
      </c>
      <c r="P837" s="225">
        <f t="shared" si="26"/>
        <v>36131</v>
      </c>
      <c r="Q837" s="236"/>
      <c r="R837" s="237">
        <v>430152</v>
      </c>
      <c r="S837" s="238">
        <v>37657</v>
      </c>
      <c r="T837" s="238">
        <v>467809</v>
      </c>
    </row>
    <row r="838" spans="1:20">
      <c r="A838" s="231">
        <v>99206</v>
      </c>
      <c r="B838" s="232" t="s">
        <v>1545</v>
      </c>
      <c r="C838" s="92">
        <v>1.6957999999999999E-3</v>
      </c>
      <c r="D838" s="92">
        <v>1.6665E-3</v>
      </c>
      <c r="E838" s="236">
        <v>2590713</v>
      </c>
      <c r="F838" s="236"/>
      <c r="G838" s="237">
        <v>149249</v>
      </c>
      <c r="H838" s="225">
        <v>629028</v>
      </c>
      <c r="I838" s="237">
        <v>369990</v>
      </c>
      <c r="J838" s="236">
        <v>641271</v>
      </c>
      <c r="K838" s="225">
        <f t="shared" si="25"/>
        <v>1789538</v>
      </c>
      <c r="L838" s="236"/>
      <c r="M838" s="237">
        <v>73335</v>
      </c>
      <c r="N838" s="237">
        <v>0</v>
      </c>
      <c r="O838" s="236">
        <v>6741</v>
      </c>
      <c r="P838" s="225">
        <f t="shared" si="26"/>
        <v>80076</v>
      </c>
      <c r="Q838" s="236"/>
      <c r="R838" s="237">
        <v>873072</v>
      </c>
      <c r="S838" s="238">
        <v>209066</v>
      </c>
      <c r="T838" s="238">
        <f>1082139-1</f>
        <v>1082138</v>
      </c>
    </row>
    <row r="839" spans="1:20">
      <c r="A839" s="231">
        <v>99207</v>
      </c>
      <c r="B839" s="232" t="s">
        <v>1546</v>
      </c>
      <c r="C839" s="92">
        <v>1.3329999999999999E-4</v>
      </c>
      <c r="D839" s="92">
        <v>1.3430000000000001E-4</v>
      </c>
      <c r="E839" s="236">
        <v>203645</v>
      </c>
      <c r="F839" s="236"/>
      <c r="G839" s="237">
        <v>11732</v>
      </c>
      <c r="H839" s="225">
        <v>49445</v>
      </c>
      <c r="I839" s="237">
        <v>29083</v>
      </c>
      <c r="J839" s="236">
        <v>145724</v>
      </c>
      <c r="K839" s="225">
        <f t="shared" si="25"/>
        <v>235984</v>
      </c>
      <c r="L839" s="236"/>
      <c r="M839" s="237">
        <v>5765</v>
      </c>
      <c r="N839" s="237">
        <v>0</v>
      </c>
      <c r="O839" s="236">
        <v>0</v>
      </c>
      <c r="P839" s="225">
        <f t="shared" si="26"/>
        <v>5765</v>
      </c>
      <c r="Q839" s="236"/>
      <c r="R839" s="237">
        <v>68629</v>
      </c>
      <c r="S839" s="238">
        <v>46901</v>
      </c>
      <c r="T839" s="238">
        <v>115530</v>
      </c>
    </row>
    <row r="840" spans="1:20">
      <c r="A840" s="231">
        <v>99208</v>
      </c>
      <c r="B840" s="232" t="s">
        <v>1547</v>
      </c>
      <c r="C840" s="92">
        <v>1.4569999999999999E-4</v>
      </c>
      <c r="D840" s="92">
        <v>1.3669999999999999E-4</v>
      </c>
      <c r="E840" s="236">
        <v>222589</v>
      </c>
      <c r="F840" s="236"/>
      <c r="G840" s="237">
        <v>12823</v>
      </c>
      <c r="H840" s="225">
        <v>54045</v>
      </c>
      <c r="I840" s="237">
        <v>31789</v>
      </c>
      <c r="J840" s="236">
        <v>0</v>
      </c>
      <c r="K840" s="225">
        <f t="shared" si="25"/>
        <v>98657</v>
      </c>
      <c r="L840" s="236"/>
      <c r="M840" s="237">
        <v>6301</v>
      </c>
      <c r="N840" s="237">
        <v>0</v>
      </c>
      <c r="O840" s="236">
        <v>38521</v>
      </c>
      <c r="P840" s="225">
        <f t="shared" si="26"/>
        <v>44822</v>
      </c>
      <c r="Q840" s="236"/>
      <c r="R840" s="237">
        <v>75013</v>
      </c>
      <c r="S840" s="238">
        <v>-20543</v>
      </c>
      <c r="T840" s="238">
        <v>54470</v>
      </c>
    </row>
    <row r="841" spans="1:20">
      <c r="A841" s="231">
        <v>99210</v>
      </c>
      <c r="B841" s="232" t="s">
        <v>1548</v>
      </c>
      <c r="C841" s="92">
        <v>1.5943999999999999E-3</v>
      </c>
      <c r="D841" s="92">
        <v>1.5945E-3</v>
      </c>
      <c r="E841" s="236">
        <v>2435802</v>
      </c>
      <c r="F841" s="236"/>
      <c r="G841" s="237">
        <v>140325</v>
      </c>
      <c r="H841" s="225">
        <v>591415</v>
      </c>
      <c r="I841" s="237">
        <v>347866</v>
      </c>
      <c r="J841" s="236">
        <v>99237</v>
      </c>
      <c r="K841" s="225">
        <f t="shared" si="25"/>
        <v>1178843</v>
      </c>
      <c r="L841" s="236"/>
      <c r="M841" s="237">
        <v>68950</v>
      </c>
      <c r="N841" s="237">
        <v>0</v>
      </c>
      <c r="O841" s="236">
        <v>0</v>
      </c>
      <c r="P841" s="225">
        <f t="shared" si="26"/>
        <v>68950</v>
      </c>
      <c r="Q841" s="236"/>
      <c r="R841" s="237">
        <v>820867</v>
      </c>
      <c r="S841" s="238">
        <v>39106</v>
      </c>
      <c r="T841" s="238">
        <f>859974-1</f>
        <v>859973</v>
      </c>
    </row>
    <row r="842" spans="1:20">
      <c r="A842" s="231">
        <v>99211</v>
      </c>
      <c r="B842" s="232" t="s">
        <v>1549</v>
      </c>
      <c r="C842" s="92">
        <v>3.7100599999999997E-2</v>
      </c>
      <c r="D842" s="92">
        <v>3.8233999999999997E-2</v>
      </c>
      <c r="E842" s="236">
        <v>56679440</v>
      </c>
      <c r="F842" s="236"/>
      <c r="G842" s="237">
        <v>3265261</v>
      </c>
      <c r="H842" s="225">
        <v>13761837</v>
      </c>
      <c r="I842" s="237">
        <v>8094609</v>
      </c>
      <c r="J842" s="236">
        <v>0</v>
      </c>
      <c r="K842" s="225">
        <f t="shared" si="25"/>
        <v>25121707</v>
      </c>
      <c r="L842" s="236"/>
      <c r="M842" s="237">
        <v>1604415</v>
      </c>
      <c r="N842" s="237">
        <v>0</v>
      </c>
      <c r="O842" s="236">
        <v>1838947</v>
      </c>
      <c r="P842" s="225">
        <f t="shared" si="26"/>
        <v>3443362</v>
      </c>
      <c r="Q842" s="236"/>
      <c r="R842" s="237">
        <v>19101021</v>
      </c>
      <c r="S842" s="238">
        <v>-724653</v>
      </c>
      <c r="T842" s="238">
        <f>18376369-1</f>
        <v>18376368</v>
      </c>
    </row>
    <row r="843" spans="1:20">
      <c r="A843" s="231">
        <v>99212</v>
      </c>
      <c r="B843" s="232" t="s">
        <v>1550</v>
      </c>
      <c r="C843" s="92">
        <v>8.14E-5</v>
      </c>
      <c r="D843" s="92">
        <v>7.4400000000000006E-5</v>
      </c>
      <c r="E843" s="236">
        <v>124357</v>
      </c>
      <c r="F843" s="236"/>
      <c r="G843" s="237">
        <v>7164</v>
      </c>
      <c r="H843" s="225">
        <v>30194</v>
      </c>
      <c r="I843" s="237">
        <v>17760</v>
      </c>
      <c r="J843" s="236">
        <v>242</v>
      </c>
      <c r="K843" s="225">
        <f t="shared" ref="K843:K906" si="27">G843+H843+I843+J843</f>
        <v>55360</v>
      </c>
      <c r="L843" s="236"/>
      <c r="M843" s="237">
        <v>3520</v>
      </c>
      <c r="N843" s="237">
        <v>0</v>
      </c>
      <c r="O843" s="236">
        <v>34044</v>
      </c>
      <c r="P843" s="225">
        <f t="shared" ref="P843:P906" si="28">M843+N843+O843</f>
        <v>37564</v>
      </c>
      <c r="Q843" s="236"/>
      <c r="R843" s="237">
        <v>41908</v>
      </c>
      <c r="S843" s="238">
        <v>-15261</v>
      </c>
      <c r="T843" s="238">
        <v>26647</v>
      </c>
    </row>
    <row r="844" spans="1:20">
      <c r="A844" s="231">
        <v>99213</v>
      </c>
      <c r="B844" s="232" t="s">
        <v>1551</v>
      </c>
      <c r="C844" s="92">
        <v>7.5159999999999995E-4</v>
      </c>
      <c r="D844" s="92">
        <v>8.0730000000000005E-4</v>
      </c>
      <c r="E844" s="236">
        <v>1148237</v>
      </c>
      <c r="F844" s="236"/>
      <c r="G844" s="237">
        <v>66149</v>
      </c>
      <c r="H844" s="225">
        <v>278793</v>
      </c>
      <c r="I844" s="237">
        <v>163984</v>
      </c>
      <c r="J844" s="236">
        <v>6057</v>
      </c>
      <c r="K844" s="225">
        <f t="shared" si="27"/>
        <v>514983</v>
      </c>
      <c r="L844" s="236"/>
      <c r="M844" s="237">
        <v>32503</v>
      </c>
      <c r="N844" s="237">
        <v>0</v>
      </c>
      <c r="O844" s="236">
        <v>45468</v>
      </c>
      <c r="P844" s="225">
        <f t="shared" si="28"/>
        <v>77971</v>
      </c>
      <c r="Q844" s="236"/>
      <c r="R844" s="237">
        <v>386957</v>
      </c>
      <c r="S844" s="238">
        <v>-10310</v>
      </c>
      <c r="T844" s="238">
        <f>376646+1</f>
        <v>376647</v>
      </c>
    </row>
    <row r="845" spans="1:20">
      <c r="A845" s="231">
        <v>99218</v>
      </c>
      <c r="B845" s="232" t="s">
        <v>1552</v>
      </c>
      <c r="C845" s="92">
        <v>3.1162E-3</v>
      </c>
      <c r="D845" s="92">
        <v>3.1227999999999998E-3</v>
      </c>
      <c r="E845" s="236">
        <v>4760690</v>
      </c>
      <c r="F845" s="236"/>
      <c r="G845" s="237">
        <v>274260</v>
      </c>
      <c r="H845" s="225">
        <v>1155902</v>
      </c>
      <c r="I845" s="237">
        <v>679893</v>
      </c>
      <c r="J845" s="236">
        <v>179789</v>
      </c>
      <c r="K845" s="225">
        <f t="shared" si="27"/>
        <v>2289844</v>
      </c>
      <c r="L845" s="236"/>
      <c r="M845" s="237">
        <v>134760</v>
      </c>
      <c r="N845" s="237">
        <v>0</v>
      </c>
      <c r="O845" s="236">
        <v>0</v>
      </c>
      <c r="P845" s="225">
        <f t="shared" si="28"/>
        <v>134760</v>
      </c>
      <c r="Q845" s="236"/>
      <c r="R845" s="237">
        <v>1604357</v>
      </c>
      <c r="S845" s="238">
        <v>66860</v>
      </c>
      <c r="T845" s="238">
        <v>1671217</v>
      </c>
    </row>
    <row r="846" spans="1:20">
      <c r="A846" s="231">
        <v>99221</v>
      </c>
      <c r="B846" s="232" t="s">
        <v>1553</v>
      </c>
      <c r="C846" s="92">
        <v>1.27709E-2</v>
      </c>
      <c r="D846" s="92">
        <v>1.3092700000000001E-2</v>
      </c>
      <c r="E846" s="236">
        <v>19510398</v>
      </c>
      <c r="F846" s="236"/>
      <c r="G846" s="237">
        <v>1123980</v>
      </c>
      <c r="H846" s="225">
        <v>4737148</v>
      </c>
      <c r="I846" s="237">
        <v>2786355</v>
      </c>
      <c r="J846" s="236">
        <v>0</v>
      </c>
      <c r="K846" s="225">
        <f t="shared" si="27"/>
        <v>8647483</v>
      </c>
      <c r="L846" s="236"/>
      <c r="M846" s="237">
        <v>552278</v>
      </c>
      <c r="N846" s="237">
        <v>0</v>
      </c>
      <c r="O846" s="236">
        <v>687802</v>
      </c>
      <c r="P846" s="225">
        <f t="shared" si="28"/>
        <v>1240080</v>
      </c>
      <c r="Q846" s="236"/>
      <c r="R846" s="237">
        <v>6575021</v>
      </c>
      <c r="S846" s="238">
        <v>-271922</v>
      </c>
      <c r="T846" s="238">
        <v>6303099</v>
      </c>
    </row>
    <row r="847" spans="1:20">
      <c r="A847" s="231">
        <v>99222</v>
      </c>
      <c r="B847" s="232" t="s">
        <v>1554</v>
      </c>
      <c r="C847" s="92">
        <v>3.9100000000000002E-5</v>
      </c>
      <c r="D847" s="92">
        <v>4.0099999999999999E-5</v>
      </c>
      <c r="E847" s="236">
        <v>59734</v>
      </c>
      <c r="F847" s="236"/>
      <c r="G847" s="237">
        <v>3441</v>
      </c>
      <c r="H847" s="225">
        <v>14504</v>
      </c>
      <c r="I847" s="237">
        <v>8531</v>
      </c>
      <c r="J847" s="236">
        <v>2307</v>
      </c>
      <c r="K847" s="225">
        <f t="shared" si="27"/>
        <v>28783</v>
      </c>
      <c r="L847" s="236"/>
      <c r="M847" s="237">
        <v>1691</v>
      </c>
      <c r="N847" s="237">
        <v>0</v>
      </c>
      <c r="O847" s="236">
        <v>3585</v>
      </c>
      <c r="P847" s="225">
        <f t="shared" si="28"/>
        <v>5276</v>
      </c>
      <c r="Q847" s="236"/>
      <c r="R847" s="237">
        <v>20130</v>
      </c>
      <c r="S847" s="238">
        <v>281</v>
      </c>
      <c r="T847" s="238">
        <v>20411</v>
      </c>
    </row>
    <row r="848" spans="1:20">
      <c r="A848" s="231">
        <v>99231</v>
      </c>
      <c r="B848" s="232" t="s">
        <v>1555</v>
      </c>
      <c r="C848" s="92">
        <v>3.7179999999999998E-4</v>
      </c>
      <c r="D848" s="92">
        <v>3.7869999999999999E-4</v>
      </c>
      <c r="E848" s="236">
        <v>568007</v>
      </c>
      <c r="F848" s="236"/>
      <c r="G848" s="237">
        <v>32722</v>
      </c>
      <c r="H848" s="225">
        <v>137913</v>
      </c>
      <c r="I848" s="237">
        <v>81119</v>
      </c>
      <c r="J848" s="236">
        <v>0</v>
      </c>
      <c r="K848" s="225">
        <f t="shared" si="27"/>
        <v>251754</v>
      </c>
      <c r="L848" s="236"/>
      <c r="M848" s="237">
        <v>16078</v>
      </c>
      <c r="N848" s="237">
        <v>0</v>
      </c>
      <c r="O848" s="236">
        <v>31773</v>
      </c>
      <c r="P848" s="225">
        <f t="shared" si="28"/>
        <v>47851</v>
      </c>
      <c r="Q848" s="236"/>
      <c r="R848" s="237">
        <v>191419</v>
      </c>
      <c r="S848" s="238">
        <v>-14995</v>
      </c>
      <c r="T848" s="238">
        <v>176424</v>
      </c>
    </row>
    <row r="849" spans="1:20">
      <c r="A849" s="231">
        <v>99241</v>
      </c>
      <c r="B849" s="232" t="s">
        <v>1556</v>
      </c>
      <c r="C849" s="92">
        <v>5.5329999999999995E-4</v>
      </c>
      <c r="D849" s="92">
        <v>5.6039999999999996E-4</v>
      </c>
      <c r="E849" s="236">
        <v>845289</v>
      </c>
      <c r="F849" s="236"/>
      <c r="G849" s="237">
        <v>48696</v>
      </c>
      <c r="H849" s="225">
        <v>205238</v>
      </c>
      <c r="I849" s="237">
        <v>120719</v>
      </c>
      <c r="J849" s="236">
        <v>0</v>
      </c>
      <c r="K849" s="225">
        <f t="shared" si="27"/>
        <v>374653</v>
      </c>
      <c r="L849" s="236"/>
      <c r="M849" s="237">
        <v>23927</v>
      </c>
      <c r="N849" s="237">
        <v>0</v>
      </c>
      <c r="O849" s="236">
        <v>103885</v>
      </c>
      <c r="P849" s="225">
        <f t="shared" si="28"/>
        <v>127812</v>
      </c>
      <c r="Q849" s="236"/>
      <c r="R849" s="237">
        <v>284863</v>
      </c>
      <c r="S849" s="238">
        <v>-52289</v>
      </c>
      <c r="T849" s="238">
        <f>232575-1</f>
        <v>232574</v>
      </c>
    </row>
    <row r="850" spans="1:20">
      <c r="A850" s="231">
        <v>99251</v>
      </c>
      <c r="B850" s="232" t="s">
        <v>1557</v>
      </c>
      <c r="C850" s="92">
        <v>1.6069000000000001E-3</v>
      </c>
      <c r="D850" s="92">
        <v>1.6521000000000001E-3</v>
      </c>
      <c r="E850" s="236">
        <v>2454898</v>
      </c>
      <c r="F850" s="236"/>
      <c r="G850" s="237">
        <v>141425</v>
      </c>
      <c r="H850" s="225">
        <v>596053</v>
      </c>
      <c r="I850" s="237">
        <v>350593</v>
      </c>
      <c r="J850" s="236">
        <v>2758</v>
      </c>
      <c r="K850" s="225">
        <f t="shared" si="27"/>
        <v>1090829</v>
      </c>
      <c r="L850" s="236"/>
      <c r="M850" s="237">
        <v>69490</v>
      </c>
      <c r="N850" s="237">
        <v>0</v>
      </c>
      <c r="O850" s="236">
        <v>31200</v>
      </c>
      <c r="P850" s="225">
        <f t="shared" si="28"/>
        <v>100690</v>
      </c>
      <c r="Q850" s="236"/>
      <c r="R850" s="237">
        <v>827303</v>
      </c>
      <c r="S850" s="238">
        <v>-11932</v>
      </c>
      <c r="T850" s="238">
        <v>815371</v>
      </c>
    </row>
    <row r="851" spans="1:20">
      <c r="A851" s="231">
        <v>99252</v>
      </c>
      <c r="B851" s="232" t="s">
        <v>1558</v>
      </c>
      <c r="C851" s="92">
        <v>6.1269999999999999E-4</v>
      </c>
      <c r="D851" s="92">
        <v>5.8279999999999996E-4</v>
      </c>
      <c r="E851" s="236">
        <v>936036</v>
      </c>
      <c r="F851" s="236"/>
      <c r="G851" s="237">
        <v>53924</v>
      </c>
      <c r="H851" s="225">
        <v>227271</v>
      </c>
      <c r="I851" s="237">
        <v>133679</v>
      </c>
      <c r="J851" s="236">
        <v>0</v>
      </c>
      <c r="K851" s="225">
        <f t="shared" si="27"/>
        <v>414874</v>
      </c>
      <c r="L851" s="236"/>
      <c r="M851" s="237">
        <v>26496</v>
      </c>
      <c r="N851" s="237">
        <v>0</v>
      </c>
      <c r="O851" s="236">
        <v>202059</v>
      </c>
      <c r="P851" s="225">
        <f t="shared" si="28"/>
        <v>228555</v>
      </c>
      <c r="Q851" s="236"/>
      <c r="R851" s="237">
        <v>315445</v>
      </c>
      <c r="S851" s="238">
        <v>-85968</v>
      </c>
      <c r="T851" s="238">
        <v>229477</v>
      </c>
    </row>
    <row r="852" spans="1:20">
      <c r="A852" s="231">
        <v>99261</v>
      </c>
      <c r="B852" s="232" t="s">
        <v>1559</v>
      </c>
      <c r="C852" s="92">
        <v>1.9938E-3</v>
      </c>
      <c r="D852" s="92">
        <v>1.9145E-3</v>
      </c>
      <c r="E852" s="236">
        <v>3045974</v>
      </c>
      <c r="F852" s="236"/>
      <c r="G852" s="237">
        <v>175476</v>
      </c>
      <c r="H852" s="225">
        <v>739566</v>
      </c>
      <c r="I852" s="237">
        <v>435007</v>
      </c>
      <c r="J852" s="236">
        <v>0</v>
      </c>
      <c r="K852" s="225">
        <f t="shared" si="27"/>
        <v>1350049</v>
      </c>
      <c r="L852" s="236"/>
      <c r="M852" s="237">
        <v>86222</v>
      </c>
      <c r="N852" s="237">
        <v>0</v>
      </c>
      <c r="O852" s="236">
        <v>148472</v>
      </c>
      <c r="P852" s="225">
        <f t="shared" si="28"/>
        <v>234694</v>
      </c>
      <c r="Q852" s="236"/>
      <c r="R852" s="237">
        <v>1026496</v>
      </c>
      <c r="S852" s="238">
        <v>-69364</v>
      </c>
      <c r="T852" s="238">
        <v>957132</v>
      </c>
    </row>
    <row r="853" spans="1:20">
      <c r="A853" s="231">
        <v>99271</v>
      </c>
      <c r="B853" s="232" t="s">
        <v>1560</v>
      </c>
      <c r="C853" s="92">
        <v>4.0137000000000003E-3</v>
      </c>
      <c r="D853" s="92">
        <v>3.9248E-3</v>
      </c>
      <c r="E853" s="236">
        <v>6131822</v>
      </c>
      <c r="F853" s="236"/>
      <c r="G853" s="237">
        <v>353250</v>
      </c>
      <c r="H853" s="225">
        <v>1488814</v>
      </c>
      <c r="I853" s="237">
        <v>875709</v>
      </c>
      <c r="J853" s="236">
        <v>0</v>
      </c>
      <c r="K853" s="225">
        <f t="shared" si="27"/>
        <v>2717773</v>
      </c>
      <c r="L853" s="236"/>
      <c r="M853" s="237">
        <v>173572</v>
      </c>
      <c r="N853" s="237">
        <v>0</v>
      </c>
      <c r="O853" s="236">
        <v>122792</v>
      </c>
      <c r="P853" s="225">
        <f t="shared" si="28"/>
        <v>296364</v>
      </c>
      <c r="Q853" s="236"/>
      <c r="R853" s="237">
        <v>2066429</v>
      </c>
      <c r="S853" s="238">
        <v>-45302</v>
      </c>
      <c r="T853" s="238">
        <v>2021127</v>
      </c>
    </row>
    <row r="854" spans="1:20">
      <c r="A854" s="231">
        <v>99281</v>
      </c>
      <c r="B854" s="232" t="s">
        <v>1561</v>
      </c>
      <c r="C854" s="92">
        <v>2.2918999999999999E-3</v>
      </c>
      <c r="D854" s="92">
        <v>2.2824E-3</v>
      </c>
      <c r="E854" s="236">
        <v>3501388</v>
      </c>
      <c r="F854" s="236"/>
      <c r="G854" s="237">
        <v>201712</v>
      </c>
      <c r="H854" s="225">
        <v>850141</v>
      </c>
      <c r="I854" s="237">
        <v>500047</v>
      </c>
      <c r="J854" s="236">
        <v>6743</v>
      </c>
      <c r="K854" s="225">
        <f t="shared" si="27"/>
        <v>1558643</v>
      </c>
      <c r="L854" s="236"/>
      <c r="M854" s="237">
        <v>99113</v>
      </c>
      <c r="N854" s="237">
        <v>0</v>
      </c>
      <c r="O854" s="236">
        <v>128585</v>
      </c>
      <c r="P854" s="225">
        <f t="shared" si="28"/>
        <v>227698</v>
      </c>
      <c r="Q854" s="236"/>
      <c r="R854" s="237">
        <v>1179971</v>
      </c>
      <c r="S854" s="238">
        <v>-37280</v>
      </c>
      <c r="T854" s="238">
        <v>1142691</v>
      </c>
    </row>
    <row r="855" spans="1:20">
      <c r="A855" s="231">
        <v>99291</v>
      </c>
      <c r="B855" s="232" t="s">
        <v>1562</v>
      </c>
      <c r="C855" s="92">
        <v>7.3499999999999998E-4</v>
      </c>
      <c r="D855" s="92">
        <v>7.7260000000000002E-4</v>
      </c>
      <c r="E855" s="236">
        <v>1122876</v>
      </c>
      <c r="F855" s="236"/>
      <c r="G855" s="237">
        <v>64688</v>
      </c>
      <c r="H855" s="225">
        <v>272636</v>
      </c>
      <c r="I855" s="237">
        <v>160362</v>
      </c>
      <c r="J855" s="236">
        <v>0</v>
      </c>
      <c r="K855" s="225">
        <f t="shared" si="27"/>
        <v>497686</v>
      </c>
      <c r="L855" s="236"/>
      <c r="M855" s="237">
        <v>31785</v>
      </c>
      <c r="N855" s="237">
        <v>0</v>
      </c>
      <c r="O855" s="236">
        <v>137813</v>
      </c>
      <c r="P855" s="225">
        <f t="shared" si="28"/>
        <v>169598</v>
      </c>
      <c r="Q855" s="236"/>
      <c r="R855" s="237">
        <v>378410</v>
      </c>
      <c r="S855" s="238">
        <v>-55575</v>
      </c>
      <c r="T855" s="238">
        <v>322835</v>
      </c>
    </row>
    <row r="856" spans="1:20">
      <c r="A856" s="231">
        <v>99301</v>
      </c>
      <c r="B856" s="232" t="s">
        <v>1563</v>
      </c>
      <c r="C856" s="92">
        <v>1.7879E-3</v>
      </c>
      <c r="D856" s="92">
        <v>1.8458000000000001E-3</v>
      </c>
      <c r="E856" s="236">
        <v>2731416</v>
      </c>
      <c r="F856" s="236"/>
      <c r="G856" s="237">
        <v>157355</v>
      </c>
      <c r="H856" s="225">
        <v>663191</v>
      </c>
      <c r="I856" s="237">
        <v>390084</v>
      </c>
      <c r="J856" s="236">
        <v>67408</v>
      </c>
      <c r="K856" s="225">
        <f t="shared" si="27"/>
        <v>1278038</v>
      </c>
      <c r="L856" s="236"/>
      <c r="M856" s="237">
        <v>77318</v>
      </c>
      <c r="N856" s="237">
        <v>0</v>
      </c>
      <c r="O856" s="236">
        <v>65062</v>
      </c>
      <c r="P856" s="225">
        <f t="shared" si="28"/>
        <v>142380</v>
      </c>
      <c r="Q856" s="236"/>
      <c r="R856" s="237">
        <v>920490</v>
      </c>
      <c r="S856" s="238">
        <v>38686</v>
      </c>
      <c r="T856" s="238">
        <f>959175+1</f>
        <v>959176</v>
      </c>
    </row>
    <row r="857" spans="1:20">
      <c r="A857" s="231">
        <v>99304</v>
      </c>
      <c r="B857" s="232" t="s">
        <v>1564</v>
      </c>
      <c r="C857" s="92">
        <v>9.2E-6</v>
      </c>
      <c r="D857" s="92">
        <v>9.9000000000000001E-6</v>
      </c>
      <c r="E857" s="236">
        <v>14055</v>
      </c>
      <c r="F857" s="236"/>
      <c r="G857" s="237">
        <v>810</v>
      </c>
      <c r="H857" s="225">
        <v>3412</v>
      </c>
      <c r="I857" s="237">
        <v>2007</v>
      </c>
      <c r="J857" s="236">
        <v>4659</v>
      </c>
      <c r="K857" s="225">
        <f t="shared" si="27"/>
        <v>10888</v>
      </c>
      <c r="L857" s="236"/>
      <c r="M857" s="237">
        <v>398</v>
      </c>
      <c r="N857" s="237">
        <v>0</v>
      </c>
      <c r="O857" s="236">
        <v>248</v>
      </c>
      <c r="P857" s="225">
        <f t="shared" si="28"/>
        <v>646</v>
      </c>
      <c r="Q857" s="236"/>
      <c r="R857" s="237">
        <v>4737</v>
      </c>
      <c r="S857" s="238">
        <v>1371</v>
      </c>
      <c r="T857" s="238">
        <f>6107+1</f>
        <v>6108</v>
      </c>
    </row>
    <row r="858" spans="1:20">
      <c r="A858" s="231">
        <v>99311</v>
      </c>
      <c r="B858" s="232" t="s">
        <v>1565</v>
      </c>
      <c r="C858" s="92">
        <v>5.4299999999999998E-5</v>
      </c>
      <c r="D858" s="92">
        <v>5.7599999999999997E-5</v>
      </c>
      <c r="E858" s="236">
        <v>82955</v>
      </c>
      <c r="F858" s="236"/>
      <c r="G858" s="237">
        <v>4779</v>
      </c>
      <c r="H858" s="225">
        <v>20142</v>
      </c>
      <c r="I858" s="237">
        <v>11847</v>
      </c>
      <c r="J858" s="236">
        <v>0</v>
      </c>
      <c r="K858" s="225">
        <f t="shared" si="27"/>
        <v>36768</v>
      </c>
      <c r="L858" s="236"/>
      <c r="M858" s="237">
        <v>2348</v>
      </c>
      <c r="N858" s="237">
        <v>0</v>
      </c>
      <c r="O858" s="236">
        <v>6758</v>
      </c>
      <c r="P858" s="225">
        <f t="shared" si="28"/>
        <v>9106</v>
      </c>
      <c r="Q858" s="236"/>
      <c r="R858" s="237">
        <v>27956</v>
      </c>
      <c r="S858" s="238">
        <v>-3216</v>
      </c>
      <c r="T858" s="238">
        <v>24740</v>
      </c>
    </row>
    <row r="859" spans="1:20">
      <c r="A859" s="231">
        <v>99321</v>
      </c>
      <c r="B859" s="232" t="s">
        <v>1566</v>
      </c>
      <c r="C859" s="92">
        <v>1.1E-4</v>
      </c>
      <c r="D859" s="92">
        <v>1.1909999999999999E-4</v>
      </c>
      <c r="E859" s="236">
        <v>168050</v>
      </c>
      <c r="F859" s="236"/>
      <c r="G859" s="237">
        <v>9681</v>
      </c>
      <c r="H859" s="225">
        <v>40803</v>
      </c>
      <c r="I859" s="237">
        <v>24000</v>
      </c>
      <c r="J859" s="236">
        <v>96146</v>
      </c>
      <c r="K859" s="225">
        <f t="shared" si="27"/>
        <v>170630</v>
      </c>
      <c r="L859" s="236"/>
      <c r="M859" s="237">
        <v>4757</v>
      </c>
      <c r="N859" s="237">
        <v>0</v>
      </c>
      <c r="O859" s="236">
        <v>0</v>
      </c>
      <c r="P859" s="225">
        <f t="shared" si="28"/>
        <v>4757</v>
      </c>
      <c r="Q859" s="236"/>
      <c r="R859" s="237">
        <v>56633</v>
      </c>
      <c r="S859" s="238">
        <v>41980</v>
      </c>
      <c r="T859" s="238">
        <v>98613</v>
      </c>
    </row>
    <row r="860" spans="1:20">
      <c r="A860" s="231">
        <v>99401</v>
      </c>
      <c r="B860" s="232" t="s">
        <v>1567</v>
      </c>
      <c r="C860" s="92">
        <v>9.2389999999999996E-4</v>
      </c>
      <c r="D860" s="92">
        <v>9.3869999999999999E-4</v>
      </c>
      <c r="E860" s="236">
        <v>1411463</v>
      </c>
      <c r="F860" s="236"/>
      <c r="G860" s="237">
        <v>81313</v>
      </c>
      <c r="H860" s="225">
        <v>342705</v>
      </c>
      <c r="I860" s="237">
        <v>201577</v>
      </c>
      <c r="J860" s="236">
        <v>34240</v>
      </c>
      <c r="K860" s="225">
        <f t="shared" si="27"/>
        <v>659835</v>
      </c>
      <c r="L860" s="236"/>
      <c r="M860" s="237">
        <v>39954</v>
      </c>
      <c r="N860" s="237">
        <v>0</v>
      </c>
      <c r="O860" s="236">
        <v>17589</v>
      </c>
      <c r="P860" s="225">
        <f t="shared" si="28"/>
        <v>57543</v>
      </c>
      <c r="Q860" s="236"/>
      <c r="R860" s="237">
        <v>475664</v>
      </c>
      <c r="S860" s="238">
        <v>22297</v>
      </c>
      <c r="T860" s="238">
        <v>497961</v>
      </c>
    </row>
    <row r="861" spans="1:20">
      <c r="A861" s="231">
        <v>99404</v>
      </c>
      <c r="B861" s="232" t="s">
        <v>1568</v>
      </c>
      <c r="C861" s="92">
        <v>9.3999999999999998E-6</v>
      </c>
      <c r="D861" s="92">
        <v>9.5999999999999996E-6</v>
      </c>
      <c r="E861" s="236">
        <v>14361</v>
      </c>
      <c r="F861" s="236"/>
      <c r="G861" s="237">
        <v>827</v>
      </c>
      <c r="H861" s="225">
        <v>3487</v>
      </c>
      <c r="I861" s="237">
        <v>2051</v>
      </c>
      <c r="J861" s="236">
        <v>1334</v>
      </c>
      <c r="K861" s="225">
        <f t="shared" si="27"/>
        <v>7699</v>
      </c>
      <c r="L861" s="236"/>
      <c r="M861" s="237">
        <v>407</v>
      </c>
      <c r="N861" s="237">
        <v>0</v>
      </c>
      <c r="O861" s="236">
        <v>0</v>
      </c>
      <c r="P861" s="225">
        <f t="shared" si="28"/>
        <v>407</v>
      </c>
      <c r="Q861" s="236"/>
      <c r="R861" s="237">
        <v>4840</v>
      </c>
      <c r="S861" s="238">
        <v>466</v>
      </c>
      <c r="T861" s="238">
        <v>5306</v>
      </c>
    </row>
    <row r="862" spans="1:20">
      <c r="A862" s="231">
        <v>99405</v>
      </c>
      <c r="B862" s="232" t="s">
        <v>1569</v>
      </c>
      <c r="C862" s="92">
        <v>6.2700000000000006E-5</v>
      </c>
      <c r="D862" s="92">
        <v>5.8100000000000003E-5</v>
      </c>
      <c r="E862" s="236">
        <v>95788</v>
      </c>
      <c r="F862" s="236"/>
      <c r="G862" s="237">
        <v>5518</v>
      </c>
      <c r="H862" s="225">
        <v>23258</v>
      </c>
      <c r="I862" s="237">
        <v>13680</v>
      </c>
      <c r="J862" s="236">
        <v>18380</v>
      </c>
      <c r="K862" s="225">
        <f t="shared" si="27"/>
        <v>60836</v>
      </c>
      <c r="L862" s="236"/>
      <c r="M862" s="237">
        <v>2711</v>
      </c>
      <c r="N862" s="237">
        <v>0</v>
      </c>
      <c r="O862" s="236">
        <v>336</v>
      </c>
      <c r="P862" s="225">
        <f t="shared" si="28"/>
        <v>3047</v>
      </c>
      <c r="Q862" s="236"/>
      <c r="R862" s="237">
        <v>32281</v>
      </c>
      <c r="S862" s="238">
        <v>6084</v>
      </c>
      <c r="T862" s="238">
        <f>38364+1</f>
        <v>38365</v>
      </c>
    </row>
    <row r="863" spans="1:20">
      <c r="A863" s="231">
        <v>99411</v>
      </c>
      <c r="B863" s="232" t="s">
        <v>1570</v>
      </c>
      <c r="C863" s="92">
        <v>1.583E-4</v>
      </c>
      <c r="D863" s="92">
        <v>1.2510000000000001E-4</v>
      </c>
      <c r="E863" s="236">
        <v>241839</v>
      </c>
      <c r="F863" s="236"/>
      <c r="G863" s="237">
        <v>13932</v>
      </c>
      <c r="H863" s="225">
        <v>58719</v>
      </c>
      <c r="I863" s="237">
        <v>34538</v>
      </c>
      <c r="J863" s="236">
        <v>41924</v>
      </c>
      <c r="K863" s="225">
        <f t="shared" si="27"/>
        <v>149113</v>
      </c>
      <c r="L863" s="236"/>
      <c r="M863" s="237">
        <v>6846</v>
      </c>
      <c r="N863" s="237">
        <v>0</v>
      </c>
      <c r="O863" s="236">
        <v>4400</v>
      </c>
      <c r="P863" s="225">
        <f t="shared" si="28"/>
        <v>11246</v>
      </c>
      <c r="Q863" s="236"/>
      <c r="R863" s="237">
        <v>81500</v>
      </c>
      <c r="S863" s="238">
        <v>8626</v>
      </c>
      <c r="T863" s="238">
        <v>90126</v>
      </c>
    </row>
    <row r="864" spans="1:20">
      <c r="A864" s="231">
        <v>99413</v>
      </c>
      <c r="B864" s="232" t="s">
        <v>1571</v>
      </c>
      <c r="C864" s="92">
        <v>3.1099999999999997E-5</v>
      </c>
      <c r="D864" s="92">
        <v>2.76E-5</v>
      </c>
      <c r="E864" s="236">
        <v>47512</v>
      </c>
      <c r="F864" s="236"/>
      <c r="G864" s="237">
        <v>2737</v>
      </c>
      <c r="H864" s="225">
        <v>11536</v>
      </c>
      <c r="I864" s="237">
        <v>6785</v>
      </c>
      <c r="J864" s="236">
        <v>5754</v>
      </c>
      <c r="K864" s="225">
        <f t="shared" si="27"/>
        <v>26812</v>
      </c>
      <c r="L864" s="236"/>
      <c r="M864" s="237">
        <v>1345</v>
      </c>
      <c r="N864" s="237">
        <v>0</v>
      </c>
      <c r="O864" s="236">
        <v>3024</v>
      </c>
      <c r="P864" s="225">
        <f t="shared" si="28"/>
        <v>4369</v>
      </c>
      <c r="Q864" s="236"/>
      <c r="R864" s="237">
        <v>16012</v>
      </c>
      <c r="S864" s="238">
        <v>202</v>
      </c>
      <c r="T864" s="238">
        <v>16214</v>
      </c>
    </row>
    <row r="865" spans="1:20">
      <c r="A865" s="231">
        <v>99421</v>
      </c>
      <c r="B865" s="232" t="s">
        <v>1572</v>
      </c>
      <c r="C865" s="92">
        <v>1.04E-5</v>
      </c>
      <c r="D865" s="92">
        <v>1.5E-5</v>
      </c>
      <c r="E865" s="236">
        <v>15888</v>
      </c>
      <c r="F865" s="236"/>
      <c r="G865" s="237">
        <v>915</v>
      </c>
      <c r="H865" s="225">
        <v>3858</v>
      </c>
      <c r="I865" s="237">
        <v>2269</v>
      </c>
      <c r="J865" s="236">
        <v>764</v>
      </c>
      <c r="K865" s="225">
        <f t="shared" si="27"/>
        <v>7806</v>
      </c>
      <c r="L865" s="236"/>
      <c r="M865" s="237">
        <v>450</v>
      </c>
      <c r="N865" s="237">
        <v>0</v>
      </c>
      <c r="O865" s="236">
        <v>5440</v>
      </c>
      <c r="P865" s="225">
        <f t="shared" si="28"/>
        <v>5890</v>
      </c>
      <c r="Q865" s="236"/>
      <c r="R865" s="237">
        <v>5354</v>
      </c>
      <c r="S865" s="238">
        <v>-1116</v>
      </c>
      <c r="T865" s="238">
        <v>4238</v>
      </c>
    </row>
    <row r="866" spans="1:20">
      <c r="A866" s="231">
        <v>99431</v>
      </c>
      <c r="B866" s="232" t="s">
        <v>1573</v>
      </c>
      <c r="C866" s="92">
        <v>2.2200000000000001E-5</v>
      </c>
      <c r="D866" s="92">
        <v>2.16E-5</v>
      </c>
      <c r="E866" s="236">
        <v>33915</v>
      </c>
      <c r="F866" s="236"/>
      <c r="G866" s="237">
        <v>1954</v>
      </c>
      <c r="H866" s="225">
        <v>8235</v>
      </c>
      <c r="I866" s="237">
        <v>4844</v>
      </c>
      <c r="J866" s="236">
        <v>1071</v>
      </c>
      <c r="K866" s="225">
        <f t="shared" si="27"/>
        <v>16104</v>
      </c>
      <c r="L866" s="236"/>
      <c r="M866" s="237">
        <v>960</v>
      </c>
      <c r="N866" s="237">
        <v>0</v>
      </c>
      <c r="O866" s="236">
        <v>3001</v>
      </c>
      <c r="P866" s="225">
        <f t="shared" si="28"/>
        <v>3961</v>
      </c>
      <c r="Q866" s="236"/>
      <c r="R866" s="237">
        <v>11430</v>
      </c>
      <c r="S866" s="238">
        <v>119</v>
      </c>
      <c r="T866" s="238">
        <v>11549</v>
      </c>
    </row>
    <row r="867" spans="1:20">
      <c r="A867" s="231">
        <v>99501</v>
      </c>
      <c r="B867" s="232" t="s">
        <v>1574</v>
      </c>
      <c r="C867" s="92">
        <v>1.6785000000000001E-3</v>
      </c>
      <c r="D867" s="92">
        <v>1.7390000000000001E-3</v>
      </c>
      <c r="E867" s="236">
        <v>2564283</v>
      </c>
      <c r="F867" s="236"/>
      <c r="G867" s="237">
        <v>147726</v>
      </c>
      <c r="H867" s="225">
        <v>622611</v>
      </c>
      <c r="I867" s="237">
        <v>366215</v>
      </c>
      <c r="J867" s="236">
        <v>3764</v>
      </c>
      <c r="K867" s="225">
        <f t="shared" si="27"/>
        <v>1140316</v>
      </c>
      <c r="L867" s="236"/>
      <c r="M867" s="237">
        <v>72587</v>
      </c>
      <c r="N867" s="237">
        <v>0</v>
      </c>
      <c r="O867" s="236">
        <v>21505</v>
      </c>
      <c r="P867" s="225">
        <f t="shared" si="28"/>
        <v>94092</v>
      </c>
      <c r="Q867" s="236"/>
      <c r="R867" s="237">
        <v>864166</v>
      </c>
      <c r="S867" s="238">
        <v>-3415</v>
      </c>
      <c r="T867" s="238">
        <f>860750+1</f>
        <v>860751</v>
      </c>
    </row>
    <row r="868" spans="1:20">
      <c r="A868" s="231">
        <v>99502</v>
      </c>
      <c r="B868" s="232" t="s">
        <v>1575</v>
      </c>
      <c r="C868" s="92">
        <v>1.373E-4</v>
      </c>
      <c r="D868" s="92">
        <v>1.3779999999999999E-4</v>
      </c>
      <c r="E868" s="236">
        <v>209756</v>
      </c>
      <c r="F868" s="236"/>
      <c r="G868" s="237">
        <v>12084</v>
      </c>
      <c r="H868" s="225">
        <v>50929</v>
      </c>
      <c r="I868" s="237">
        <v>29956</v>
      </c>
      <c r="J868" s="236">
        <v>21393</v>
      </c>
      <c r="K868" s="225">
        <f t="shared" si="27"/>
        <v>114362</v>
      </c>
      <c r="L868" s="236"/>
      <c r="M868" s="237">
        <v>5938</v>
      </c>
      <c r="N868" s="237">
        <v>0</v>
      </c>
      <c r="O868" s="236">
        <v>71</v>
      </c>
      <c r="P868" s="225">
        <f t="shared" si="28"/>
        <v>6009</v>
      </c>
      <c r="Q868" s="236"/>
      <c r="R868" s="237">
        <v>70688</v>
      </c>
      <c r="S868" s="238">
        <v>9456</v>
      </c>
      <c r="T868" s="238">
        <v>80144</v>
      </c>
    </row>
    <row r="869" spans="1:20">
      <c r="A869" s="231">
        <v>99508</v>
      </c>
      <c r="B869" s="232" t="s">
        <v>1576</v>
      </c>
      <c r="C869" s="92">
        <v>2.2099999999999998E-5</v>
      </c>
      <c r="D869" s="92">
        <v>2.1699999999999999E-5</v>
      </c>
      <c r="E869" s="236">
        <v>33763</v>
      </c>
      <c r="F869" s="236"/>
      <c r="G869" s="237">
        <v>1945</v>
      </c>
      <c r="H869" s="225">
        <v>8198</v>
      </c>
      <c r="I869" s="237">
        <v>4822</v>
      </c>
      <c r="J869" s="236">
        <v>37</v>
      </c>
      <c r="K869" s="225">
        <f t="shared" si="27"/>
        <v>15002</v>
      </c>
      <c r="L869" s="236"/>
      <c r="M869" s="237">
        <v>956</v>
      </c>
      <c r="N869" s="237">
        <v>0</v>
      </c>
      <c r="O869" s="236">
        <v>1571</v>
      </c>
      <c r="P869" s="225">
        <f t="shared" si="28"/>
        <v>2527</v>
      </c>
      <c r="Q869" s="236"/>
      <c r="R869" s="237">
        <v>11378</v>
      </c>
      <c r="S869" s="238">
        <v>-984</v>
      </c>
      <c r="T869" s="238">
        <v>10394</v>
      </c>
    </row>
    <row r="870" spans="1:20">
      <c r="A870" s="231">
        <v>99509</v>
      </c>
      <c r="B870" s="232" t="s">
        <v>1577</v>
      </c>
      <c r="C870" s="92">
        <v>2.76E-5</v>
      </c>
      <c r="D870" s="92">
        <v>2.8900000000000001E-5</v>
      </c>
      <c r="E870" s="236">
        <v>42165</v>
      </c>
      <c r="F870" s="236"/>
      <c r="G870" s="237">
        <v>2429</v>
      </c>
      <c r="H870" s="225">
        <v>10238</v>
      </c>
      <c r="I870" s="237">
        <v>6022</v>
      </c>
      <c r="J870" s="236">
        <v>0</v>
      </c>
      <c r="K870" s="225">
        <f t="shared" si="27"/>
        <v>18689</v>
      </c>
      <c r="L870" s="236"/>
      <c r="M870" s="237">
        <v>1194</v>
      </c>
      <c r="N870" s="237">
        <v>0</v>
      </c>
      <c r="O870" s="236">
        <v>6512</v>
      </c>
      <c r="P870" s="225">
        <f t="shared" si="28"/>
        <v>7706</v>
      </c>
      <c r="Q870" s="236"/>
      <c r="R870" s="237">
        <v>14210</v>
      </c>
      <c r="S870" s="238">
        <v>-4301</v>
      </c>
      <c r="T870" s="238">
        <v>9909</v>
      </c>
    </row>
    <row r="871" spans="1:20">
      <c r="A871" s="231">
        <v>99511</v>
      </c>
      <c r="B871" s="232" t="s">
        <v>1578</v>
      </c>
      <c r="C871" s="92">
        <v>1.4048999999999999E-3</v>
      </c>
      <c r="D871" s="92">
        <v>1.3638000000000001E-3</v>
      </c>
      <c r="E871" s="236">
        <v>2146298</v>
      </c>
      <c r="F871" s="236"/>
      <c r="G871" s="237">
        <v>123647</v>
      </c>
      <c r="H871" s="225">
        <v>521124</v>
      </c>
      <c r="I871" s="237">
        <v>306521</v>
      </c>
      <c r="J871" s="236">
        <v>4500</v>
      </c>
      <c r="K871" s="225">
        <f t="shared" si="27"/>
        <v>955792</v>
      </c>
      <c r="L871" s="236"/>
      <c r="M871" s="237">
        <v>60755</v>
      </c>
      <c r="N871" s="237">
        <v>0</v>
      </c>
      <c r="O871" s="236">
        <v>85381</v>
      </c>
      <c r="P871" s="225">
        <f t="shared" si="28"/>
        <v>146136</v>
      </c>
      <c r="Q871" s="236"/>
      <c r="R871" s="237">
        <v>723304</v>
      </c>
      <c r="S871" s="238">
        <v>-30654</v>
      </c>
      <c r="T871" s="238">
        <v>692650</v>
      </c>
    </row>
    <row r="872" spans="1:20">
      <c r="A872" s="231">
        <v>99521</v>
      </c>
      <c r="B872" s="232" t="s">
        <v>1579</v>
      </c>
      <c r="C872" s="92">
        <v>4.2700000000000002E-4</v>
      </c>
      <c r="D872" s="92">
        <v>4.0180000000000001E-4</v>
      </c>
      <c r="E872" s="236">
        <v>652338</v>
      </c>
      <c r="F872" s="236"/>
      <c r="G872" s="237">
        <v>37581</v>
      </c>
      <c r="H872" s="225">
        <v>158389</v>
      </c>
      <c r="I872" s="237">
        <v>93163</v>
      </c>
      <c r="J872" s="236">
        <v>2015</v>
      </c>
      <c r="K872" s="225">
        <f t="shared" si="27"/>
        <v>291148</v>
      </c>
      <c r="L872" s="236"/>
      <c r="M872" s="237">
        <v>18466</v>
      </c>
      <c r="N872" s="237">
        <v>0</v>
      </c>
      <c r="O872" s="236">
        <v>15563</v>
      </c>
      <c r="P872" s="225">
        <f t="shared" si="28"/>
        <v>34029</v>
      </c>
      <c r="Q872" s="236"/>
      <c r="R872" s="237">
        <v>219838</v>
      </c>
      <c r="S872" s="238">
        <v>-5081</v>
      </c>
      <c r="T872" s="238">
        <v>214757</v>
      </c>
    </row>
    <row r="873" spans="1:20">
      <c r="A873" s="231">
        <v>99527</v>
      </c>
      <c r="B873" s="232" t="s">
        <v>1580</v>
      </c>
      <c r="C873" s="92">
        <v>1.19E-5</v>
      </c>
      <c r="D873" s="92">
        <v>1.2099999999999999E-5</v>
      </c>
      <c r="E873" s="236">
        <v>18180</v>
      </c>
      <c r="F873" s="236"/>
      <c r="G873" s="237">
        <v>1047</v>
      </c>
      <c r="H873" s="225">
        <v>4414</v>
      </c>
      <c r="I873" s="237">
        <v>2596</v>
      </c>
      <c r="J873" s="236">
        <v>1124</v>
      </c>
      <c r="K873" s="225">
        <f t="shared" si="27"/>
        <v>9181</v>
      </c>
      <c r="L873" s="236"/>
      <c r="M873" s="237">
        <v>515</v>
      </c>
      <c r="N873" s="237">
        <v>0</v>
      </c>
      <c r="O873" s="236">
        <v>0</v>
      </c>
      <c r="P873" s="225">
        <f t="shared" si="28"/>
        <v>515</v>
      </c>
      <c r="Q873" s="236"/>
      <c r="R873" s="237">
        <v>6127</v>
      </c>
      <c r="S873" s="238">
        <v>591</v>
      </c>
      <c r="T873" s="238">
        <v>6718</v>
      </c>
    </row>
    <row r="874" spans="1:20">
      <c r="A874" s="231">
        <v>99531</v>
      </c>
      <c r="B874" s="232" t="s">
        <v>1581</v>
      </c>
      <c r="C874" s="92">
        <v>9.3499999999999996E-5</v>
      </c>
      <c r="D874" s="92">
        <v>8.7600000000000002E-5</v>
      </c>
      <c r="E874" s="236">
        <v>142842</v>
      </c>
      <c r="F874" s="236"/>
      <c r="G874" s="237">
        <v>8229</v>
      </c>
      <c r="H874" s="225">
        <v>34683</v>
      </c>
      <c r="I874" s="237">
        <v>20400</v>
      </c>
      <c r="J874" s="236">
        <v>55453</v>
      </c>
      <c r="K874" s="225">
        <f t="shared" si="27"/>
        <v>118765</v>
      </c>
      <c r="L874" s="236"/>
      <c r="M874" s="237">
        <v>4043</v>
      </c>
      <c r="N874" s="237">
        <v>0</v>
      </c>
      <c r="O874" s="236">
        <v>0</v>
      </c>
      <c r="P874" s="225">
        <f t="shared" si="28"/>
        <v>4043</v>
      </c>
      <c r="Q874" s="236"/>
      <c r="R874" s="237">
        <v>48138</v>
      </c>
      <c r="S874" s="238">
        <v>18721</v>
      </c>
      <c r="T874" s="238">
        <v>66859</v>
      </c>
    </row>
    <row r="875" spans="1:20">
      <c r="A875" s="231">
        <v>99601</v>
      </c>
      <c r="B875" s="232" t="s">
        <v>1582</v>
      </c>
      <c r="C875" s="92">
        <v>5.7812000000000002E-3</v>
      </c>
      <c r="D875" s="92">
        <v>5.2824999999999999E-3</v>
      </c>
      <c r="E875" s="236">
        <v>8832072</v>
      </c>
      <c r="F875" s="236"/>
      <c r="G875" s="237">
        <v>508809</v>
      </c>
      <c r="H875" s="225">
        <v>2144438</v>
      </c>
      <c r="I875" s="237">
        <v>1261342</v>
      </c>
      <c r="J875" s="236">
        <v>289372</v>
      </c>
      <c r="K875" s="225">
        <f t="shared" si="27"/>
        <v>4203961</v>
      </c>
      <c r="L875" s="236"/>
      <c r="M875" s="237">
        <v>250008</v>
      </c>
      <c r="N875" s="237">
        <v>0</v>
      </c>
      <c r="O875" s="236">
        <v>73071</v>
      </c>
      <c r="P875" s="225">
        <f t="shared" si="28"/>
        <v>323079</v>
      </c>
      <c r="Q875" s="236"/>
      <c r="R875" s="237">
        <v>2976416</v>
      </c>
      <c r="S875" s="238">
        <v>55175</v>
      </c>
      <c r="T875" s="238">
        <f>3031592-1</f>
        <v>3031591</v>
      </c>
    </row>
    <row r="876" spans="1:20">
      <c r="A876" s="231">
        <v>99602</v>
      </c>
      <c r="B876" s="232" t="s">
        <v>1583</v>
      </c>
      <c r="C876" s="92">
        <v>6.19E-5</v>
      </c>
      <c r="D876" s="92">
        <v>5.1700000000000003E-5</v>
      </c>
      <c r="E876" s="236">
        <v>94566</v>
      </c>
      <c r="F876" s="236"/>
      <c r="G876" s="237">
        <v>5448</v>
      </c>
      <c r="H876" s="225">
        <v>22961</v>
      </c>
      <c r="I876" s="237">
        <v>13505</v>
      </c>
      <c r="J876" s="236">
        <v>10306</v>
      </c>
      <c r="K876" s="225">
        <f t="shared" si="27"/>
        <v>52220</v>
      </c>
      <c r="L876" s="236"/>
      <c r="M876" s="237">
        <v>2677</v>
      </c>
      <c r="N876" s="237">
        <v>0</v>
      </c>
      <c r="O876" s="236">
        <v>2067</v>
      </c>
      <c r="P876" s="225">
        <f t="shared" si="28"/>
        <v>4744</v>
      </c>
      <c r="Q876" s="236"/>
      <c r="R876" s="237">
        <v>31869</v>
      </c>
      <c r="S876" s="238">
        <v>1298</v>
      </c>
      <c r="T876" s="238">
        <v>33167</v>
      </c>
    </row>
    <row r="877" spans="1:20">
      <c r="A877" s="231">
        <v>99603</v>
      </c>
      <c r="B877" s="232" t="s">
        <v>1584</v>
      </c>
      <c r="C877" s="92">
        <v>1.615E-4</v>
      </c>
      <c r="D877" s="92">
        <v>1.4219999999999999E-4</v>
      </c>
      <c r="E877" s="236">
        <v>246727</v>
      </c>
      <c r="F877" s="236"/>
      <c r="G877" s="237">
        <v>14214</v>
      </c>
      <c r="H877" s="225">
        <v>59905</v>
      </c>
      <c r="I877" s="237">
        <v>35236</v>
      </c>
      <c r="J877" s="236">
        <v>95435</v>
      </c>
      <c r="K877" s="225">
        <f t="shared" si="27"/>
        <v>204790</v>
      </c>
      <c r="L877" s="236"/>
      <c r="M877" s="237">
        <v>6984</v>
      </c>
      <c r="N877" s="237">
        <v>0</v>
      </c>
      <c r="O877" s="236">
        <v>0</v>
      </c>
      <c r="P877" s="225">
        <f t="shared" si="28"/>
        <v>6984</v>
      </c>
      <c r="Q877" s="236"/>
      <c r="R877" s="237">
        <v>83147</v>
      </c>
      <c r="S877" s="238">
        <v>37380</v>
      </c>
      <c r="T877" s="238">
        <v>120527</v>
      </c>
    </row>
    <row r="878" spans="1:20">
      <c r="A878" s="231">
        <v>99604</v>
      </c>
      <c r="B878" s="232" t="s">
        <v>1585</v>
      </c>
      <c r="C878" s="92">
        <v>1.009E-4</v>
      </c>
      <c r="D878" s="92">
        <v>9.6899999999999997E-5</v>
      </c>
      <c r="E878" s="236">
        <v>154147</v>
      </c>
      <c r="F878" s="236"/>
      <c r="G878" s="237">
        <v>8880</v>
      </c>
      <c r="H878" s="225">
        <v>37427</v>
      </c>
      <c r="I878" s="237">
        <v>22014</v>
      </c>
      <c r="J878" s="236">
        <v>20530</v>
      </c>
      <c r="K878" s="225">
        <f t="shared" si="27"/>
        <v>88851</v>
      </c>
      <c r="L878" s="236"/>
      <c r="M878" s="237">
        <v>4363</v>
      </c>
      <c r="N878" s="237">
        <v>0</v>
      </c>
      <c r="O878" s="236">
        <v>0</v>
      </c>
      <c r="P878" s="225">
        <f t="shared" si="28"/>
        <v>4363</v>
      </c>
      <c r="Q878" s="236"/>
      <c r="R878" s="237">
        <v>51948</v>
      </c>
      <c r="S878" s="238">
        <v>9479</v>
      </c>
      <c r="T878" s="238">
        <v>61427</v>
      </c>
    </row>
    <row r="879" spans="1:20">
      <c r="A879" s="231">
        <v>99609</v>
      </c>
      <c r="B879" s="232" t="s">
        <v>1586</v>
      </c>
      <c r="C879" s="92">
        <v>1.52E-5</v>
      </c>
      <c r="D879" s="92">
        <v>2.0999999999999999E-5</v>
      </c>
      <c r="E879" s="236">
        <v>23221</v>
      </c>
      <c r="F879" s="236"/>
      <c r="G879" s="237">
        <v>1338</v>
      </c>
      <c r="H879" s="225">
        <v>5638</v>
      </c>
      <c r="I879" s="237">
        <v>3316</v>
      </c>
      <c r="J879" s="236">
        <v>3555</v>
      </c>
      <c r="K879" s="225">
        <f t="shared" si="27"/>
        <v>13847</v>
      </c>
      <c r="L879" s="236"/>
      <c r="M879" s="237">
        <v>657</v>
      </c>
      <c r="N879" s="237">
        <v>0</v>
      </c>
      <c r="O879" s="236">
        <v>1523</v>
      </c>
      <c r="P879" s="225">
        <f t="shared" si="28"/>
        <v>2180</v>
      </c>
      <c r="Q879" s="236"/>
      <c r="R879" s="237">
        <v>7826</v>
      </c>
      <c r="S879" s="238">
        <v>1693</v>
      </c>
      <c r="T879" s="238">
        <v>9519</v>
      </c>
    </row>
    <row r="880" spans="1:20">
      <c r="A880" s="231">
        <v>99610</v>
      </c>
      <c r="B880" s="232" t="s">
        <v>1587</v>
      </c>
      <c r="C880" s="92">
        <v>1.9440000000000001E-4</v>
      </c>
      <c r="D880" s="92">
        <v>1.9440000000000001E-4</v>
      </c>
      <c r="E880" s="236">
        <v>296989</v>
      </c>
      <c r="F880" s="236"/>
      <c r="G880" s="237">
        <v>17109</v>
      </c>
      <c r="H880" s="225">
        <v>72109</v>
      </c>
      <c r="I880" s="237">
        <v>42414</v>
      </c>
      <c r="J880" s="236">
        <v>2712</v>
      </c>
      <c r="K880" s="225">
        <f t="shared" si="27"/>
        <v>134344</v>
      </c>
      <c r="L880" s="236"/>
      <c r="M880" s="237">
        <v>8407</v>
      </c>
      <c r="N880" s="237">
        <v>0</v>
      </c>
      <c r="O880" s="236">
        <v>4164</v>
      </c>
      <c r="P880" s="225">
        <f t="shared" si="28"/>
        <v>12571</v>
      </c>
      <c r="Q880" s="236"/>
      <c r="R880" s="237">
        <v>100086</v>
      </c>
      <c r="S880" s="238">
        <v>576</v>
      </c>
      <c r="T880" s="238">
        <v>100662</v>
      </c>
    </row>
    <row r="881" spans="1:20">
      <c r="A881" s="231">
        <v>99611</v>
      </c>
      <c r="B881" s="232" t="s">
        <v>1588</v>
      </c>
      <c r="C881" s="92">
        <v>3.1959000000000002E-3</v>
      </c>
      <c r="D881" s="92">
        <v>3.1495999999999998E-3</v>
      </c>
      <c r="E881" s="236">
        <v>4882450</v>
      </c>
      <c r="F881" s="236"/>
      <c r="G881" s="237">
        <v>281274</v>
      </c>
      <c r="H881" s="225">
        <v>1185465</v>
      </c>
      <c r="I881" s="237">
        <v>697281</v>
      </c>
      <c r="J881" s="236">
        <v>36523</v>
      </c>
      <c r="K881" s="225">
        <f t="shared" si="27"/>
        <v>2200543</v>
      </c>
      <c r="L881" s="236"/>
      <c r="M881" s="237">
        <v>138207</v>
      </c>
      <c r="N881" s="237">
        <v>0</v>
      </c>
      <c r="O881" s="236">
        <v>197702</v>
      </c>
      <c r="P881" s="225">
        <f t="shared" si="28"/>
        <v>335909</v>
      </c>
      <c r="Q881" s="236"/>
      <c r="R881" s="237">
        <v>1645390</v>
      </c>
      <c r="S881" s="238">
        <v>-88518</v>
      </c>
      <c r="T881" s="238">
        <v>1556872</v>
      </c>
    </row>
    <row r="882" spans="1:20">
      <c r="A882" s="231">
        <v>99613</v>
      </c>
      <c r="B882" s="232" t="s">
        <v>1589</v>
      </c>
      <c r="C882" s="92">
        <v>3.2909999999999998E-4</v>
      </c>
      <c r="D882" s="92">
        <v>3.369E-4</v>
      </c>
      <c r="E882" s="236">
        <v>502774</v>
      </c>
      <c r="F882" s="236"/>
      <c r="G882" s="237">
        <v>28964</v>
      </c>
      <c r="H882" s="225">
        <v>122074</v>
      </c>
      <c r="I882" s="237">
        <v>71803</v>
      </c>
      <c r="J882" s="236">
        <v>283917</v>
      </c>
      <c r="K882" s="225">
        <f t="shared" si="27"/>
        <v>506758</v>
      </c>
      <c r="L882" s="236"/>
      <c r="M882" s="237">
        <v>14232</v>
      </c>
      <c r="N882" s="237">
        <v>0</v>
      </c>
      <c r="O882" s="236">
        <v>0</v>
      </c>
      <c r="P882" s="225">
        <f t="shared" si="28"/>
        <v>14232</v>
      </c>
      <c r="Q882" s="236"/>
      <c r="R882" s="237">
        <v>169435</v>
      </c>
      <c r="S882" s="238">
        <v>96572</v>
      </c>
      <c r="T882" s="238">
        <v>266007</v>
      </c>
    </row>
    <row r="883" spans="1:20">
      <c r="A883" s="231">
        <v>99621</v>
      </c>
      <c r="B883" s="232" t="s">
        <v>1590</v>
      </c>
      <c r="C883" s="92">
        <v>3.7060000000000001E-4</v>
      </c>
      <c r="D883" s="92">
        <v>3.2850000000000002E-4</v>
      </c>
      <c r="E883" s="236">
        <v>566174</v>
      </c>
      <c r="F883" s="236"/>
      <c r="G883" s="237">
        <v>32617</v>
      </c>
      <c r="H883" s="225">
        <v>137468</v>
      </c>
      <c r="I883" s="237">
        <v>80858</v>
      </c>
      <c r="J883" s="236">
        <v>42182</v>
      </c>
      <c r="K883" s="225">
        <f t="shared" si="27"/>
        <v>293125</v>
      </c>
      <c r="L883" s="236"/>
      <c r="M883" s="237">
        <v>16027</v>
      </c>
      <c r="N883" s="237">
        <v>0</v>
      </c>
      <c r="O883" s="236">
        <v>4670</v>
      </c>
      <c r="P883" s="225">
        <f t="shared" si="28"/>
        <v>20697</v>
      </c>
      <c r="Q883" s="236"/>
      <c r="R883" s="237">
        <v>190801</v>
      </c>
      <c r="S883" s="238">
        <v>12829</v>
      </c>
      <c r="T883" s="238">
        <v>203630</v>
      </c>
    </row>
    <row r="884" spans="1:20">
      <c r="A884" s="231">
        <v>99623</v>
      </c>
      <c r="B884" s="232" t="s">
        <v>1591</v>
      </c>
      <c r="C884" s="92">
        <v>2.6400000000000001E-5</v>
      </c>
      <c r="D884" s="92">
        <v>2.9200000000000002E-5</v>
      </c>
      <c r="E884" s="236">
        <v>40332</v>
      </c>
      <c r="F884" s="236"/>
      <c r="G884" s="237">
        <v>2323</v>
      </c>
      <c r="H884" s="225">
        <v>9793</v>
      </c>
      <c r="I884" s="237">
        <v>5760</v>
      </c>
      <c r="J884" s="236">
        <v>2450</v>
      </c>
      <c r="K884" s="225">
        <f t="shared" si="27"/>
        <v>20326</v>
      </c>
      <c r="L884" s="236"/>
      <c r="M884" s="237">
        <v>1142</v>
      </c>
      <c r="N884" s="237">
        <v>0</v>
      </c>
      <c r="O884" s="236">
        <v>2848</v>
      </c>
      <c r="P884" s="225">
        <f t="shared" si="28"/>
        <v>3990</v>
      </c>
      <c r="Q884" s="236"/>
      <c r="R884" s="237">
        <v>13592</v>
      </c>
      <c r="S884" s="238">
        <v>317</v>
      </c>
      <c r="T884" s="238">
        <f>13908+1</f>
        <v>13909</v>
      </c>
    </row>
    <row r="885" spans="1:20">
      <c r="A885" s="231">
        <v>99631</v>
      </c>
      <c r="B885" s="232" t="s">
        <v>1592</v>
      </c>
      <c r="C885" s="92">
        <v>1.102E-4</v>
      </c>
      <c r="D885" s="92">
        <v>1.0340000000000001E-4</v>
      </c>
      <c r="E885" s="236">
        <v>168355</v>
      </c>
      <c r="F885" s="236"/>
      <c r="G885" s="237">
        <v>9699</v>
      </c>
      <c r="H885" s="225">
        <v>40877</v>
      </c>
      <c r="I885" s="237">
        <v>24043</v>
      </c>
      <c r="J885" s="236">
        <v>1071</v>
      </c>
      <c r="K885" s="225">
        <f t="shared" si="27"/>
        <v>75690</v>
      </c>
      <c r="L885" s="236"/>
      <c r="M885" s="237">
        <v>4766</v>
      </c>
      <c r="N885" s="237">
        <v>0</v>
      </c>
      <c r="O885" s="236">
        <v>5159</v>
      </c>
      <c r="P885" s="225">
        <f t="shared" si="28"/>
        <v>9925</v>
      </c>
      <c r="Q885" s="236"/>
      <c r="R885" s="237">
        <v>56736</v>
      </c>
      <c r="S885" s="238">
        <v>-3954</v>
      </c>
      <c r="T885" s="238">
        <f>52781+1</f>
        <v>52782</v>
      </c>
    </row>
    <row r="886" spans="1:20">
      <c r="A886" s="231">
        <v>99651</v>
      </c>
      <c r="B886" s="232" t="s">
        <v>1593</v>
      </c>
      <c r="C886" s="92">
        <v>6.7199999999999994E-5</v>
      </c>
      <c r="D886" s="92">
        <v>6.7100000000000005E-5</v>
      </c>
      <c r="E886" s="236">
        <v>102663</v>
      </c>
      <c r="F886" s="236"/>
      <c r="G886" s="237">
        <v>5914</v>
      </c>
      <c r="H886" s="225">
        <v>24927</v>
      </c>
      <c r="I886" s="237">
        <v>14662</v>
      </c>
      <c r="J886" s="236">
        <v>5944</v>
      </c>
      <c r="K886" s="225">
        <f t="shared" si="27"/>
        <v>51447</v>
      </c>
      <c r="L886" s="236"/>
      <c r="M886" s="237">
        <v>2906</v>
      </c>
      <c r="N886" s="237">
        <v>0</v>
      </c>
      <c r="O886" s="236">
        <v>1841</v>
      </c>
      <c r="P886" s="225">
        <f t="shared" si="28"/>
        <v>4747</v>
      </c>
      <c r="Q886" s="236"/>
      <c r="R886" s="237">
        <v>34598</v>
      </c>
      <c r="S886" s="238">
        <v>1312</v>
      </c>
      <c r="T886" s="238">
        <v>35910</v>
      </c>
    </row>
    <row r="887" spans="1:20">
      <c r="A887" s="231">
        <v>99661</v>
      </c>
      <c r="B887" s="232" t="s">
        <v>1594</v>
      </c>
      <c r="C887" s="92">
        <v>3.26E-5</v>
      </c>
      <c r="D887" s="92">
        <v>3.5500000000000002E-5</v>
      </c>
      <c r="E887" s="236">
        <v>49804</v>
      </c>
      <c r="F887" s="236"/>
      <c r="G887" s="237">
        <v>2869</v>
      </c>
      <c r="H887" s="225">
        <v>12092</v>
      </c>
      <c r="I887" s="237">
        <v>7113</v>
      </c>
      <c r="J887" s="236">
        <v>34726</v>
      </c>
      <c r="K887" s="225">
        <f t="shared" si="27"/>
        <v>56800</v>
      </c>
      <c r="L887" s="236"/>
      <c r="M887" s="237">
        <v>1410</v>
      </c>
      <c r="N887" s="237">
        <v>0</v>
      </c>
      <c r="O887" s="236">
        <v>0</v>
      </c>
      <c r="P887" s="225">
        <f t="shared" si="28"/>
        <v>1410</v>
      </c>
      <c r="Q887" s="236"/>
      <c r="R887" s="237">
        <v>16784</v>
      </c>
      <c r="S887" s="238">
        <v>12838</v>
      </c>
      <c r="T887" s="238">
        <v>29622</v>
      </c>
    </row>
    <row r="888" spans="1:20">
      <c r="A888" s="231">
        <v>99701</v>
      </c>
      <c r="B888" s="232" t="s">
        <v>1595</v>
      </c>
      <c r="C888" s="92">
        <v>2.9190000000000002E-3</v>
      </c>
      <c r="D888" s="92">
        <v>2.8774E-3</v>
      </c>
      <c r="E888" s="236">
        <v>4459423</v>
      </c>
      <c r="F888" s="236"/>
      <c r="G888" s="237">
        <v>256904</v>
      </c>
      <c r="H888" s="225">
        <v>1082754</v>
      </c>
      <c r="I888" s="237">
        <v>636867</v>
      </c>
      <c r="J888" s="236">
        <v>21162</v>
      </c>
      <c r="K888" s="225">
        <f t="shared" si="27"/>
        <v>1997687</v>
      </c>
      <c r="L888" s="236"/>
      <c r="M888" s="237">
        <v>126232</v>
      </c>
      <c r="N888" s="237">
        <v>0</v>
      </c>
      <c r="O888" s="236">
        <v>17651</v>
      </c>
      <c r="P888" s="225">
        <f t="shared" si="28"/>
        <v>143883</v>
      </c>
      <c r="Q888" s="236"/>
      <c r="R888" s="237">
        <v>1502830</v>
      </c>
      <c r="S888" s="238">
        <v>-1976</v>
      </c>
      <c r="T888" s="238">
        <f>1500853+1</f>
        <v>1500854</v>
      </c>
    </row>
    <row r="889" spans="1:20">
      <c r="A889" s="231">
        <v>99705</v>
      </c>
      <c r="B889" s="232" t="s">
        <v>1596</v>
      </c>
      <c r="C889" s="92">
        <v>1.7229999999999999E-4</v>
      </c>
      <c r="D889" s="92">
        <v>1.7259999999999999E-4</v>
      </c>
      <c r="E889" s="236">
        <v>263227</v>
      </c>
      <c r="F889" s="236"/>
      <c r="G889" s="237">
        <v>15164</v>
      </c>
      <c r="H889" s="225">
        <v>63911</v>
      </c>
      <c r="I889" s="237">
        <v>37592</v>
      </c>
      <c r="J889" s="236">
        <v>10978</v>
      </c>
      <c r="K889" s="225">
        <f t="shared" si="27"/>
        <v>127645</v>
      </c>
      <c r="L889" s="236"/>
      <c r="M889" s="237">
        <v>7451</v>
      </c>
      <c r="N889" s="237">
        <v>0</v>
      </c>
      <c r="O889" s="236">
        <v>544</v>
      </c>
      <c r="P889" s="225">
        <f t="shared" si="28"/>
        <v>7995</v>
      </c>
      <c r="Q889" s="236"/>
      <c r="R889" s="237">
        <v>88708</v>
      </c>
      <c r="S889" s="238">
        <v>5913</v>
      </c>
      <c r="T889" s="238">
        <v>94621</v>
      </c>
    </row>
    <row r="890" spans="1:20">
      <c r="A890" s="231">
        <v>99711</v>
      </c>
      <c r="B890" s="232" t="s">
        <v>1597</v>
      </c>
      <c r="C890" s="92">
        <v>4.5459999999999999E-4</v>
      </c>
      <c r="D890" s="92">
        <v>4.3540000000000001E-4</v>
      </c>
      <c r="E890" s="236">
        <v>694503</v>
      </c>
      <c r="F890" s="236"/>
      <c r="G890" s="237">
        <v>40010</v>
      </c>
      <c r="H890" s="225">
        <v>168626</v>
      </c>
      <c r="I890" s="237">
        <v>99185</v>
      </c>
      <c r="J890" s="236">
        <v>14449</v>
      </c>
      <c r="K890" s="225">
        <f t="shared" si="27"/>
        <v>322270</v>
      </c>
      <c r="L890" s="236"/>
      <c r="M890" s="237">
        <v>19659</v>
      </c>
      <c r="N890" s="237">
        <v>0</v>
      </c>
      <c r="O890" s="236">
        <v>10625</v>
      </c>
      <c r="P890" s="225">
        <f t="shared" si="28"/>
        <v>30284</v>
      </c>
      <c r="Q890" s="236"/>
      <c r="R890" s="237">
        <v>234048</v>
      </c>
      <c r="S890" s="238">
        <v>-1042</v>
      </c>
      <c r="T890" s="238">
        <v>233006</v>
      </c>
    </row>
    <row r="891" spans="1:20">
      <c r="A891" s="231">
        <v>99717</v>
      </c>
      <c r="B891" s="232" t="s">
        <v>1598</v>
      </c>
      <c r="C891" s="92">
        <v>2.19E-5</v>
      </c>
      <c r="D891" s="92">
        <v>2.3200000000000001E-5</v>
      </c>
      <c r="E891" s="236">
        <v>33457</v>
      </c>
      <c r="F891" s="236"/>
      <c r="G891" s="237">
        <v>1927</v>
      </c>
      <c r="H891" s="225">
        <v>8123</v>
      </c>
      <c r="I891" s="237">
        <v>4778</v>
      </c>
      <c r="J891" s="236">
        <v>0</v>
      </c>
      <c r="K891" s="225">
        <f t="shared" si="27"/>
        <v>14828</v>
      </c>
      <c r="L891" s="236"/>
      <c r="M891" s="237">
        <v>947</v>
      </c>
      <c r="N891" s="237">
        <v>0</v>
      </c>
      <c r="O891" s="236">
        <v>3936</v>
      </c>
      <c r="P891" s="225">
        <f t="shared" si="28"/>
        <v>4883</v>
      </c>
      <c r="Q891" s="236"/>
      <c r="R891" s="237">
        <v>11275</v>
      </c>
      <c r="S891" s="238">
        <v>-1270</v>
      </c>
      <c r="T891" s="238">
        <v>10005</v>
      </c>
    </row>
    <row r="892" spans="1:20">
      <c r="A892" s="231">
        <v>99721</v>
      </c>
      <c r="B892" s="232" t="s">
        <v>1599</v>
      </c>
      <c r="C892" s="92">
        <v>5.7779999999999995E-4</v>
      </c>
      <c r="D892" s="92">
        <v>6.2449999999999995E-4</v>
      </c>
      <c r="E892" s="236">
        <v>882718</v>
      </c>
      <c r="F892" s="236"/>
      <c r="G892" s="237">
        <v>50853</v>
      </c>
      <c r="H892" s="225">
        <v>214325</v>
      </c>
      <c r="I892" s="237">
        <v>126064</v>
      </c>
      <c r="J892" s="236">
        <v>0</v>
      </c>
      <c r="K892" s="225">
        <f t="shared" si="27"/>
        <v>391242</v>
      </c>
      <c r="L892" s="236"/>
      <c r="M892" s="237">
        <v>24987</v>
      </c>
      <c r="N892" s="237">
        <v>0</v>
      </c>
      <c r="O892" s="236">
        <v>48789</v>
      </c>
      <c r="P892" s="225">
        <f t="shared" si="28"/>
        <v>73776</v>
      </c>
      <c r="Q892" s="236"/>
      <c r="R892" s="237">
        <v>297477</v>
      </c>
      <c r="S892" s="238">
        <v>-14223</v>
      </c>
      <c r="T892" s="238">
        <v>283254</v>
      </c>
    </row>
    <row r="893" spans="1:20">
      <c r="A893" s="231">
        <v>99727</v>
      </c>
      <c r="B893" s="232" t="s">
        <v>1600</v>
      </c>
      <c r="C893" s="92">
        <v>2.3900000000000002E-5</v>
      </c>
      <c r="D893" s="92">
        <v>2.5299999999999998E-5</v>
      </c>
      <c r="E893" s="236">
        <v>36513</v>
      </c>
      <c r="F893" s="236"/>
      <c r="G893" s="237">
        <v>2103</v>
      </c>
      <c r="H893" s="225">
        <v>8865</v>
      </c>
      <c r="I893" s="237">
        <v>5215</v>
      </c>
      <c r="J893" s="236">
        <v>59484</v>
      </c>
      <c r="K893" s="225">
        <f t="shared" si="27"/>
        <v>75667</v>
      </c>
      <c r="L893" s="236"/>
      <c r="M893" s="237">
        <v>1034</v>
      </c>
      <c r="N893" s="237">
        <v>0</v>
      </c>
      <c r="O893" s="236">
        <v>0</v>
      </c>
      <c r="P893" s="225">
        <f t="shared" si="28"/>
        <v>1034</v>
      </c>
      <c r="Q893" s="236"/>
      <c r="R893" s="237">
        <v>12305</v>
      </c>
      <c r="S893" s="238">
        <v>20983</v>
      </c>
      <c r="T893" s="238">
        <v>33288</v>
      </c>
    </row>
    <row r="894" spans="1:20">
      <c r="A894" s="231">
        <v>99801</v>
      </c>
      <c r="B894" s="232" t="s">
        <v>1601</v>
      </c>
      <c r="C894" s="92">
        <v>5.1866000000000004E-3</v>
      </c>
      <c r="D894" s="92">
        <v>5.1954999999999996E-3</v>
      </c>
      <c r="E894" s="236">
        <v>7923688</v>
      </c>
      <c r="F894" s="236"/>
      <c r="G894" s="237">
        <v>456478</v>
      </c>
      <c r="H894" s="225">
        <v>1923881</v>
      </c>
      <c r="I894" s="237">
        <v>1131612</v>
      </c>
      <c r="J894" s="236">
        <v>17042</v>
      </c>
      <c r="K894" s="225">
        <f t="shared" si="27"/>
        <v>3529013</v>
      </c>
      <c r="L894" s="236"/>
      <c r="M894" s="237">
        <v>224295</v>
      </c>
      <c r="N894" s="237">
        <v>0</v>
      </c>
      <c r="O894" s="236">
        <v>150042</v>
      </c>
      <c r="P894" s="225">
        <f t="shared" si="28"/>
        <v>374337</v>
      </c>
      <c r="Q894" s="236"/>
      <c r="R894" s="237">
        <v>2670290</v>
      </c>
      <c r="S894" s="238">
        <v>-29556</v>
      </c>
      <c r="T894" s="238">
        <f>2640733+1</f>
        <v>2640734</v>
      </c>
    </row>
    <row r="895" spans="1:20">
      <c r="A895" s="231">
        <v>99802</v>
      </c>
      <c r="B895" s="232" t="s">
        <v>1602</v>
      </c>
      <c r="C895" s="92">
        <v>6.0000000000000002E-6</v>
      </c>
      <c r="D895" s="92">
        <v>6.4999999999999996E-6</v>
      </c>
      <c r="E895" s="236">
        <v>9166</v>
      </c>
      <c r="F895" s="236"/>
      <c r="G895" s="237">
        <v>528</v>
      </c>
      <c r="H895" s="225">
        <v>2226</v>
      </c>
      <c r="I895" s="237">
        <v>1309</v>
      </c>
      <c r="J895" s="236">
        <v>1378</v>
      </c>
      <c r="K895" s="225">
        <f t="shared" si="27"/>
        <v>5441</v>
      </c>
      <c r="L895" s="236"/>
      <c r="M895" s="237">
        <v>259</v>
      </c>
      <c r="N895" s="237">
        <v>0</v>
      </c>
      <c r="O895" s="236">
        <v>53</v>
      </c>
      <c r="P895" s="225">
        <f t="shared" si="28"/>
        <v>312</v>
      </c>
      <c r="Q895" s="236"/>
      <c r="R895" s="237">
        <v>3089</v>
      </c>
      <c r="S895" s="238">
        <v>334</v>
      </c>
      <c r="T895" s="238">
        <v>3423</v>
      </c>
    </row>
    <row r="896" spans="1:20">
      <c r="A896" s="231">
        <v>99804</v>
      </c>
      <c r="B896" s="232" t="s">
        <v>1603</v>
      </c>
      <c r="C896" s="92">
        <v>9.0500000000000004E-5</v>
      </c>
      <c r="D896" s="92">
        <v>8.6600000000000004E-5</v>
      </c>
      <c r="E896" s="236">
        <v>138259</v>
      </c>
      <c r="F896" s="236"/>
      <c r="G896" s="237">
        <v>7965</v>
      </c>
      <c r="H896" s="225">
        <v>33569</v>
      </c>
      <c r="I896" s="237">
        <v>19745</v>
      </c>
      <c r="J896" s="236">
        <v>13689</v>
      </c>
      <c r="K896" s="225">
        <f t="shared" si="27"/>
        <v>74968</v>
      </c>
      <c r="L896" s="236"/>
      <c r="M896" s="237">
        <v>3914</v>
      </c>
      <c r="N896" s="237">
        <v>0</v>
      </c>
      <c r="O896" s="236">
        <v>0</v>
      </c>
      <c r="P896" s="225">
        <f t="shared" si="28"/>
        <v>3914</v>
      </c>
      <c r="Q896" s="236"/>
      <c r="R896" s="237">
        <v>46593</v>
      </c>
      <c r="S896" s="238">
        <v>4917</v>
      </c>
      <c r="T896" s="238">
        <v>51510</v>
      </c>
    </row>
    <row r="897" spans="1:20">
      <c r="A897" s="231">
        <v>99811</v>
      </c>
      <c r="B897" s="232" t="s">
        <v>1604</v>
      </c>
      <c r="C897" s="92">
        <v>6.7026999999999998E-3</v>
      </c>
      <c r="D897" s="92">
        <v>6.8415000000000004E-3</v>
      </c>
      <c r="E897" s="236">
        <v>10239869</v>
      </c>
      <c r="F897" s="236"/>
      <c r="G897" s="237">
        <v>589911</v>
      </c>
      <c r="H897" s="225">
        <v>2486253</v>
      </c>
      <c r="I897" s="237">
        <v>1462395</v>
      </c>
      <c r="J897" s="236">
        <v>0</v>
      </c>
      <c r="K897" s="225">
        <f t="shared" si="27"/>
        <v>4538559</v>
      </c>
      <c r="L897" s="236"/>
      <c r="M897" s="237">
        <v>289858</v>
      </c>
      <c r="N897" s="237">
        <v>0</v>
      </c>
      <c r="O897" s="236">
        <v>598680</v>
      </c>
      <c r="P897" s="225">
        <f t="shared" si="28"/>
        <v>888538</v>
      </c>
      <c r="Q897" s="236"/>
      <c r="R897" s="237">
        <v>3450845</v>
      </c>
      <c r="S897" s="238">
        <v>-236953</v>
      </c>
      <c r="T897" s="238">
        <f>3213891+1</f>
        <v>3213892</v>
      </c>
    </row>
    <row r="898" spans="1:20">
      <c r="A898" s="231">
        <v>99812</v>
      </c>
      <c r="B898" s="232" t="s">
        <v>1605</v>
      </c>
      <c r="C898" s="92">
        <v>2.2099999999999998E-5</v>
      </c>
      <c r="D898" s="92">
        <v>2.5599999999999999E-5</v>
      </c>
      <c r="E898" s="236">
        <v>33763</v>
      </c>
      <c r="F898" s="236"/>
      <c r="G898" s="237">
        <v>1945</v>
      </c>
      <c r="H898" s="225">
        <v>8198</v>
      </c>
      <c r="I898" s="237">
        <v>4822</v>
      </c>
      <c r="J898" s="236">
        <v>11652</v>
      </c>
      <c r="K898" s="225">
        <f t="shared" si="27"/>
        <v>26617</v>
      </c>
      <c r="L898" s="236"/>
      <c r="M898" s="237">
        <v>956</v>
      </c>
      <c r="N898" s="237">
        <v>0</v>
      </c>
      <c r="O898" s="236">
        <v>0</v>
      </c>
      <c r="P898" s="225">
        <f t="shared" si="28"/>
        <v>956</v>
      </c>
      <c r="Q898" s="236"/>
      <c r="R898" s="237">
        <v>11378</v>
      </c>
      <c r="S898" s="238">
        <v>4237</v>
      </c>
      <c r="T898" s="238">
        <v>15615</v>
      </c>
    </row>
    <row r="899" spans="1:20">
      <c r="A899" s="231">
        <v>99818</v>
      </c>
      <c r="B899" s="232" t="s">
        <v>1606</v>
      </c>
      <c r="C899" s="92">
        <v>3.1600000000000002E-5</v>
      </c>
      <c r="D899" s="92">
        <v>3.7700000000000002E-5</v>
      </c>
      <c r="E899" s="236">
        <v>48276</v>
      </c>
      <c r="F899" s="236"/>
      <c r="G899" s="237">
        <v>2781</v>
      </c>
      <c r="H899" s="225">
        <v>11722</v>
      </c>
      <c r="I899" s="237">
        <v>6894</v>
      </c>
      <c r="J899" s="236">
        <v>3054</v>
      </c>
      <c r="K899" s="225">
        <f t="shared" si="27"/>
        <v>24451</v>
      </c>
      <c r="L899" s="236"/>
      <c r="M899" s="237">
        <v>1367</v>
      </c>
      <c r="N899" s="237">
        <v>0</v>
      </c>
      <c r="O899" s="236">
        <v>6414</v>
      </c>
      <c r="P899" s="225">
        <f t="shared" si="28"/>
        <v>7781</v>
      </c>
      <c r="Q899" s="236"/>
      <c r="R899" s="237">
        <v>16269</v>
      </c>
      <c r="S899" s="238">
        <v>695</v>
      </c>
      <c r="T899" s="238">
        <v>16964</v>
      </c>
    </row>
    <row r="900" spans="1:20">
      <c r="A900" s="231">
        <v>99821</v>
      </c>
      <c r="B900" s="232" t="s">
        <v>1607</v>
      </c>
      <c r="C900" s="92">
        <v>9.1100000000000005E-5</v>
      </c>
      <c r="D900" s="92">
        <v>8.2899999999999996E-5</v>
      </c>
      <c r="E900" s="236">
        <v>139176</v>
      </c>
      <c r="F900" s="236"/>
      <c r="G900" s="237">
        <v>8018</v>
      </c>
      <c r="H900" s="225">
        <v>33792</v>
      </c>
      <c r="I900" s="237">
        <v>19876</v>
      </c>
      <c r="J900" s="236">
        <v>21459</v>
      </c>
      <c r="K900" s="225">
        <f t="shared" si="27"/>
        <v>83145</v>
      </c>
      <c r="L900" s="236"/>
      <c r="M900" s="237">
        <v>3940</v>
      </c>
      <c r="N900" s="237">
        <v>0</v>
      </c>
      <c r="O900" s="236">
        <v>555</v>
      </c>
      <c r="P900" s="225">
        <f t="shared" si="28"/>
        <v>4495</v>
      </c>
      <c r="Q900" s="236"/>
      <c r="R900" s="237">
        <v>46902</v>
      </c>
      <c r="S900" s="238">
        <v>9955</v>
      </c>
      <c r="T900" s="238">
        <v>56857</v>
      </c>
    </row>
    <row r="901" spans="1:20">
      <c r="A901" s="231">
        <v>99831</v>
      </c>
      <c r="B901" s="232" t="s">
        <v>1608</v>
      </c>
      <c r="C901" s="92">
        <v>6.3299999999999994E-5</v>
      </c>
      <c r="D901" s="92">
        <v>5.5899999999999997E-5</v>
      </c>
      <c r="E901" s="236">
        <v>96705</v>
      </c>
      <c r="F901" s="236"/>
      <c r="G901" s="237">
        <v>5571</v>
      </c>
      <c r="H901" s="225">
        <v>23480</v>
      </c>
      <c r="I901" s="237">
        <v>13811</v>
      </c>
      <c r="J901" s="236">
        <v>7030</v>
      </c>
      <c r="K901" s="225">
        <f t="shared" si="27"/>
        <v>49892</v>
      </c>
      <c r="L901" s="236"/>
      <c r="M901" s="237">
        <v>2737</v>
      </c>
      <c r="N901" s="237">
        <v>0</v>
      </c>
      <c r="O901" s="236">
        <v>564</v>
      </c>
      <c r="P901" s="225">
        <f t="shared" si="28"/>
        <v>3301</v>
      </c>
      <c r="Q901" s="236"/>
      <c r="R901" s="237">
        <v>32590</v>
      </c>
      <c r="S901" s="238">
        <v>1906</v>
      </c>
      <c r="T901" s="238">
        <f>34495+1</f>
        <v>34496</v>
      </c>
    </row>
    <row r="902" spans="1:20">
      <c r="A902" s="231">
        <v>99841</v>
      </c>
      <c r="B902" s="232" t="s">
        <v>1609</v>
      </c>
      <c r="C902" s="92">
        <v>4.3399999999999998E-5</v>
      </c>
      <c r="D902" s="92">
        <v>4.6E-5</v>
      </c>
      <c r="E902" s="236">
        <v>66303</v>
      </c>
      <c r="F902" s="236"/>
      <c r="G902" s="237">
        <v>3820</v>
      </c>
      <c r="H902" s="225">
        <v>16098</v>
      </c>
      <c r="I902" s="237">
        <v>9469</v>
      </c>
      <c r="J902" s="236">
        <v>1271</v>
      </c>
      <c r="K902" s="225">
        <f t="shared" si="27"/>
        <v>30658</v>
      </c>
      <c r="L902" s="236"/>
      <c r="M902" s="237">
        <v>1877</v>
      </c>
      <c r="N902" s="237">
        <v>0</v>
      </c>
      <c r="O902" s="236">
        <v>4060</v>
      </c>
      <c r="P902" s="225">
        <f t="shared" si="28"/>
        <v>5937</v>
      </c>
      <c r="Q902" s="236"/>
      <c r="R902" s="237">
        <v>22344</v>
      </c>
      <c r="S902" s="238">
        <v>-1214</v>
      </c>
      <c r="T902" s="238">
        <v>21130</v>
      </c>
    </row>
    <row r="903" spans="1:20">
      <c r="A903" s="231">
        <v>99851</v>
      </c>
      <c r="B903" s="232" t="s">
        <v>1610</v>
      </c>
      <c r="C903" s="92">
        <v>2.23E-5</v>
      </c>
      <c r="D903" s="92">
        <v>2.1999999999999999E-5</v>
      </c>
      <c r="E903" s="236">
        <v>34068</v>
      </c>
      <c r="F903" s="236"/>
      <c r="G903" s="237">
        <v>1963</v>
      </c>
      <c r="H903" s="225">
        <v>8272</v>
      </c>
      <c r="I903" s="237">
        <v>4865</v>
      </c>
      <c r="J903" s="236">
        <v>142</v>
      </c>
      <c r="K903" s="225">
        <f t="shared" si="27"/>
        <v>15242</v>
      </c>
      <c r="L903" s="236"/>
      <c r="M903" s="237">
        <v>964</v>
      </c>
      <c r="N903" s="237">
        <v>0</v>
      </c>
      <c r="O903" s="236">
        <v>3191</v>
      </c>
      <c r="P903" s="225">
        <f t="shared" si="28"/>
        <v>4155</v>
      </c>
      <c r="Q903" s="236"/>
      <c r="R903" s="237">
        <v>11481</v>
      </c>
      <c r="S903" s="238">
        <v>-847</v>
      </c>
      <c r="T903" s="238">
        <v>10634</v>
      </c>
    </row>
    <row r="904" spans="1:20">
      <c r="A904" s="231">
        <v>99901</v>
      </c>
      <c r="B904" s="232" t="s">
        <v>1611</v>
      </c>
      <c r="C904" s="92">
        <v>1.6707E-3</v>
      </c>
      <c r="D904" s="92">
        <v>1.6371999999999999E-3</v>
      </c>
      <c r="E904" s="236">
        <v>2552367</v>
      </c>
      <c r="F904" s="236"/>
      <c r="G904" s="237">
        <v>147040</v>
      </c>
      <c r="H904" s="225">
        <v>619718</v>
      </c>
      <c r="I904" s="237">
        <v>364513</v>
      </c>
      <c r="J904" s="236">
        <v>63407</v>
      </c>
      <c r="K904" s="225">
        <f t="shared" si="27"/>
        <v>1194678</v>
      </c>
      <c r="L904" s="236"/>
      <c r="M904" s="237">
        <v>72249</v>
      </c>
      <c r="N904" s="237">
        <v>0</v>
      </c>
      <c r="O904" s="236">
        <v>12021</v>
      </c>
      <c r="P904" s="225">
        <f t="shared" si="28"/>
        <v>84270</v>
      </c>
      <c r="Q904" s="236"/>
      <c r="R904" s="237">
        <v>860150</v>
      </c>
      <c r="S904" s="238">
        <v>13114</v>
      </c>
      <c r="T904" s="238">
        <v>873264</v>
      </c>
    </row>
    <row r="905" spans="1:20">
      <c r="A905" s="231">
        <v>99911</v>
      </c>
      <c r="B905" s="232" t="s">
        <v>1612</v>
      </c>
      <c r="C905" s="92">
        <v>2.5980000000000003E-4</v>
      </c>
      <c r="D905" s="92">
        <v>2.5520000000000002E-4</v>
      </c>
      <c r="E905" s="236">
        <v>396902</v>
      </c>
      <c r="F905" s="236"/>
      <c r="G905" s="237">
        <v>22865</v>
      </c>
      <c r="H905" s="225">
        <v>96368</v>
      </c>
      <c r="I905" s="237">
        <v>56683</v>
      </c>
      <c r="J905" s="236">
        <v>7168</v>
      </c>
      <c r="K905" s="225">
        <f t="shared" si="27"/>
        <v>183084</v>
      </c>
      <c r="L905" s="236"/>
      <c r="M905" s="237">
        <v>11235</v>
      </c>
      <c r="N905" s="237">
        <v>0</v>
      </c>
      <c r="O905" s="236">
        <v>12661</v>
      </c>
      <c r="P905" s="225">
        <f t="shared" si="28"/>
        <v>23896</v>
      </c>
      <c r="Q905" s="236"/>
      <c r="R905" s="237">
        <v>133756</v>
      </c>
      <c r="S905" s="238">
        <v>-5521</v>
      </c>
      <c r="T905" s="238">
        <v>128235</v>
      </c>
    </row>
    <row r="906" spans="1:20">
      <c r="A906" s="231">
        <v>99921</v>
      </c>
      <c r="B906" s="232" t="s">
        <v>1613</v>
      </c>
      <c r="C906" s="92">
        <v>1.506E-4</v>
      </c>
      <c r="D906" s="92">
        <v>1.5129999999999999E-4</v>
      </c>
      <c r="E906" s="236">
        <v>230075</v>
      </c>
      <c r="F906" s="236"/>
      <c r="G906" s="237">
        <v>13254</v>
      </c>
      <c r="H906" s="225">
        <v>55863</v>
      </c>
      <c r="I906" s="237">
        <v>32858</v>
      </c>
      <c r="J906" s="236">
        <v>3258</v>
      </c>
      <c r="K906" s="225">
        <f t="shared" si="27"/>
        <v>105233</v>
      </c>
      <c r="L906" s="236"/>
      <c r="M906" s="237">
        <v>6513</v>
      </c>
      <c r="N906" s="237">
        <v>0</v>
      </c>
      <c r="O906" s="236">
        <v>7306</v>
      </c>
      <c r="P906" s="225">
        <f t="shared" si="28"/>
        <v>13819</v>
      </c>
      <c r="Q906" s="236"/>
      <c r="R906" s="237">
        <v>77536</v>
      </c>
      <c r="S906" s="238">
        <v>-3057</v>
      </c>
      <c r="T906" s="238">
        <v>74479</v>
      </c>
    </row>
    <row r="907" spans="1:20">
      <c r="A907" s="231">
        <v>99931</v>
      </c>
      <c r="B907" s="232" t="s">
        <v>1614</v>
      </c>
      <c r="C907" s="92">
        <v>1.5800000000000001E-5</v>
      </c>
      <c r="D907" s="92">
        <v>2.51E-5</v>
      </c>
      <c r="E907" s="236">
        <v>24138</v>
      </c>
      <c r="F907" s="236"/>
      <c r="G907" s="237">
        <v>1391</v>
      </c>
      <c r="H907" s="225">
        <v>5860</v>
      </c>
      <c r="I907" s="237">
        <v>3447</v>
      </c>
      <c r="J907" s="236">
        <v>0</v>
      </c>
      <c r="K907" s="225">
        <f t="shared" ref="K907:K913" si="29">G907+H907+I907+J907</f>
        <v>10698</v>
      </c>
      <c r="L907" s="236"/>
      <c r="M907" s="237">
        <v>683</v>
      </c>
      <c r="N907" s="237">
        <v>0</v>
      </c>
      <c r="O907" s="236">
        <v>8477</v>
      </c>
      <c r="P907" s="225">
        <f t="shared" ref="P907:P913" si="30">M907+N907+O907</f>
        <v>9160</v>
      </c>
      <c r="Q907" s="236"/>
      <c r="R907" s="237">
        <v>8135</v>
      </c>
      <c r="S907" s="238">
        <v>-3271</v>
      </c>
      <c r="T907" s="238">
        <v>4864</v>
      </c>
    </row>
    <row r="908" spans="1:20">
      <c r="A908" s="231">
        <v>99941</v>
      </c>
      <c r="B908" s="232" t="s">
        <v>1615</v>
      </c>
      <c r="C908" s="92">
        <v>7.5400000000000003E-5</v>
      </c>
      <c r="D908" s="92">
        <v>7.8200000000000003E-5</v>
      </c>
      <c r="E908" s="236">
        <v>115190</v>
      </c>
      <c r="F908" s="236"/>
      <c r="G908" s="237">
        <v>6636</v>
      </c>
      <c r="H908" s="225">
        <v>27969</v>
      </c>
      <c r="I908" s="237">
        <v>16451</v>
      </c>
      <c r="J908" s="236">
        <v>0</v>
      </c>
      <c r="K908" s="225">
        <f t="shared" si="29"/>
        <v>51056</v>
      </c>
      <c r="L908" s="236"/>
      <c r="M908" s="237">
        <v>3261</v>
      </c>
      <c r="N908" s="237">
        <v>0</v>
      </c>
      <c r="O908" s="236">
        <v>11647</v>
      </c>
      <c r="P908" s="225">
        <f t="shared" si="30"/>
        <v>14908</v>
      </c>
      <c r="Q908" s="236"/>
      <c r="R908" s="237">
        <v>38819</v>
      </c>
      <c r="S908" s="238">
        <v>-4535</v>
      </c>
      <c r="T908" s="238">
        <f>34285-1</f>
        <v>34284</v>
      </c>
    </row>
    <row r="909" spans="1:20">
      <c r="A909" s="231">
        <v>99991</v>
      </c>
      <c r="B909" s="232" t="s">
        <v>1616</v>
      </c>
      <c r="C909" s="92">
        <v>5.3450000000000004E-4</v>
      </c>
      <c r="D909" s="92">
        <v>5.6990000000000003E-4</v>
      </c>
      <c r="E909" s="236">
        <v>816568</v>
      </c>
      <c r="F909" s="236"/>
      <c r="G909" s="237">
        <v>47042</v>
      </c>
      <c r="H909" s="225">
        <v>198264</v>
      </c>
      <c r="I909" s="237">
        <v>116617</v>
      </c>
      <c r="J909" s="236">
        <v>28891</v>
      </c>
      <c r="K909" s="225">
        <f t="shared" si="29"/>
        <v>390814</v>
      </c>
      <c r="L909" s="236"/>
      <c r="M909" s="237">
        <v>23114</v>
      </c>
      <c r="N909" s="237">
        <v>0</v>
      </c>
      <c r="O909" s="236">
        <v>28214</v>
      </c>
      <c r="P909" s="225">
        <f t="shared" si="30"/>
        <v>51328</v>
      </c>
      <c r="Q909" s="236"/>
      <c r="R909" s="237">
        <v>275184</v>
      </c>
      <c r="S909" s="238">
        <v>12361</v>
      </c>
      <c r="T909" s="238">
        <v>287545</v>
      </c>
    </row>
    <row r="910" spans="1:20">
      <c r="A910" s="231">
        <v>99999</v>
      </c>
      <c r="B910" s="232" t="s">
        <v>1617</v>
      </c>
      <c r="C910" s="92">
        <v>8.7509999999999997E-4</v>
      </c>
      <c r="D910" s="92">
        <v>1.0101000000000001E-3</v>
      </c>
      <c r="E910" s="236">
        <v>1336910</v>
      </c>
      <c r="F910" s="236"/>
      <c r="G910" s="237">
        <v>77018</v>
      </c>
      <c r="H910" s="225">
        <v>324603</v>
      </c>
      <c r="I910" s="237">
        <v>190929</v>
      </c>
      <c r="J910" s="236">
        <v>77711</v>
      </c>
      <c r="K910" s="225">
        <f t="shared" si="29"/>
        <v>670261</v>
      </c>
      <c r="L910" s="236"/>
      <c r="M910" s="237">
        <v>37844</v>
      </c>
      <c r="N910" s="237">
        <v>0</v>
      </c>
      <c r="O910" s="236">
        <v>26259</v>
      </c>
      <c r="P910" s="225">
        <f t="shared" si="30"/>
        <v>64103</v>
      </c>
      <c r="Q910" s="236"/>
      <c r="R910" s="237">
        <v>450540</v>
      </c>
      <c r="S910" s="238">
        <v>10651</v>
      </c>
      <c r="T910" s="238">
        <v>461191</v>
      </c>
    </row>
    <row r="911" spans="1:20">
      <c r="A911" s="231">
        <v>94937</v>
      </c>
      <c r="B911" s="232" t="s">
        <v>2711</v>
      </c>
      <c r="C911" s="92">
        <v>0</v>
      </c>
      <c r="D911" s="92">
        <v>0</v>
      </c>
      <c r="E911" s="236">
        <v>0</v>
      </c>
      <c r="F911" s="236"/>
      <c r="G911" s="236">
        <v>0</v>
      </c>
      <c r="H911" s="236">
        <v>0</v>
      </c>
      <c r="I911" s="236">
        <v>0</v>
      </c>
      <c r="J911" s="236">
        <v>0</v>
      </c>
      <c r="K911" s="225">
        <f t="shared" si="29"/>
        <v>0</v>
      </c>
      <c r="L911" s="236"/>
      <c r="M911" s="237">
        <v>0</v>
      </c>
      <c r="N911" s="237">
        <v>0</v>
      </c>
      <c r="O911" s="236">
        <v>0</v>
      </c>
      <c r="P911" s="225">
        <f t="shared" si="30"/>
        <v>0</v>
      </c>
      <c r="Q911" s="236"/>
      <c r="R911" s="237">
        <v>0</v>
      </c>
      <c r="S911" s="238">
        <v>0</v>
      </c>
      <c r="T911" s="238">
        <v>0</v>
      </c>
    </row>
    <row r="912" spans="1:20">
      <c r="A912" s="231">
        <v>91414</v>
      </c>
      <c r="B912" s="232" t="s">
        <v>3748</v>
      </c>
      <c r="C912" s="92">
        <v>0</v>
      </c>
      <c r="D912" s="92">
        <v>0</v>
      </c>
      <c r="E912" s="236">
        <v>0</v>
      </c>
      <c r="F912" s="236"/>
      <c r="G912" s="237">
        <v>0</v>
      </c>
      <c r="H912" s="225">
        <v>0</v>
      </c>
      <c r="I912" s="237">
        <v>0</v>
      </c>
      <c r="J912" s="236">
        <v>0</v>
      </c>
      <c r="K912" s="225">
        <f t="shared" ref="K912" si="31">G912+H912+I912+J912</f>
        <v>0</v>
      </c>
      <c r="L912" s="236"/>
      <c r="M912" s="237">
        <v>0</v>
      </c>
      <c r="N912" s="237">
        <v>0</v>
      </c>
      <c r="O912" s="236">
        <v>0</v>
      </c>
      <c r="P912" s="225">
        <f t="shared" ref="P912" si="32">M912+N912+O912</f>
        <v>0</v>
      </c>
      <c r="Q912" s="236"/>
      <c r="R912" s="237">
        <v>0</v>
      </c>
      <c r="S912" s="238">
        <v>0</v>
      </c>
      <c r="T912" s="238">
        <v>0</v>
      </c>
    </row>
    <row r="913" spans="1:20">
      <c r="A913" s="231">
        <v>94947</v>
      </c>
      <c r="B913" s="232" t="s">
        <v>1934</v>
      </c>
      <c r="C913" s="92">
        <v>0</v>
      </c>
      <c r="D913" s="92">
        <v>0</v>
      </c>
      <c r="E913" s="236">
        <v>0</v>
      </c>
      <c r="F913" s="236"/>
      <c r="G913" s="237">
        <v>0</v>
      </c>
      <c r="H913" s="225">
        <v>0</v>
      </c>
      <c r="I913" s="237">
        <v>0</v>
      </c>
      <c r="J913" s="236">
        <v>0</v>
      </c>
      <c r="K913" s="225">
        <f t="shared" si="29"/>
        <v>0</v>
      </c>
      <c r="L913" s="236"/>
      <c r="M913" s="237">
        <v>0</v>
      </c>
      <c r="N913" s="237">
        <v>0</v>
      </c>
      <c r="O913" s="236">
        <v>0</v>
      </c>
      <c r="P913" s="225">
        <f t="shared" si="30"/>
        <v>0</v>
      </c>
      <c r="Q913" s="236"/>
      <c r="R913" s="237">
        <v>0</v>
      </c>
      <c r="S913" s="238">
        <v>0</v>
      </c>
      <c r="T913" s="238">
        <v>0</v>
      </c>
    </row>
    <row r="914" spans="1:20">
      <c r="A914" s="231"/>
      <c r="B914" s="232"/>
      <c r="C914" s="92"/>
      <c r="D914" s="92"/>
    </row>
    <row r="915" spans="1:20" s="100" customFormat="1">
      <c r="A915" s="95"/>
      <c r="B915" s="56"/>
      <c r="C915" s="96"/>
      <c r="D915" s="96"/>
      <c r="E915" s="97"/>
      <c r="F915" s="97"/>
      <c r="G915" s="98"/>
      <c r="H915" s="99"/>
      <c r="I915" s="98"/>
      <c r="J915" s="98"/>
      <c r="K915" s="99"/>
      <c r="L915" s="98"/>
      <c r="M915" s="98"/>
      <c r="N915" s="98"/>
      <c r="O915" s="98"/>
      <c r="P915" s="99"/>
      <c r="Q915" s="98"/>
      <c r="R915" s="98"/>
      <c r="S915" s="98"/>
      <c r="T915" s="98"/>
    </row>
    <row r="916" spans="1:20">
      <c r="B916" s="214" t="s">
        <v>691</v>
      </c>
      <c r="C916" s="8" t="s">
        <v>692</v>
      </c>
    </row>
    <row r="917" spans="1:20">
      <c r="B917" s="135" t="s">
        <v>497</v>
      </c>
      <c r="C917" s="231">
        <v>96331</v>
      </c>
    </row>
    <row r="918" spans="1:20">
      <c r="B918" s="135" t="s">
        <v>447</v>
      </c>
      <c r="C918" s="231">
        <v>94611</v>
      </c>
    </row>
    <row r="919" spans="1:20">
      <c r="B919" s="135" t="s">
        <v>91</v>
      </c>
      <c r="C919" s="231">
        <v>93402</v>
      </c>
    </row>
    <row r="920" spans="1:20">
      <c r="B920" s="135" t="s">
        <v>278</v>
      </c>
      <c r="C920" s="231">
        <v>90151</v>
      </c>
    </row>
    <row r="921" spans="1:20">
      <c r="B921" s="135" t="s">
        <v>1643</v>
      </c>
      <c r="C921" s="231">
        <v>94109</v>
      </c>
    </row>
    <row r="922" spans="1:20">
      <c r="B922" s="135" t="s">
        <v>27</v>
      </c>
      <c r="C922" s="231">
        <v>90101</v>
      </c>
    </row>
    <row r="923" spans="1:20">
      <c r="B923" s="135" t="s">
        <v>1621</v>
      </c>
      <c r="C923" s="231">
        <v>90117</v>
      </c>
    </row>
    <row r="924" spans="1:20">
      <c r="B924" s="135" t="s">
        <v>669</v>
      </c>
      <c r="C924" s="231">
        <v>98411</v>
      </c>
    </row>
    <row r="925" spans="1:20">
      <c r="B925" s="135" t="s">
        <v>1774</v>
      </c>
      <c r="C925" s="231">
        <v>98417</v>
      </c>
    </row>
    <row r="926" spans="1:20">
      <c r="B926" s="135" t="s">
        <v>167</v>
      </c>
      <c r="C926" s="231">
        <v>97008</v>
      </c>
    </row>
    <row r="927" spans="1:20">
      <c r="B927" s="135" t="s">
        <v>168</v>
      </c>
      <c r="C927" s="231">
        <v>97010</v>
      </c>
    </row>
    <row r="928" spans="1:20">
      <c r="B928" s="135" t="s">
        <v>1622</v>
      </c>
      <c r="C928" s="231">
        <v>90096</v>
      </c>
    </row>
    <row r="929" spans="2:3">
      <c r="B929" s="135" t="s">
        <v>38</v>
      </c>
      <c r="C929" s="231">
        <v>90805</v>
      </c>
    </row>
    <row r="930" spans="2:3">
      <c r="B930" s="135" t="s">
        <v>1644</v>
      </c>
      <c r="C930" s="231">
        <v>92109</v>
      </c>
    </row>
    <row r="931" spans="2:3">
      <c r="B931" s="135" t="s">
        <v>28</v>
      </c>
      <c r="C931" s="231">
        <v>90201</v>
      </c>
    </row>
    <row r="932" spans="2:3">
      <c r="B932" s="135" t="s">
        <v>1645</v>
      </c>
      <c r="C932" s="231">
        <v>90206</v>
      </c>
    </row>
    <row r="933" spans="2:3">
      <c r="B933" s="135" t="s">
        <v>1646</v>
      </c>
      <c r="C933" s="231">
        <v>90203</v>
      </c>
    </row>
    <row r="934" spans="2:3">
      <c r="B934" s="135" t="s">
        <v>1647</v>
      </c>
      <c r="C934" s="231">
        <v>90205</v>
      </c>
    </row>
    <row r="935" spans="2:3">
      <c r="B935" s="135" t="s">
        <v>29</v>
      </c>
      <c r="C935" s="231">
        <v>90301</v>
      </c>
    </row>
    <row r="936" spans="2:3">
      <c r="B936" s="135" t="s">
        <v>1648</v>
      </c>
      <c r="C936" s="231">
        <v>93209</v>
      </c>
    </row>
    <row r="937" spans="2:3">
      <c r="B937" s="135" t="s">
        <v>363</v>
      </c>
      <c r="C937" s="231">
        <v>92021</v>
      </c>
    </row>
    <row r="938" spans="2:3">
      <c r="B938" s="135" t="s">
        <v>440</v>
      </c>
      <c r="C938" s="231">
        <v>94351</v>
      </c>
    </row>
    <row r="939" spans="2:3">
      <c r="B939" s="135" t="s">
        <v>1875</v>
      </c>
      <c r="C939" s="231">
        <v>94347</v>
      </c>
    </row>
    <row r="940" spans="2:3">
      <c r="B940" s="135" t="s">
        <v>31</v>
      </c>
      <c r="C940" s="231">
        <v>90401</v>
      </c>
    </row>
    <row r="941" spans="2:3">
      <c r="B941" s="135" t="s">
        <v>297</v>
      </c>
      <c r="C941" s="231">
        <v>90451</v>
      </c>
    </row>
    <row r="942" spans="2:3">
      <c r="B942" s="135" t="s">
        <v>596</v>
      </c>
      <c r="C942" s="231">
        <v>99271</v>
      </c>
    </row>
    <row r="943" spans="2:3">
      <c r="B943" s="135" t="s">
        <v>1649</v>
      </c>
      <c r="C943" s="231">
        <v>90099</v>
      </c>
    </row>
    <row r="944" spans="2:3">
      <c r="B944" s="135" t="s">
        <v>227</v>
      </c>
      <c r="C944" s="231">
        <v>99705</v>
      </c>
    </row>
    <row r="945" spans="2:3">
      <c r="B945" s="135" t="s">
        <v>660</v>
      </c>
      <c r="C945" s="231">
        <v>97651</v>
      </c>
    </row>
    <row r="946" spans="2:3">
      <c r="B946" s="135" t="s">
        <v>454</v>
      </c>
      <c r="C946" s="231">
        <v>95106</v>
      </c>
    </row>
    <row r="947" spans="2:3">
      <c r="B947" s="135" t="s">
        <v>33</v>
      </c>
      <c r="C947" s="231">
        <v>90501</v>
      </c>
    </row>
    <row r="948" spans="2:3">
      <c r="B948" s="135" t="s">
        <v>658</v>
      </c>
      <c r="C948" s="231">
        <v>97611</v>
      </c>
    </row>
    <row r="949" spans="2:3">
      <c r="B949" s="135" t="s">
        <v>1775</v>
      </c>
      <c r="C949" s="231">
        <v>97607</v>
      </c>
    </row>
    <row r="950" spans="2:3">
      <c r="B950" s="135" t="s">
        <v>1650</v>
      </c>
      <c r="C950" s="231">
        <v>97613</v>
      </c>
    </row>
    <row r="951" spans="2:3">
      <c r="B951" s="135" t="s">
        <v>625</v>
      </c>
      <c r="C951" s="231">
        <v>91121</v>
      </c>
    </row>
    <row r="952" spans="2:3">
      <c r="B952" s="135" t="s">
        <v>1776</v>
      </c>
      <c r="C952" s="231">
        <v>91127</v>
      </c>
    </row>
    <row r="953" spans="2:3">
      <c r="B953" s="135" t="s">
        <v>49</v>
      </c>
      <c r="C953" s="231">
        <v>91128</v>
      </c>
    </row>
    <row r="954" spans="2:3">
      <c r="B954" s="135" t="s">
        <v>351</v>
      </c>
      <c r="C954" s="231">
        <v>91681</v>
      </c>
    </row>
    <row r="955" spans="2:3">
      <c r="B955" s="135" t="s">
        <v>310</v>
      </c>
      <c r="C955" s="231">
        <v>90811</v>
      </c>
    </row>
    <row r="956" spans="2:3">
      <c r="B956" s="135" t="s">
        <v>306</v>
      </c>
      <c r="C956" s="231">
        <v>90721</v>
      </c>
    </row>
    <row r="957" spans="2:3">
      <c r="B957" s="135" t="s">
        <v>568</v>
      </c>
      <c r="C957" s="231">
        <v>98271</v>
      </c>
    </row>
    <row r="958" spans="2:3">
      <c r="B958" s="135" t="s">
        <v>35</v>
      </c>
      <c r="C958" s="231">
        <v>90601</v>
      </c>
    </row>
    <row r="959" spans="2:3">
      <c r="B959" s="135" t="s">
        <v>1651</v>
      </c>
      <c r="C959" s="231">
        <v>90602</v>
      </c>
    </row>
    <row r="960" spans="2:3">
      <c r="B960" s="135" t="s">
        <v>1652</v>
      </c>
      <c r="C960" s="231">
        <v>90605</v>
      </c>
    </row>
    <row r="961" spans="2:3">
      <c r="B961" s="135" t="s">
        <v>534</v>
      </c>
      <c r="C961" s="231">
        <v>97461</v>
      </c>
    </row>
    <row r="962" spans="2:3">
      <c r="B962" s="135" t="s">
        <v>180</v>
      </c>
      <c r="C962" s="231">
        <v>97463</v>
      </c>
    </row>
    <row r="963" spans="2:3">
      <c r="B963" s="135" t="s">
        <v>1653</v>
      </c>
      <c r="C963" s="231">
        <v>90705</v>
      </c>
    </row>
    <row r="964" spans="2:3">
      <c r="B964" s="135" t="s">
        <v>573</v>
      </c>
      <c r="C964" s="231">
        <v>98451</v>
      </c>
    </row>
    <row r="965" spans="2:3">
      <c r="B965" s="135" t="s">
        <v>505</v>
      </c>
      <c r="C965" s="231">
        <v>96451</v>
      </c>
    </row>
    <row r="966" spans="2:3">
      <c r="B966" s="135" t="s">
        <v>487</v>
      </c>
      <c r="C966" s="231">
        <v>96121</v>
      </c>
    </row>
    <row r="967" spans="2:3">
      <c r="B967" s="135" t="s">
        <v>279</v>
      </c>
      <c r="C967" s="231">
        <v>91091</v>
      </c>
    </row>
    <row r="968" spans="2:3">
      <c r="B968" s="135" t="s">
        <v>301</v>
      </c>
      <c r="C968" s="231">
        <v>90611</v>
      </c>
    </row>
    <row r="969" spans="2:3">
      <c r="B969" s="135" t="s">
        <v>163</v>
      </c>
      <c r="C969" s="231">
        <v>96918</v>
      </c>
    </row>
    <row r="970" spans="2:3">
      <c r="B970" s="135" t="s">
        <v>525</v>
      </c>
      <c r="C970" s="231">
        <v>96911</v>
      </c>
    </row>
    <row r="971" spans="2:3">
      <c r="B971" s="135" t="s">
        <v>215</v>
      </c>
      <c r="C971" s="231">
        <v>99208</v>
      </c>
    </row>
    <row r="972" spans="2:3">
      <c r="B972" s="135" t="s">
        <v>346</v>
      </c>
      <c r="C972" s="231">
        <v>91631</v>
      </c>
    </row>
    <row r="973" spans="2:3">
      <c r="B973" s="135" t="s">
        <v>36</v>
      </c>
      <c r="C973" s="231">
        <v>90701</v>
      </c>
    </row>
    <row r="974" spans="2:3">
      <c r="B974" s="135" t="s">
        <v>1777</v>
      </c>
      <c r="C974" s="231">
        <v>90704</v>
      </c>
    </row>
    <row r="975" spans="2:3">
      <c r="B975" s="135" t="s">
        <v>1654</v>
      </c>
      <c r="C975" s="231">
        <v>91633</v>
      </c>
    </row>
    <row r="976" spans="2:3">
      <c r="B976" s="135" t="s">
        <v>303</v>
      </c>
      <c r="C976" s="231">
        <v>90631</v>
      </c>
    </row>
    <row r="977" spans="2:3">
      <c r="B977" s="135" t="s">
        <v>307</v>
      </c>
      <c r="C977" s="231">
        <v>90731</v>
      </c>
    </row>
    <row r="978" spans="2:3">
      <c r="B978" s="135" t="s">
        <v>639</v>
      </c>
      <c r="C978" s="231">
        <v>93621</v>
      </c>
    </row>
    <row r="979" spans="2:3">
      <c r="B979" s="135" t="s">
        <v>97</v>
      </c>
      <c r="C979" s="231">
        <v>93623</v>
      </c>
    </row>
    <row r="980" spans="2:3">
      <c r="B980" s="135" t="s">
        <v>320</v>
      </c>
      <c r="C980" s="231">
        <v>91020</v>
      </c>
    </row>
    <row r="981" spans="2:3">
      <c r="B981" s="135" t="s">
        <v>459</v>
      </c>
      <c r="C981" s="231">
        <v>95141</v>
      </c>
    </row>
    <row r="982" spans="2:3">
      <c r="B982" s="135" t="s">
        <v>128</v>
      </c>
      <c r="C982" s="231">
        <v>95103</v>
      </c>
    </row>
    <row r="983" spans="2:3">
      <c r="B983" s="135" t="s">
        <v>392</v>
      </c>
      <c r="C983" s="231">
        <v>93021</v>
      </c>
    </row>
    <row r="984" spans="2:3">
      <c r="B984" s="135" t="s">
        <v>37</v>
      </c>
      <c r="C984" s="231">
        <v>90801</v>
      </c>
    </row>
    <row r="985" spans="2:3">
      <c r="B985" s="135" t="s">
        <v>1778</v>
      </c>
      <c r="C985" s="231">
        <v>90804</v>
      </c>
    </row>
    <row r="986" spans="2:3">
      <c r="B986" s="135" t="s">
        <v>39</v>
      </c>
      <c r="C986" s="231">
        <v>90808</v>
      </c>
    </row>
    <row r="987" spans="2:3">
      <c r="B987" s="135" t="s">
        <v>641</v>
      </c>
      <c r="C987" s="231">
        <v>93671</v>
      </c>
    </row>
    <row r="988" spans="2:3">
      <c r="B988" s="135" t="s">
        <v>684</v>
      </c>
      <c r="C988" s="231">
        <v>93677</v>
      </c>
    </row>
    <row r="989" spans="2:3">
      <c r="B989" s="135" t="s">
        <v>532</v>
      </c>
      <c r="C989" s="231">
        <v>97441</v>
      </c>
    </row>
    <row r="990" spans="2:3">
      <c r="B990" s="135" t="s">
        <v>394</v>
      </c>
      <c r="C990" s="231">
        <v>93111</v>
      </c>
    </row>
    <row r="991" spans="2:3">
      <c r="B991" s="135" t="s">
        <v>327</v>
      </c>
      <c r="C991" s="231">
        <v>91111</v>
      </c>
    </row>
    <row r="992" spans="2:3">
      <c r="B992" s="135" t="s">
        <v>490</v>
      </c>
      <c r="C992" s="231">
        <v>96231</v>
      </c>
    </row>
    <row r="993" spans="2:3">
      <c r="B993" s="135" t="s">
        <v>613</v>
      </c>
      <c r="C993" s="231">
        <v>99831</v>
      </c>
    </row>
    <row r="994" spans="2:3">
      <c r="B994" s="135" t="s">
        <v>329</v>
      </c>
      <c r="C994" s="231">
        <v>91151</v>
      </c>
    </row>
    <row r="995" spans="2:3">
      <c r="B995" s="135" t="s">
        <v>1779</v>
      </c>
      <c r="C995" s="231">
        <v>91154</v>
      </c>
    </row>
    <row r="996" spans="2:3">
      <c r="B996" s="135" t="s">
        <v>40</v>
      </c>
      <c r="C996" s="231">
        <v>90901</v>
      </c>
    </row>
    <row r="997" spans="2:3">
      <c r="B997" s="135" t="s">
        <v>316</v>
      </c>
      <c r="C997" s="231">
        <v>90941</v>
      </c>
    </row>
    <row r="998" spans="2:3">
      <c r="B998" s="135" t="s">
        <v>605</v>
      </c>
      <c r="C998" s="231">
        <v>99521</v>
      </c>
    </row>
    <row r="999" spans="2:3">
      <c r="B999" s="135" t="s">
        <v>1780</v>
      </c>
      <c r="C999" s="231">
        <v>99527</v>
      </c>
    </row>
    <row r="1000" spans="2:3">
      <c r="B1000" s="135" t="s">
        <v>223</v>
      </c>
      <c r="C1000" s="231">
        <v>99508</v>
      </c>
    </row>
    <row r="1001" spans="2:3">
      <c r="B1001" s="135" t="s">
        <v>118</v>
      </c>
      <c r="C1001" s="231">
        <v>94532</v>
      </c>
    </row>
    <row r="1002" spans="2:3">
      <c r="B1002" s="135" t="s">
        <v>1903</v>
      </c>
      <c r="C1002" s="231">
        <v>91071</v>
      </c>
    </row>
    <row r="1003" spans="2:3">
      <c r="B1003" s="135" t="s">
        <v>1782</v>
      </c>
      <c r="C1003" s="231">
        <v>91077</v>
      </c>
    </row>
    <row r="1004" spans="2:3">
      <c r="B1004" s="135" t="s">
        <v>365</v>
      </c>
      <c r="C1004" s="231">
        <v>92331</v>
      </c>
    </row>
    <row r="1005" spans="2:3">
      <c r="B1005" s="135" t="s">
        <v>679</v>
      </c>
      <c r="C1005" s="231">
        <v>92414</v>
      </c>
    </row>
    <row r="1006" spans="2:3">
      <c r="B1006" s="135" t="s">
        <v>604</v>
      </c>
      <c r="C1006" s="231">
        <v>99511</v>
      </c>
    </row>
    <row r="1007" spans="2:3">
      <c r="B1007" s="135" t="s">
        <v>619</v>
      </c>
      <c r="C1007" s="231">
        <v>99941</v>
      </c>
    </row>
    <row r="1008" spans="2:3">
      <c r="B1008" s="135" t="s">
        <v>152</v>
      </c>
      <c r="C1008" s="231">
        <v>96405</v>
      </c>
    </row>
    <row r="1009" spans="2:3">
      <c r="B1009" s="135" t="s">
        <v>671</v>
      </c>
      <c r="C1009" s="231">
        <v>98811</v>
      </c>
    </row>
    <row r="1010" spans="2:3">
      <c r="B1010" s="135" t="s">
        <v>1781</v>
      </c>
      <c r="C1010" s="231">
        <v>98817</v>
      </c>
    </row>
    <row r="1011" spans="2:3">
      <c r="B1011" s="135" t="s">
        <v>375</v>
      </c>
      <c r="C1011" s="231">
        <v>92561</v>
      </c>
    </row>
    <row r="1012" spans="2:3">
      <c r="B1012" s="135" t="s">
        <v>197</v>
      </c>
      <c r="C1012" s="231">
        <v>98102</v>
      </c>
    </row>
    <row r="1013" spans="2:3">
      <c r="B1013" s="135" t="s">
        <v>466</v>
      </c>
      <c r="C1013" s="231">
        <v>95321</v>
      </c>
    </row>
    <row r="1014" spans="2:3">
      <c r="B1014" s="135" t="s">
        <v>357</v>
      </c>
      <c r="C1014" s="231">
        <v>91861</v>
      </c>
    </row>
    <row r="1015" spans="2:3">
      <c r="B1015" s="135" t="s">
        <v>368</v>
      </c>
      <c r="C1015" s="231">
        <v>92421</v>
      </c>
    </row>
    <row r="1016" spans="2:3">
      <c r="B1016" s="135" t="s">
        <v>1655</v>
      </c>
      <c r="C1016" s="231">
        <v>91006</v>
      </c>
    </row>
    <row r="1017" spans="2:3">
      <c r="B1017" s="135" t="s">
        <v>1656</v>
      </c>
      <c r="C1017" s="231">
        <v>91003</v>
      </c>
    </row>
    <row r="1018" spans="2:3">
      <c r="B1018" s="135" t="s">
        <v>41</v>
      </c>
      <c r="C1018" s="231">
        <v>91001</v>
      </c>
    </row>
    <row r="1019" spans="2:3">
      <c r="B1019" s="135" t="s">
        <v>1783</v>
      </c>
      <c r="C1019" s="231">
        <v>91004</v>
      </c>
    </row>
    <row r="1020" spans="2:3">
      <c r="B1020" s="135" t="s">
        <v>1657</v>
      </c>
      <c r="C1020" s="231">
        <v>91009</v>
      </c>
    </row>
    <row r="1021" spans="2:3">
      <c r="B1021" s="135" t="s">
        <v>1658</v>
      </c>
      <c r="C1021" s="231">
        <v>91042</v>
      </c>
    </row>
    <row r="1022" spans="2:3">
      <c r="B1022" s="135" t="s">
        <v>580</v>
      </c>
      <c r="C1022" s="231">
        <v>98711</v>
      </c>
    </row>
    <row r="1023" spans="2:3">
      <c r="B1023" s="135" t="s">
        <v>1784</v>
      </c>
      <c r="C1023" s="231">
        <v>98717</v>
      </c>
    </row>
    <row r="1024" spans="2:3">
      <c r="B1024" s="135" t="s">
        <v>44</v>
      </c>
      <c r="C1024" s="231">
        <v>91101</v>
      </c>
    </row>
    <row r="1025" spans="2:3">
      <c r="B1025" s="135" t="s">
        <v>413</v>
      </c>
      <c r="C1025" s="231">
        <v>93531</v>
      </c>
    </row>
    <row r="1026" spans="2:3">
      <c r="B1026" s="135" t="s">
        <v>1773</v>
      </c>
      <c r="C1026" s="231">
        <v>93537</v>
      </c>
    </row>
    <row r="1027" spans="2:3">
      <c r="B1027" s="135" t="s">
        <v>527</v>
      </c>
      <c r="C1027" s="231">
        <v>97111</v>
      </c>
    </row>
    <row r="1028" spans="2:3">
      <c r="B1028" s="135" t="s">
        <v>1659</v>
      </c>
      <c r="C1028" s="231">
        <v>91206</v>
      </c>
    </row>
    <row r="1029" spans="2:3">
      <c r="B1029" s="135" t="s">
        <v>1660</v>
      </c>
      <c r="C1029" s="231">
        <v>91203</v>
      </c>
    </row>
    <row r="1030" spans="2:3">
      <c r="B1030" s="135" t="s">
        <v>50</v>
      </c>
      <c r="C1030" s="231">
        <v>91201</v>
      </c>
    </row>
    <row r="1031" spans="2:3">
      <c r="B1031" s="135" t="s">
        <v>1661</v>
      </c>
      <c r="C1031" s="231">
        <v>91208</v>
      </c>
    </row>
    <row r="1032" spans="2:3">
      <c r="B1032" s="135" t="s">
        <v>1662</v>
      </c>
      <c r="C1032" s="231">
        <v>91202</v>
      </c>
    </row>
    <row r="1033" spans="2:3">
      <c r="B1033" s="135" t="s">
        <v>620</v>
      </c>
      <c r="C1033" s="231">
        <v>90111</v>
      </c>
    </row>
    <row r="1034" spans="2:3">
      <c r="B1034" s="135" t="s">
        <v>288</v>
      </c>
      <c r="C1034" s="231">
        <v>90011</v>
      </c>
    </row>
    <row r="1035" spans="2:3">
      <c r="B1035" s="135" t="s">
        <v>423</v>
      </c>
      <c r="C1035" s="231">
        <v>93931</v>
      </c>
    </row>
    <row r="1036" spans="2:3">
      <c r="B1036" s="135" t="s">
        <v>1663</v>
      </c>
      <c r="C1036" s="53">
        <v>91306</v>
      </c>
    </row>
    <row r="1037" spans="2:3">
      <c r="B1037" s="135" t="s">
        <v>53</v>
      </c>
      <c r="C1037" s="231">
        <v>91301</v>
      </c>
    </row>
    <row r="1038" spans="2:3">
      <c r="B1038" s="135" t="s">
        <v>1664</v>
      </c>
      <c r="C1038" s="53">
        <v>91308</v>
      </c>
    </row>
    <row r="1039" spans="2:3">
      <c r="B1039" s="135" t="s">
        <v>1749</v>
      </c>
      <c r="C1039" s="231">
        <v>91461</v>
      </c>
    </row>
    <row r="1040" spans="2:3">
      <c r="B1040" s="135" t="s">
        <v>318</v>
      </c>
      <c r="C1040" s="231">
        <v>91010</v>
      </c>
    </row>
    <row r="1041" spans="2:3">
      <c r="B1041" s="135" t="s">
        <v>1785</v>
      </c>
      <c r="C1041" s="231">
        <v>91007</v>
      </c>
    </row>
    <row r="1042" spans="2:3">
      <c r="B1042" s="135" t="s">
        <v>54</v>
      </c>
      <c r="C1042" s="231">
        <v>91401</v>
      </c>
    </row>
    <row r="1043" spans="2:3">
      <c r="B1043" s="135" t="s">
        <v>400</v>
      </c>
      <c r="C1043" s="231">
        <v>93171</v>
      </c>
    </row>
    <row r="1044" spans="2:3">
      <c r="B1044" s="135" t="s">
        <v>56</v>
      </c>
      <c r="C1044" s="231">
        <v>91501</v>
      </c>
    </row>
    <row r="1045" spans="2:3">
      <c r="B1045" s="135" t="s">
        <v>1786</v>
      </c>
      <c r="C1045" s="231">
        <v>91504</v>
      </c>
    </row>
    <row r="1046" spans="2:3">
      <c r="B1046" s="135" t="s">
        <v>495</v>
      </c>
      <c r="C1046" s="231">
        <v>96312</v>
      </c>
    </row>
    <row r="1047" spans="2:3">
      <c r="B1047" s="135" t="s">
        <v>491</v>
      </c>
      <c r="C1047" s="231">
        <v>96241</v>
      </c>
    </row>
    <row r="1048" spans="2:3">
      <c r="B1048" s="135" t="s">
        <v>443</v>
      </c>
      <c r="C1048" s="231">
        <v>94431</v>
      </c>
    </row>
    <row r="1049" spans="2:3">
      <c r="B1049" s="135" t="s">
        <v>1787</v>
      </c>
      <c r="C1049" s="231">
        <v>94437</v>
      </c>
    </row>
    <row r="1050" spans="2:3">
      <c r="B1050" s="135" t="s">
        <v>350</v>
      </c>
      <c r="C1050" s="231">
        <v>91671</v>
      </c>
    </row>
    <row r="1051" spans="2:3">
      <c r="B1051" s="135" t="s">
        <v>42</v>
      </c>
      <c r="C1051" s="231">
        <v>91008</v>
      </c>
    </row>
    <row r="1052" spans="2:3">
      <c r="B1052" s="135" t="s">
        <v>157</v>
      </c>
      <c r="C1052" s="231">
        <v>96512</v>
      </c>
    </row>
    <row r="1053" spans="2:3">
      <c r="B1053" s="135" t="s">
        <v>155</v>
      </c>
      <c r="C1053" s="231">
        <v>96507</v>
      </c>
    </row>
    <row r="1054" spans="2:3">
      <c r="B1054" s="135" t="s">
        <v>508</v>
      </c>
      <c r="C1054" s="231">
        <v>96521</v>
      </c>
    </row>
    <row r="1055" spans="2:3">
      <c r="B1055" s="135" t="s">
        <v>322</v>
      </c>
      <c r="C1055" s="231">
        <v>91024</v>
      </c>
    </row>
    <row r="1056" spans="2:3">
      <c r="B1056" s="135" t="s">
        <v>523</v>
      </c>
      <c r="C1056" s="231">
        <v>96821</v>
      </c>
    </row>
    <row r="1057" spans="2:3">
      <c r="B1057" s="135" t="s">
        <v>57</v>
      </c>
      <c r="C1057" s="231">
        <v>91601</v>
      </c>
    </row>
    <row r="1058" spans="2:3">
      <c r="B1058" s="135" t="s">
        <v>1788</v>
      </c>
      <c r="C1058" s="231">
        <v>91604</v>
      </c>
    </row>
    <row r="1059" spans="2:3">
      <c r="B1059" s="135" t="s">
        <v>500</v>
      </c>
      <c r="C1059" s="231">
        <v>96391</v>
      </c>
    </row>
    <row r="1060" spans="2:3">
      <c r="B1060" s="135" t="s">
        <v>591</v>
      </c>
      <c r="C1060" s="231">
        <v>99221</v>
      </c>
    </row>
    <row r="1061" spans="2:3">
      <c r="B1061" s="135" t="s">
        <v>324</v>
      </c>
      <c r="C1061" s="231">
        <v>91051</v>
      </c>
    </row>
    <row r="1062" spans="2:3">
      <c r="B1062" s="135" t="s">
        <v>1665</v>
      </c>
      <c r="C1062" s="231">
        <v>91706</v>
      </c>
    </row>
    <row r="1063" spans="2:3">
      <c r="B1063" s="135" t="s">
        <v>58</v>
      </c>
      <c r="C1063" s="231">
        <v>91701</v>
      </c>
    </row>
    <row r="1064" spans="2:3">
      <c r="B1064" s="135" t="s">
        <v>1789</v>
      </c>
      <c r="C1064" s="231">
        <v>91704</v>
      </c>
    </row>
    <row r="1065" spans="2:3">
      <c r="B1065" s="135" t="s">
        <v>359</v>
      </c>
      <c r="C1065" s="231">
        <v>91881</v>
      </c>
    </row>
    <row r="1066" spans="2:3">
      <c r="B1066" s="135" t="s">
        <v>59</v>
      </c>
      <c r="C1066" s="231">
        <v>91801</v>
      </c>
    </row>
    <row r="1067" spans="2:3">
      <c r="B1067" s="135" t="s">
        <v>1790</v>
      </c>
      <c r="C1067" s="231">
        <v>91804</v>
      </c>
    </row>
    <row r="1068" spans="2:3">
      <c r="B1068" s="135" t="s">
        <v>352</v>
      </c>
      <c r="C1068" s="231">
        <v>91691</v>
      </c>
    </row>
    <row r="1069" spans="2:3">
      <c r="B1069" s="135" t="s">
        <v>1666</v>
      </c>
      <c r="C1069" s="231">
        <v>99222</v>
      </c>
    </row>
    <row r="1070" spans="2:3">
      <c r="B1070" s="135" t="s">
        <v>1623</v>
      </c>
      <c r="C1070" s="231">
        <v>93408</v>
      </c>
    </row>
    <row r="1071" spans="2:3">
      <c r="B1071" s="135" t="s">
        <v>145</v>
      </c>
      <c r="C1071" s="231">
        <v>96009</v>
      </c>
    </row>
    <row r="1072" spans="2:3">
      <c r="B1072" s="135" t="s">
        <v>370</v>
      </c>
      <c r="C1072" s="231">
        <v>92441</v>
      </c>
    </row>
    <row r="1073" spans="2:3">
      <c r="B1073" s="135" t="s">
        <v>522</v>
      </c>
      <c r="C1073" s="231">
        <v>96811</v>
      </c>
    </row>
    <row r="1074" spans="2:3">
      <c r="B1074" s="135" t="s">
        <v>652</v>
      </c>
      <c r="C1074" s="231">
        <v>96011</v>
      </c>
    </row>
    <row r="1075" spans="2:3">
      <c r="B1075" s="135" t="s">
        <v>1667</v>
      </c>
      <c r="C1075" s="231">
        <v>96018</v>
      </c>
    </row>
    <row r="1076" spans="2:3">
      <c r="B1076" s="135" t="s">
        <v>1668</v>
      </c>
      <c r="C1076" s="231">
        <v>96003</v>
      </c>
    </row>
    <row r="1077" spans="2:3">
      <c r="B1077" s="135" t="s">
        <v>1669</v>
      </c>
      <c r="C1077" s="231">
        <v>96005</v>
      </c>
    </row>
    <row r="1078" spans="2:3">
      <c r="B1078" s="135" t="s">
        <v>1624</v>
      </c>
      <c r="C1078" s="231">
        <v>96012</v>
      </c>
    </row>
    <row r="1079" spans="2:3">
      <c r="B1079" s="135" t="s">
        <v>1670</v>
      </c>
      <c r="C1079" s="231">
        <v>91903</v>
      </c>
    </row>
    <row r="1080" spans="2:3">
      <c r="B1080" s="135" t="s">
        <v>61</v>
      </c>
      <c r="C1080" s="231">
        <v>91901</v>
      </c>
    </row>
    <row r="1081" spans="2:3">
      <c r="B1081" s="135" t="s">
        <v>1791</v>
      </c>
      <c r="C1081" s="231">
        <v>91904</v>
      </c>
    </row>
    <row r="1082" spans="2:3">
      <c r="B1082" s="135" t="s">
        <v>63</v>
      </c>
      <c r="C1082" s="231">
        <v>92001</v>
      </c>
    </row>
    <row r="1083" spans="2:3">
      <c r="B1083" s="135" t="s">
        <v>640</v>
      </c>
      <c r="C1083" s="231">
        <v>93641</v>
      </c>
    </row>
    <row r="1084" spans="2:3">
      <c r="B1084" s="135" t="s">
        <v>1792</v>
      </c>
      <c r="C1084" s="231">
        <v>93647</v>
      </c>
    </row>
    <row r="1085" spans="2:3">
      <c r="B1085" s="135" t="s">
        <v>553</v>
      </c>
      <c r="C1085" s="231">
        <v>98041</v>
      </c>
    </row>
    <row r="1086" spans="2:3">
      <c r="B1086" s="135" t="s">
        <v>1671</v>
      </c>
      <c r="C1086" s="231">
        <v>96612</v>
      </c>
    </row>
    <row r="1087" spans="2:3">
      <c r="B1087" s="135" t="s">
        <v>309</v>
      </c>
      <c r="C1087" s="231">
        <v>90751</v>
      </c>
    </row>
    <row r="1088" spans="2:3">
      <c r="B1088" s="135" t="s">
        <v>65</v>
      </c>
      <c r="C1088" s="231">
        <v>92101</v>
      </c>
    </row>
    <row r="1089" spans="2:3">
      <c r="B1089" s="135" t="s">
        <v>1672</v>
      </c>
      <c r="C1089" s="231">
        <v>92104</v>
      </c>
    </row>
    <row r="1090" spans="2:3">
      <c r="B1090" s="135" t="s">
        <v>354</v>
      </c>
      <c r="C1090" s="231">
        <v>91821</v>
      </c>
    </row>
    <row r="1091" spans="2:3">
      <c r="B1091" s="135" t="s">
        <v>315</v>
      </c>
      <c r="C1091" s="231">
        <v>90931</v>
      </c>
    </row>
    <row r="1092" spans="2:3">
      <c r="B1092" s="135" t="s">
        <v>66</v>
      </c>
      <c r="C1092" s="231">
        <v>92201</v>
      </c>
    </row>
    <row r="1093" spans="2:3">
      <c r="B1093" s="135" t="s">
        <v>458</v>
      </c>
      <c r="C1093" s="231">
        <v>95131</v>
      </c>
    </row>
    <row r="1094" spans="2:3">
      <c r="B1094" s="135" t="s">
        <v>682</v>
      </c>
      <c r="C1094" s="231">
        <v>93441</v>
      </c>
    </row>
    <row r="1095" spans="2:3">
      <c r="B1095" s="135" t="s">
        <v>94</v>
      </c>
      <c r="C1095" s="231">
        <v>93442</v>
      </c>
    </row>
    <row r="1096" spans="2:3">
      <c r="B1096" s="135" t="s">
        <v>558</v>
      </c>
      <c r="C1096" s="231">
        <v>98091</v>
      </c>
    </row>
    <row r="1097" spans="2:3">
      <c r="B1097" s="135" t="s">
        <v>67</v>
      </c>
      <c r="C1097" s="231">
        <v>92301</v>
      </c>
    </row>
    <row r="1098" spans="2:3">
      <c r="B1098" s="135" t="s">
        <v>1673</v>
      </c>
      <c r="C1098" s="231">
        <v>92302</v>
      </c>
    </row>
    <row r="1099" spans="2:3">
      <c r="B1099" s="135" t="s">
        <v>667</v>
      </c>
      <c r="C1099" s="231">
        <v>98211</v>
      </c>
    </row>
    <row r="1100" spans="2:3">
      <c r="B1100" s="135" t="s">
        <v>1793</v>
      </c>
      <c r="C1100" s="231">
        <v>98218</v>
      </c>
    </row>
    <row r="1101" spans="2:3">
      <c r="B1101" s="135" t="s">
        <v>1674</v>
      </c>
      <c r="C1101" s="231">
        <v>92506</v>
      </c>
    </row>
    <row r="1102" spans="2:3">
      <c r="B1102" s="135" t="s">
        <v>1675</v>
      </c>
      <c r="C1102" s="231">
        <v>92508</v>
      </c>
    </row>
    <row r="1103" spans="2:3">
      <c r="B1103" s="135" t="s">
        <v>439</v>
      </c>
      <c r="C1103" s="231">
        <v>94341</v>
      </c>
    </row>
    <row r="1104" spans="2:3">
      <c r="B1104" s="135" t="s">
        <v>450</v>
      </c>
      <c r="C1104" s="231">
        <v>94641</v>
      </c>
    </row>
    <row r="1105" spans="2:3">
      <c r="B1105" s="135" t="s">
        <v>312</v>
      </c>
      <c r="C1105" s="231">
        <v>90813</v>
      </c>
    </row>
    <row r="1106" spans="2:3">
      <c r="B1106" s="135" t="s">
        <v>107</v>
      </c>
      <c r="C1106" s="231">
        <v>94168</v>
      </c>
    </row>
    <row r="1107" spans="2:3">
      <c r="B1107" s="135" t="s">
        <v>581</v>
      </c>
      <c r="C1107" s="231">
        <v>98911</v>
      </c>
    </row>
    <row r="1108" spans="2:3">
      <c r="B1108" s="135" t="s">
        <v>537</v>
      </c>
      <c r="C1108" s="231">
        <v>97521</v>
      </c>
    </row>
    <row r="1109" spans="2:3">
      <c r="B1109" s="135" t="s">
        <v>68</v>
      </c>
      <c r="C1109" s="231">
        <v>92401</v>
      </c>
    </row>
    <row r="1110" spans="2:3">
      <c r="B1110" s="135" t="s">
        <v>627</v>
      </c>
      <c r="C1110" s="231">
        <v>91311</v>
      </c>
    </row>
    <row r="1111" spans="2:3">
      <c r="B1111" s="135" t="s">
        <v>1794</v>
      </c>
      <c r="C1111" s="231">
        <v>91317</v>
      </c>
    </row>
    <row r="1112" spans="2:3">
      <c r="B1112" s="135" t="s">
        <v>336</v>
      </c>
      <c r="C1112" s="231">
        <v>91261</v>
      </c>
    </row>
    <row r="1113" spans="2:3">
      <c r="B1113" s="135" t="s">
        <v>356</v>
      </c>
      <c r="C1113" s="231">
        <v>91851</v>
      </c>
    </row>
    <row r="1114" spans="2:3">
      <c r="B1114" s="135" t="s">
        <v>1676</v>
      </c>
      <c r="C1114" s="231">
        <v>97408</v>
      </c>
    </row>
    <row r="1115" spans="2:3">
      <c r="B1115" s="135" t="s">
        <v>513</v>
      </c>
      <c r="C1115" s="231">
        <v>96641</v>
      </c>
    </row>
    <row r="1116" spans="2:3">
      <c r="B1116" s="135" t="s">
        <v>393</v>
      </c>
      <c r="C1116" s="231">
        <v>93031</v>
      </c>
    </row>
    <row r="1117" spans="2:3">
      <c r="B1117" s="135" t="s">
        <v>1795</v>
      </c>
      <c r="C1117" s="231">
        <v>93027</v>
      </c>
    </row>
    <row r="1118" spans="2:3">
      <c r="B1118" s="135" t="s">
        <v>482</v>
      </c>
      <c r="C1118" s="231">
        <v>96051</v>
      </c>
    </row>
    <row r="1119" spans="2:3">
      <c r="B1119" s="135" t="s">
        <v>1677</v>
      </c>
      <c r="C1119" s="231">
        <v>94501</v>
      </c>
    </row>
    <row r="1120" spans="2:3">
      <c r="B1120" s="135" t="s">
        <v>376</v>
      </c>
      <c r="C1120" s="231">
        <v>92571</v>
      </c>
    </row>
    <row r="1121" spans="2:3">
      <c r="B1121" s="135" t="s">
        <v>417</v>
      </c>
      <c r="C1121" s="231">
        <v>93631</v>
      </c>
    </row>
    <row r="1122" spans="2:3">
      <c r="B1122" s="135" t="s">
        <v>1796</v>
      </c>
      <c r="C1122" s="231">
        <v>92504</v>
      </c>
    </row>
    <row r="1123" spans="2:3">
      <c r="B1123" s="135" t="s">
        <v>71</v>
      </c>
      <c r="C1123" s="231">
        <v>92501</v>
      </c>
    </row>
    <row r="1124" spans="2:3">
      <c r="B1124" s="135" t="s">
        <v>72</v>
      </c>
      <c r="C1124" s="231">
        <v>92505</v>
      </c>
    </row>
    <row r="1125" spans="2:3">
      <c r="B1125" s="135" t="s">
        <v>643</v>
      </c>
      <c r="C1125" s="231">
        <v>93921</v>
      </c>
    </row>
    <row r="1126" spans="2:3">
      <c r="B1126" s="135" t="s">
        <v>603</v>
      </c>
      <c r="C1126" s="231">
        <v>99431</v>
      </c>
    </row>
    <row r="1127" spans="2:3">
      <c r="B1127" s="135" t="s">
        <v>1797</v>
      </c>
      <c r="C1127" s="231">
        <v>92604</v>
      </c>
    </row>
    <row r="1128" spans="2:3">
      <c r="B1128" s="135" t="s">
        <v>74</v>
      </c>
      <c r="C1128" s="231">
        <v>92601</v>
      </c>
    </row>
    <row r="1129" spans="2:3">
      <c r="B1129" s="135" t="s">
        <v>75</v>
      </c>
      <c r="C1129" s="231">
        <v>92608</v>
      </c>
    </row>
    <row r="1130" spans="2:3">
      <c r="B1130" s="135" t="s">
        <v>1798</v>
      </c>
      <c r="C1130" s="231">
        <v>92704</v>
      </c>
    </row>
    <row r="1131" spans="2:3">
      <c r="B1131" s="135" t="s">
        <v>76</v>
      </c>
      <c r="C1131" s="231">
        <v>92701</v>
      </c>
    </row>
    <row r="1132" spans="2:3">
      <c r="B1132" s="135" t="s">
        <v>418</v>
      </c>
      <c r="C1132" s="231">
        <v>93651</v>
      </c>
    </row>
    <row r="1133" spans="2:3">
      <c r="B1133" s="135" t="s">
        <v>77</v>
      </c>
      <c r="C1133" s="231">
        <v>92801</v>
      </c>
    </row>
    <row r="1134" spans="2:3">
      <c r="B1134" s="135" t="s">
        <v>1799</v>
      </c>
      <c r="C1134" s="231">
        <v>92804</v>
      </c>
    </row>
    <row r="1135" spans="2:3">
      <c r="B1135" s="135" t="s">
        <v>78</v>
      </c>
      <c r="C1135" s="231">
        <v>92802</v>
      </c>
    </row>
    <row r="1136" spans="2:3">
      <c r="B1136" s="135" t="s">
        <v>485</v>
      </c>
      <c r="C1136" s="231">
        <v>96081</v>
      </c>
    </row>
    <row r="1137" spans="2:3">
      <c r="B1137" s="135" t="s">
        <v>79</v>
      </c>
      <c r="C1137" s="231">
        <v>92901</v>
      </c>
    </row>
    <row r="1138" spans="2:3">
      <c r="B1138" s="135" t="s">
        <v>82</v>
      </c>
      <c r="C1138" s="231">
        <v>93001</v>
      </c>
    </row>
    <row r="1139" spans="2:3">
      <c r="B1139" s="135" t="s">
        <v>1678</v>
      </c>
      <c r="C1139" s="231">
        <v>93009</v>
      </c>
    </row>
    <row r="1140" spans="2:3">
      <c r="B1140" s="135" t="s">
        <v>390</v>
      </c>
      <c r="C1140" s="231">
        <v>92921</v>
      </c>
    </row>
    <row r="1141" spans="2:3">
      <c r="B1141" s="135" t="s">
        <v>578</v>
      </c>
      <c r="C1141" s="231">
        <v>98621</v>
      </c>
    </row>
    <row r="1142" spans="2:3">
      <c r="B1142" s="135" t="s">
        <v>1800</v>
      </c>
      <c r="C1142" s="231">
        <v>98627</v>
      </c>
    </row>
    <row r="1143" spans="2:3">
      <c r="B1143" s="135" t="s">
        <v>334</v>
      </c>
      <c r="C1143" s="231">
        <v>91221</v>
      </c>
    </row>
    <row r="1144" spans="2:3">
      <c r="B1144" s="135" t="s">
        <v>389</v>
      </c>
      <c r="C1144" s="231">
        <v>92861</v>
      </c>
    </row>
    <row r="1145" spans="2:3">
      <c r="B1145" s="135" t="s">
        <v>436</v>
      </c>
      <c r="C1145" s="231">
        <v>94311</v>
      </c>
    </row>
    <row r="1146" spans="2:3">
      <c r="B1146" s="135" t="s">
        <v>1801</v>
      </c>
      <c r="C1146" s="231">
        <v>94317</v>
      </c>
    </row>
    <row r="1147" spans="2:3">
      <c r="B1147" s="135" t="s">
        <v>113</v>
      </c>
      <c r="C1147" s="231">
        <v>94313</v>
      </c>
    </row>
    <row r="1148" spans="2:3">
      <c r="B1148" s="135" t="s">
        <v>83</v>
      </c>
      <c r="C1148" s="231">
        <v>93101</v>
      </c>
    </row>
    <row r="1149" spans="2:3">
      <c r="B1149" s="135" t="s">
        <v>681</v>
      </c>
      <c r="C1149" s="231">
        <v>93103</v>
      </c>
    </row>
    <row r="1150" spans="2:3">
      <c r="B1150" s="135" t="s">
        <v>636</v>
      </c>
      <c r="C1150" s="231">
        <v>93211</v>
      </c>
    </row>
    <row r="1151" spans="2:3">
      <c r="B1151" s="135" t="s">
        <v>1679</v>
      </c>
      <c r="C1151" s="231">
        <v>93212</v>
      </c>
    </row>
    <row r="1152" spans="2:3">
      <c r="B1152" s="135" t="s">
        <v>84</v>
      </c>
      <c r="C1152" s="231">
        <v>93201</v>
      </c>
    </row>
    <row r="1153" spans="2:3">
      <c r="B1153" s="135" t="s">
        <v>1802</v>
      </c>
      <c r="C1153" s="231">
        <v>93204</v>
      </c>
    </row>
    <row r="1154" spans="2:3">
      <c r="B1154" s="135" t="s">
        <v>1680</v>
      </c>
      <c r="C1154" s="231">
        <v>99212</v>
      </c>
    </row>
    <row r="1155" spans="2:3">
      <c r="B1155" s="135" t="s">
        <v>166</v>
      </c>
      <c r="C1155" s="231">
        <v>97005</v>
      </c>
    </row>
    <row r="1156" spans="2:3">
      <c r="B1156" s="135" t="s">
        <v>618</v>
      </c>
      <c r="C1156" s="231">
        <v>99931</v>
      </c>
    </row>
    <row r="1157" spans="2:3">
      <c r="B1157" s="135" t="s">
        <v>551</v>
      </c>
      <c r="C1157" s="231">
        <v>98021</v>
      </c>
    </row>
    <row r="1158" spans="2:3">
      <c r="B1158" s="135" t="s">
        <v>195</v>
      </c>
      <c r="C1158" s="231">
        <v>98023</v>
      </c>
    </row>
    <row r="1159" spans="2:3">
      <c r="B1159" s="135" t="s">
        <v>24</v>
      </c>
      <c r="C1159" s="231">
        <v>70505</v>
      </c>
    </row>
    <row r="1160" spans="2:3">
      <c r="B1160" s="135" t="s">
        <v>1681</v>
      </c>
      <c r="C1160" s="231">
        <v>99603</v>
      </c>
    </row>
    <row r="1161" spans="2:3">
      <c r="B1161" s="135" t="s">
        <v>1682</v>
      </c>
      <c r="C1161" s="231">
        <v>99610</v>
      </c>
    </row>
    <row r="1162" spans="2:3">
      <c r="B1162" s="135" t="s">
        <v>383</v>
      </c>
      <c r="C1162" s="231">
        <v>92681</v>
      </c>
    </row>
    <row r="1163" spans="2:3">
      <c r="B1163" s="135" t="s">
        <v>1625</v>
      </c>
      <c r="C1163" s="231">
        <v>93108</v>
      </c>
    </row>
    <row r="1164" spans="2:3">
      <c r="B1164" s="135" t="s">
        <v>665</v>
      </c>
      <c r="C1164" s="231">
        <v>97951</v>
      </c>
    </row>
    <row r="1165" spans="2:3">
      <c r="B1165" s="135" t="s">
        <v>1803</v>
      </c>
      <c r="C1165" s="231">
        <v>97957</v>
      </c>
    </row>
    <row r="1166" spans="2:3">
      <c r="B1166" s="135" t="s">
        <v>364</v>
      </c>
      <c r="C1166" s="231">
        <v>92111</v>
      </c>
    </row>
    <row r="1167" spans="2:3">
      <c r="B1167" s="135" t="s">
        <v>87</v>
      </c>
      <c r="C1167" s="231">
        <v>93301</v>
      </c>
    </row>
    <row r="1168" spans="2:3">
      <c r="B1168" s="135" t="s">
        <v>1804</v>
      </c>
      <c r="C1168" s="231">
        <v>93304</v>
      </c>
    </row>
    <row r="1169" spans="2:3">
      <c r="B1169" s="135" t="s">
        <v>1683</v>
      </c>
      <c r="C1169" s="231">
        <v>93305</v>
      </c>
    </row>
    <row r="1170" spans="2:3">
      <c r="B1170" s="135" t="s">
        <v>1684</v>
      </c>
      <c r="C1170" s="231">
        <v>99210</v>
      </c>
    </row>
    <row r="1171" spans="2:3">
      <c r="B1171" s="135" t="s">
        <v>169</v>
      </c>
      <c r="C1171" s="231">
        <v>97011</v>
      </c>
    </row>
    <row r="1172" spans="2:3">
      <c r="B1172" s="135" t="s">
        <v>1685</v>
      </c>
      <c r="C1172" s="231">
        <v>97013</v>
      </c>
    </row>
    <row r="1173" spans="2:3">
      <c r="B1173" s="135" t="s">
        <v>1686</v>
      </c>
      <c r="C1173" s="231">
        <v>97012</v>
      </c>
    </row>
    <row r="1174" spans="2:3">
      <c r="B1174" s="135" t="s">
        <v>1687</v>
      </c>
      <c r="C1174" s="231">
        <v>97018</v>
      </c>
    </row>
    <row r="1175" spans="2:3">
      <c r="B1175" s="135" t="s">
        <v>313</v>
      </c>
      <c r="C1175" s="231">
        <v>90911</v>
      </c>
    </row>
    <row r="1176" spans="2:3">
      <c r="B1176" s="135" t="s">
        <v>1805</v>
      </c>
      <c r="C1176" s="231">
        <v>90917</v>
      </c>
    </row>
    <row r="1177" spans="2:3">
      <c r="B1177" s="135" t="s">
        <v>304</v>
      </c>
      <c r="C1177" s="231">
        <v>90641</v>
      </c>
    </row>
    <row r="1178" spans="2:3">
      <c r="B1178" s="135" t="s">
        <v>579</v>
      </c>
      <c r="C1178" s="231">
        <v>98641</v>
      </c>
    </row>
    <row r="1179" spans="2:3">
      <c r="B1179" s="135" t="s">
        <v>562</v>
      </c>
      <c r="C1179" s="231">
        <v>98161</v>
      </c>
    </row>
    <row r="1180" spans="2:3">
      <c r="B1180" s="135" t="s">
        <v>541</v>
      </c>
      <c r="C1180" s="231">
        <v>97731</v>
      </c>
    </row>
    <row r="1181" spans="2:3">
      <c r="B1181" s="135" t="s">
        <v>615</v>
      </c>
      <c r="C1181" s="231">
        <v>99851</v>
      </c>
    </row>
    <row r="1182" spans="2:3">
      <c r="B1182" s="135" t="s">
        <v>1750</v>
      </c>
      <c r="C1182" s="231">
        <v>90131</v>
      </c>
    </row>
    <row r="1183" spans="2:3">
      <c r="B1183" s="135" t="s">
        <v>348</v>
      </c>
      <c r="C1183" s="231">
        <v>91651</v>
      </c>
    </row>
    <row r="1184" spans="2:3">
      <c r="B1184" s="135" t="s">
        <v>431</v>
      </c>
      <c r="C1184" s="231">
        <v>94211</v>
      </c>
    </row>
    <row r="1185" spans="2:3">
      <c r="B1185" s="135" t="s">
        <v>438</v>
      </c>
      <c r="C1185" s="231">
        <v>94331</v>
      </c>
    </row>
    <row r="1186" spans="2:3">
      <c r="B1186" s="135" t="s">
        <v>369</v>
      </c>
      <c r="C1186" s="231">
        <v>92431</v>
      </c>
    </row>
    <row r="1187" spans="2:3">
      <c r="B1187" s="135" t="s">
        <v>542</v>
      </c>
      <c r="C1187" s="231">
        <v>97821</v>
      </c>
    </row>
    <row r="1188" spans="2:3">
      <c r="B1188" s="135" t="s">
        <v>190</v>
      </c>
      <c r="C1188" s="231">
        <v>97823</v>
      </c>
    </row>
    <row r="1189" spans="2:3">
      <c r="B1189" s="135" t="s">
        <v>397</v>
      </c>
      <c r="C1189" s="231">
        <v>93141</v>
      </c>
    </row>
    <row r="1190" spans="2:3">
      <c r="B1190" s="135" t="s">
        <v>557</v>
      </c>
      <c r="C1190" s="231">
        <v>98081</v>
      </c>
    </row>
    <row r="1191" spans="2:3">
      <c r="B1191" s="135" t="s">
        <v>382</v>
      </c>
      <c r="C1191" s="231">
        <v>92671</v>
      </c>
    </row>
    <row r="1192" spans="2:3">
      <c r="B1192" s="135" t="s">
        <v>657</v>
      </c>
      <c r="C1192" s="231">
        <v>97421</v>
      </c>
    </row>
    <row r="1193" spans="2:3">
      <c r="B1193" s="135" t="s">
        <v>179</v>
      </c>
      <c r="C1193" s="231">
        <v>97423</v>
      </c>
    </row>
    <row r="1194" spans="2:3">
      <c r="B1194" s="135" t="s">
        <v>633</v>
      </c>
      <c r="C1194" s="231">
        <v>92611</v>
      </c>
    </row>
    <row r="1195" spans="2:3">
      <c r="B1195" s="135" t="s">
        <v>1688</v>
      </c>
      <c r="C1195" s="231">
        <v>92613</v>
      </c>
    </row>
    <row r="1196" spans="2:3">
      <c r="B1196" s="135" t="s">
        <v>1689</v>
      </c>
      <c r="C1196" s="231">
        <v>92502</v>
      </c>
    </row>
    <row r="1197" spans="2:3">
      <c r="B1197" s="135" t="s">
        <v>280</v>
      </c>
      <c r="C1197" s="231">
        <v>94531</v>
      </c>
    </row>
    <row r="1198" spans="2:3">
      <c r="B1198" s="135" t="s">
        <v>445</v>
      </c>
      <c r="C1198" s="231">
        <v>94541</v>
      </c>
    </row>
    <row r="1199" spans="2:3">
      <c r="B1199" s="135" t="s">
        <v>1806</v>
      </c>
      <c r="C1199" s="231">
        <v>94547</v>
      </c>
    </row>
    <row r="1200" spans="2:3">
      <c r="B1200" s="135" t="s">
        <v>126</v>
      </c>
      <c r="C1200" s="231">
        <v>95005</v>
      </c>
    </row>
    <row r="1201" spans="2:3">
      <c r="B1201" s="135" t="s">
        <v>198</v>
      </c>
      <c r="C1201" s="231">
        <v>98111</v>
      </c>
    </row>
    <row r="1202" spans="2:3">
      <c r="B1202" s="135" t="s">
        <v>1807</v>
      </c>
      <c r="C1202" s="231">
        <v>98107</v>
      </c>
    </row>
    <row r="1203" spans="2:3">
      <c r="B1203" s="135" t="s">
        <v>199</v>
      </c>
      <c r="C1203" s="231">
        <v>98113</v>
      </c>
    </row>
    <row r="1204" spans="2:3">
      <c r="B1204" s="135" t="s">
        <v>1690</v>
      </c>
      <c r="C1204" s="231">
        <v>99602</v>
      </c>
    </row>
    <row r="1205" spans="2:3">
      <c r="B1205" s="135" t="s">
        <v>90</v>
      </c>
      <c r="C1205" s="231">
        <v>93401</v>
      </c>
    </row>
    <row r="1206" spans="2:3">
      <c r="B1206" s="135" t="s">
        <v>1691</v>
      </c>
      <c r="C1206" s="231">
        <v>97491</v>
      </c>
    </row>
    <row r="1207" spans="2:3">
      <c r="B1207" s="135" t="s">
        <v>460</v>
      </c>
      <c r="C1207" s="231">
        <v>95151</v>
      </c>
    </row>
    <row r="1208" spans="2:3">
      <c r="B1208" s="135" t="s">
        <v>150</v>
      </c>
      <c r="C1208" s="231">
        <v>96381</v>
      </c>
    </row>
    <row r="1209" spans="2:3">
      <c r="B1209" s="135" t="s">
        <v>469</v>
      </c>
      <c r="C1209" s="231">
        <v>95611</v>
      </c>
    </row>
    <row r="1210" spans="2:3">
      <c r="B1210" s="135" t="s">
        <v>95</v>
      </c>
      <c r="C1210" s="231">
        <v>93501</v>
      </c>
    </row>
    <row r="1211" spans="2:3">
      <c r="B1211" s="135" t="s">
        <v>411</v>
      </c>
      <c r="C1211" s="231">
        <v>93511</v>
      </c>
    </row>
    <row r="1212" spans="2:3">
      <c r="B1212" s="135" t="s">
        <v>1808</v>
      </c>
      <c r="C1212" s="231">
        <v>93517</v>
      </c>
    </row>
    <row r="1213" spans="2:3">
      <c r="B1213" s="135" t="s">
        <v>608</v>
      </c>
      <c r="C1213" s="231">
        <v>99631</v>
      </c>
    </row>
    <row r="1214" spans="2:3">
      <c r="B1214" s="135" t="s">
        <v>595</v>
      </c>
      <c r="C1214" s="231">
        <v>99261</v>
      </c>
    </row>
    <row r="1215" spans="2:3">
      <c r="B1215" s="135" t="s">
        <v>565</v>
      </c>
      <c r="C1215" s="231">
        <v>98241</v>
      </c>
    </row>
    <row r="1216" spans="2:3">
      <c r="B1216" s="135" t="s">
        <v>594</v>
      </c>
      <c r="C1216" s="231">
        <v>99251</v>
      </c>
    </row>
    <row r="1217" spans="2:3">
      <c r="B1217" s="135" t="s">
        <v>1692</v>
      </c>
      <c r="C1217" s="231">
        <v>99252</v>
      </c>
    </row>
    <row r="1218" spans="2:3">
      <c r="B1218" s="135" t="s">
        <v>512</v>
      </c>
      <c r="C1218" s="231">
        <v>96631</v>
      </c>
    </row>
    <row r="1219" spans="2:3">
      <c r="B1219" s="135" t="s">
        <v>514</v>
      </c>
      <c r="C1219" s="231">
        <v>96651</v>
      </c>
    </row>
    <row r="1220" spans="2:3">
      <c r="B1220" s="135" t="s">
        <v>96</v>
      </c>
      <c r="C1220" s="231">
        <v>93601</v>
      </c>
    </row>
    <row r="1221" spans="2:3">
      <c r="B1221" s="135" t="s">
        <v>1693</v>
      </c>
      <c r="C1221" s="231">
        <v>93618</v>
      </c>
    </row>
    <row r="1222" spans="2:3">
      <c r="B1222" s="135" t="s">
        <v>638</v>
      </c>
      <c r="C1222" s="231">
        <v>93611</v>
      </c>
    </row>
    <row r="1223" spans="2:3">
      <c r="B1223" s="135" t="s">
        <v>1809</v>
      </c>
      <c r="C1223" s="231">
        <v>93617</v>
      </c>
    </row>
    <row r="1224" spans="2:3">
      <c r="B1224" s="135" t="s">
        <v>99</v>
      </c>
      <c r="C1224" s="231">
        <v>93701</v>
      </c>
    </row>
    <row r="1225" spans="2:3">
      <c r="B1225" s="135" t="s">
        <v>1810</v>
      </c>
      <c r="C1225" s="231">
        <v>93704</v>
      </c>
    </row>
    <row r="1226" spans="2:3">
      <c r="B1226" s="135" t="s">
        <v>570</v>
      </c>
      <c r="C1226" s="231">
        <v>98331</v>
      </c>
    </row>
    <row r="1227" spans="2:3">
      <c r="B1227" s="135" t="s">
        <v>428</v>
      </c>
      <c r="C1227" s="231">
        <v>94151</v>
      </c>
    </row>
    <row r="1228" spans="2:3">
      <c r="B1228" s="135" t="s">
        <v>1811</v>
      </c>
      <c r="C1228" s="231">
        <v>94157</v>
      </c>
    </row>
    <row r="1229" spans="2:3">
      <c r="B1229" s="135" t="s">
        <v>335</v>
      </c>
      <c r="C1229" s="231">
        <v>91241</v>
      </c>
    </row>
    <row r="1230" spans="2:3">
      <c r="B1230" s="135" t="s">
        <v>135</v>
      </c>
      <c r="C1230" s="231">
        <v>95412</v>
      </c>
    </row>
    <row r="1231" spans="2:3">
      <c r="B1231" s="135" t="s">
        <v>675</v>
      </c>
      <c r="C1231" s="231">
        <v>99611</v>
      </c>
    </row>
    <row r="1232" spans="2:3">
      <c r="B1232" s="135" t="s">
        <v>62</v>
      </c>
      <c r="C1232" s="231">
        <v>91908</v>
      </c>
    </row>
    <row r="1233" spans="2:3">
      <c r="B1233" s="135" t="s">
        <v>621</v>
      </c>
      <c r="C1233" s="231">
        <v>90121</v>
      </c>
    </row>
    <row r="1234" spans="2:3">
      <c r="B1234" s="135" t="s">
        <v>1694</v>
      </c>
      <c r="C1234" s="231">
        <v>93803</v>
      </c>
    </row>
    <row r="1235" spans="2:3">
      <c r="B1235" s="135" t="s">
        <v>100</v>
      </c>
      <c r="C1235" s="231">
        <v>93801</v>
      </c>
    </row>
    <row r="1236" spans="2:3">
      <c r="B1236" s="135" t="s">
        <v>1695</v>
      </c>
      <c r="C1236" s="231">
        <v>93806</v>
      </c>
    </row>
    <row r="1237" spans="2:3">
      <c r="B1237" s="135" t="s">
        <v>340</v>
      </c>
      <c r="C1237" s="231">
        <v>91411</v>
      </c>
    </row>
    <row r="1238" spans="2:3">
      <c r="B1238" s="135" t="s">
        <v>1812</v>
      </c>
      <c r="C1238" s="231">
        <v>91417</v>
      </c>
    </row>
    <row r="1239" spans="2:3">
      <c r="B1239" s="135" t="s">
        <v>555</v>
      </c>
      <c r="C1239" s="231">
        <v>98061</v>
      </c>
    </row>
    <row r="1240" spans="2:3">
      <c r="B1240" s="135" t="s">
        <v>1813</v>
      </c>
      <c r="C1240" s="231">
        <v>93904</v>
      </c>
    </row>
    <row r="1241" spans="2:3">
      <c r="B1241" s="135" t="s">
        <v>101</v>
      </c>
      <c r="C1241" s="231">
        <v>93901</v>
      </c>
    </row>
    <row r="1242" spans="2:3">
      <c r="B1242" s="135" t="s">
        <v>102</v>
      </c>
      <c r="C1242" s="231">
        <v>93906</v>
      </c>
    </row>
    <row r="1243" spans="2:3">
      <c r="B1243" s="135" t="s">
        <v>1696</v>
      </c>
      <c r="C1243" s="231">
        <v>93908</v>
      </c>
    </row>
    <row r="1244" spans="2:3">
      <c r="B1244" s="135" t="s">
        <v>1697</v>
      </c>
      <c r="C1244" s="231">
        <v>94908</v>
      </c>
    </row>
    <row r="1245" spans="2:3">
      <c r="B1245" s="135" t="s">
        <v>291</v>
      </c>
      <c r="C1245" s="231">
        <v>90161</v>
      </c>
    </row>
    <row r="1246" spans="2:3">
      <c r="B1246" s="135" t="s">
        <v>104</v>
      </c>
      <c r="C1246" s="231">
        <v>94001</v>
      </c>
    </row>
    <row r="1247" spans="2:3">
      <c r="B1247" s="135" t="s">
        <v>1814</v>
      </c>
      <c r="C1247" s="231">
        <v>94004</v>
      </c>
    </row>
    <row r="1248" spans="2:3">
      <c r="B1248" s="135" t="s">
        <v>644</v>
      </c>
      <c r="C1248" s="231">
        <v>94111</v>
      </c>
    </row>
    <row r="1249" spans="2:3">
      <c r="B1249" s="135" t="s">
        <v>1815</v>
      </c>
      <c r="C1249" s="231">
        <v>94117</v>
      </c>
    </row>
    <row r="1250" spans="2:3">
      <c r="B1250" s="135" t="s">
        <v>656</v>
      </c>
      <c r="C1250" s="231">
        <v>97411</v>
      </c>
    </row>
    <row r="1251" spans="2:3">
      <c r="B1251" s="135" t="s">
        <v>178</v>
      </c>
      <c r="C1251" s="231">
        <v>97413</v>
      </c>
    </row>
    <row r="1252" spans="2:3">
      <c r="B1252" s="135" t="s">
        <v>177</v>
      </c>
      <c r="C1252" s="231">
        <v>97412</v>
      </c>
    </row>
    <row r="1253" spans="2:3">
      <c r="B1253" s="135" t="s">
        <v>531</v>
      </c>
      <c r="C1253" s="231">
        <v>97431</v>
      </c>
    </row>
    <row r="1254" spans="2:3">
      <c r="B1254" s="135" t="s">
        <v>535</v>
      </c>
      <c r="C1254" s="231">
        <v>97471</v>
      </c>
    </row>
    <row r="1255" spans="2:3">
      <c r="B1255" s="135" t="s">
        <v>367</v>
      </c>
      <c r="C1255" s="231">
        <v>92351</v>
      </c>
    </row>
    <row r="1256" spans="2:3">
      <c r="B1256" s="135" t="s">
        <v>685</v>
      </c>
      <c r="C1256" s="231">
        <v>94101</v>
      </c>
    </row>
    <row r="1257" spans="2:3">
      <c r="B1257" s="135" t="s">
        <v>1698</v>
      </c>
      <c r="C1257" s="231">
        <v>94118</v>
      </c>
    </row>
    <row r="1258" spans="2:3">
      <c r="B1258" s="135" t="s">
        <v>106</v>
      </c>
      <c r="C1258" s="231">
        <v>94102</v>
      </c>
    </row>
    <row r="1259" spans="2:3">
      <c r="B1259" s="135" t="s">
        <v>109</v>
      </c>
      <c r="C1259" s="231">
        <v>94201</v>
      </c>
    </row>
    <row r="1260" spans="2:3">
      <c r="B1260" s="135" t="s">
        <v>1816</v>
      </c>
      <c r="C1260" s="231">
        <v>94204</v>
      </c>
    </row>
    <row r="1261" spans="2:3">
      <c r="B1261" s="135" t="s">
        <v>110</v>
      </c>
      <c r="C1261" s="231">
        <v>94205</v>
      </c>
    </row>
    <row r="1262" spans="2:3">
      <c r="B1262" s="135" t="s">
        <v>474</v>
      </c>
      <c r="C1262" s="231">
        <v>95831</v>
      </c>
    </row>
    <row r="1263" spans="2:3">
      <c r="B1263" s="135" t="s">
        <v>663</v>
      </c>
      <c r="C1263" s="231">
        <v>97721</v>
      </c>
    </row>
    <row r="1264" spans="2:3">
      <c r="B1264" s="135" t="s">
        <v>1817</v>
      </c>
      <c r="C1264" s="231">
        <v>97717</v>
      </c>
    </row>
    <row r="1265" spans="2:3">
      <c r="B1265" s="135" t="s">
        <v>112</v>
      </c>
      <c r="C1265" s="231">
        <v>94301</v>
      </c>
    </row>
    <row r="1266" spans="2:3">
      <c r="B1266" s="135" t="s">
        <v>343</v>
      </c>
      <c r="C1266" s="231">
        <v>91441</v>
      </c>
    </row>
    <row r="1267" spans="2:3">
      <c r="B1267" s="135" t="s">
        <v>632</v>
      </c>
      <c r="C1267" s="231">
        <v>92531</v>
      </c>
    </row>
    <row r="1268" spans="2:3">
      <c r="B1268" s="135" t="s">
        <v>290</v>
      </c>
      <c r="C1268" s="231">
        <v>90141</v>
      </c>
    </row>
    <row r="1269" spans="2:3">
      <c r="B1269" s="135" t="s">
        <v>114</v>
      </c>
      <c r="C1269" s="231">
        <v>94401</v>
      </c>
    </row>
    <row r="1270" spans="2:3">
      <c r="B1270" s="135" t="s">
        <v>1699</v>
      </c>
      <c r="C1270" s="231">
        <v>94403</v>
      </c>
    </row>
    <row r="1271" spans="2:3">
      <c r="B1271" s="135" t="s">
        <v>115</v>
      </c>
      <c r="C1271" s="231">
        <v>94402</v>
      </c>
    </row>
    <row r="1272" spans="2:3">
      <c r="B1272" s="135" t="s">
        <v>673</v>
      </c>
      <c r="C1272" s="231">
        <v>99111</v>
      </c>
    </row>
    <row r="1273" spans="2:3">
      <c r="B1273" s="135" t="s">
        <v>645</v>
      </c>
      <c r="C1273" s="231">
        <v>94511</v>
      </c>
    </row>
    <row r="1274" spans="2:3">
      <c r="B1274" s="135" t="s">
        <v>1818</v>
      </c>
      <c r="C1274" s="231">
        <v>94517</v>
      </c>
    </row>
    <row r="1275" spans="2:3">
      <c r="B1275" s="135" t="s">
        <v>117</v>
      </c>
      <c r="C1275" s="231">
        <v>94512</v>
      </c>
    </row>
    <row r="1276" spans="2:3">
      <c r="B1276" s="135" t="s">
        <v>529</v>
      </c>
      <c r="C1276" s="231">
        <v>97211</v>
      </c>
    </row>
    <row r="1277" spans="2:3">
      <c r="B1277" s="135" t="s">
        <v>1876</v>
      </c>
      <c r="C1277" s="231">
        <v>97217</v>
      </c>
    </row>
    <row r="1278" spans="2:3">
      <c r="B1278" s="135" t="s">
        <v>119</v>
      </c>
      <c r="C1278" s="231">
        <v>94601</v>
      </c>
    </row>
    <row r="1279" spans="2:3">
      <c r="B1279" s="135" t="s">
        <v>1819</v>
      </c>
      <c r="C1279" s="231">
        <v>94604</v>
      </c>
    </row>
    <row r="1280" spans="2:3">
      <c r="B1280" s="135" t="s">
        <v>120</v>
      </c>
      <c r="C1280" s="231">
        <v>94606</v>
      </c>
    </row>
    <row r="1281" spans="2:3">
      <c r="B1281" s="135" t="s">
        <v>1700</v>
      </c>
      <c r="C1281" s="231">
        <v>97213</v>
      </c>
    </row>
    <row r="1282" spans="2:3">
      <c r="B1282" s="135" t="s">
        <v>629</v>
      </c>
      <c r="C1282" s="231">
        <v>91811</v>
      </c>
    </row>
    <row r="1283" spans="2:3">
      <c r="B1283" s="135" t="s">
        <v>1701</v>
      </c>
      <c r="C1283" s="231">
        <v>91812</v>
      </c>
    </row>
    <row r="1284" spans="2:3">
      <c r="B1284" s="135" t="s">
        <v>1702</v>
      </c>
      <c r="C1284" s="231">
        <v>91813</v>
      </c>
    </row>
    <row r="1285" spans="2:3">
      <c r="B1285" s="135" t="s">
        <v>1820</v>
      </c>
      <c r="C1285" s="231">
        <v>90617</v>
      </c>
    </row>
    <row r="1286" spans="2:3">
      <c r="B1286" s="135" t="s">
        <v>1821</v>
      </c>
      <c r="C1286" s="231">
        <v>94127</v>
      </c>
    </row>
    <row r="1287" spans="2:3">
      <c r="B1287" s="135" t="s">
        <v>470</v>
      </c>
      <c r="C1287" s="231">
        <v>95621</v>
      </c>
    </row>
    <row r="1288" spans="2:3">
      <c r="B1288" s="135" t="s">
        <v>1822</v>
      </c>
      <c r="C1288" s="231">
        <v>95617</v>
      </c>
    </row>
    <row r="1289" spans="2:3">
      <c r="B1289" s="135" t="s">
        <v>1904</v>
      </c>
      <c r="C1289" s="231">
        <v>94121</v>
      </c>
    </row>
    <row r="1290" spans="2:3">
      <c r="B1290" s="135" t="s">
        <v>1751</v>
      </c>
      <c r="C1290" s="231">
        <v>91251</v>
      </c>
    </row>
    <row r="1291" spans="2:3">
      <c r="B1291" s="135" t="s">
        <v>524</v>
      </c>
      <c r="C1291" s="231">
        <v>96831</v>
      </c>
    </row>
    <row r="1292" spans="2:3">
      <c r="B1292" s="135" t="s">
        <v>434</v>
      </c>
      <c r="C1292" s="231">
        <v>94251</v>
      </c>
    </row>
    <row r="1293" spans="2:3">
      <c r="B1293" s="135" t="s">
        <v>121</v>
      </c>
      <c r="C1293" s="231">
        <v>94701</v>
      </c>
    </row>
    <row r="1294" spans="2:3">
      <c r="B1294" s="135" t="s">
        <v>1823</v>
      </c>
      <c r="C1294" s="231">
        <v>94704</v>
      </c>
    </row>
    <row r="1295" spans="2:3">
      <c r="B1295" s="135" t="s">
        <v>319</v>
      </c>
      <c r="C1295" s="231">
        <v>91014</v>
      </c>
    </row>
    <row r="1296" spans="2:3">
      <c r="B1296" s="135" t="s">
        <v>519</v>
      </c>
      <c r="C1296" s="231">
        <v>96731</v>
      </c>
    </row>
    <row r="1297" spans="2:3">
      <c r="B1297" s="135" t="s">
        <v>160</v>
      </c>
      <c r="C1297" s="231">
        <v>96733</v>
      </c>
    </row>
    <row r="1298" spans="2:3">
      <c r="B1298" s="135" t="s">
        <v>588</v>
      </c>
      <c r="C1298" s="231">
        <v>99202</v>
      </c>
    </row>
    <row r="1299" spans="2:3">
      <c r="B1299" s="135" t="s">
        <v>424</v>
      </c>
      <c r="C1299" s="231">
        <v>94011</v>
      </c>
    </row>
    <row r="1300" spans="2:3">
      <c r="B1300" s="135" t="s">
        <v>378</v>
      </c>
      <c r="C1300" s="231">
        <v>92631</v>
      </c>
    </row>
    <row r="1301" spans="2:3">
      <c r="B1301" s="135" t="s">
        <v>140</v>
      </c>
      <c r="C1301" s="231">
        <v>95733</v>
      </c>
    </row>
    <row r="1302" spans="2:3">
      <c r="B1302" s="135" t="s">
        <v>1703</v>
      </c>
      <c r="C1302" s="231">
        <v>95413</v>
      </c>
    </row>
    <row r="1303" spans="2:3">
      <c r="B1303" s="135" t="s">
        <v>1704</v>
      </c>
      <c r="C1303" s="231">
        <v>98013</v>
      </c>
    </row>
    <row r="1304" spans="2:3">
      <c r="B1304" s="135" t="s">
        <v>1705</v>
      </c>
      <c r="C1304" s="231">
        <v>99613</v>
      </c>
    </row>
    <row r="1305" spans="2:3">
      <c r="B1305" s="135" t="s">
        <v>342</v>
      </c>
      <c r="C1305" s="231">
        <v>91431</v>
      </c>
    </row>
    <row r="1306" spans="2:3">
      <c r="B1306" s="135" t="s">
        <v>481</v>
      </c>
      <c r="C1306" s="231">
        <v>96041</v>
      </c>
    </row>
    <row r="1307" spans="2:3">
      <c r="B1307" s="135" t="s">
        <v>122</v>
      </c>
      <c r="C1307" s="231">
        <v>94801</v>
      </c>
    </row>
    <row r="1308" spans="2:3">
      <c r="B1308" s="135" t="s">
        <v>1824</v>
      </c>
      <c r="C1308" s="231">
        <v>94804</v>
      </c>
    </row>
    <row r="1309" spans="2:3">
      <c r="B1309" s="135" t="s">
        <v>349</v>
      </c>
      <c r="C1309" s="231">
        <v>91661</v>
      </c>
    </row>
    <row r="1310" spans="2:3">
      <c r="B1310" s="135" t="s">
        <v>585</v>
      </c>
      <c r="C1310" s="231">
        <v>99051</v>
      </c>
    </row>
    <row r="1311" spans="2:3">
      <c r="B1311" s="135" t="s">
        <v>1626</v>
      </c>
      <c r="C1311" s="231">
        <v>99014</v>
      </c>
    </row>
    <row r="1312" spans="2:3">
      <c r="B1312" s="135" t="s">
        <v>123</v>
      </c>
      <c r="C1312" s="231">
        <v>94901</v>
      </c>
    </row>
    <row r="1313" spans="2:3">
      <c r="B1313" s="135" t="s">
        <v>1706</v>
      </c>
      <c r="C1313" s="231">
        <v>98109</v>
      </c>
    </row>
    <row r="1314" spans="2:3">
      <c r="B1314" s="135" t="s">
        <v>1707</v>
      </c>
      <c r="C1314" s="231">
        <v>98205</v>
      </c>
    </row>
    <row r="1315" spans="2:3">
      <c r="B1315" s="135" t="s">
        <v>515</v>
      </c>
      <c r="C1315" s="231">
        <v>96661</v>
      </c>
    </row>
    <row r="1316" spans="2:3">
      <c r="B1316" s="135" t="s">
        <v>125</v>
      </c>
      <c r="C1316" s="231">
        <v>95001</v>
      </c>
    </row>
    <row r="1317" spans="2:3">
      <c r="B1317" s="135" t="s">
        <v>1627</v>
      </c>
      <c r="C1317" s="231">
        <v>95017</v>
      </c>
    </row>
    <row r="1318" spans="2:3">
      <c r="B1318" s="135" t="s">
        <v>654</v>
      </c>
      <c r="C1318" s="231">
        <v>96711</v>
      </c>
    </row>
    <row r="1319" spans="2:3">
      <c r="B1319" s="135" t="s">
        <v>427</v>
      </c>
      <c r="C1319" s="231">
        <v>94131</v>
      </c>
    </row>
    <row r="1320" spans="2:3">
      <c r="B1320" s="135" t="s">
        <v>475</v>
      </c>
      <c r="C1320" s="231">
        <v>95841</v>
      </c>
    </row>
    <row r="1321" spans="2:3">
      <c r="B1321" s="135" t="s">
        <v>299</v>
      </c>
      <c r="C1321" s="231">
        <v>90511</v>
      </c>
    </row>
    <row r="1322" spans="2:3">
      <c r="B1322" s="135" t="s">
        <v>127</v>
      </c>
      <c r="C1322" s="231">
        <v>95101</v>
      </c>
    </row>
    <row r="1323" spans="2:3">
      <c r="B1323" s="135" t="s">
        <v>1825</v>
      </c>
      <c r="C1323" s="231">
        <v>95104</v>
      </c>
    </row>
    <row r="1324" spans="2:3">
      <c r="B1324" s="135" t="s">
        <v>1628</v>
      </c>
      <c r="C1324" s="231">
        <v>95110</v>
      </c>
    </row>
    <row r="1325" spans="2:3">
      <c r="B1325" s="135" t="s">
        <v>131</v>
      </c>
      <c r="C1325" s="231">
        <v>95201</v>
      </c>
    </row>
    <row r="1326" spans="2:3">
      <c r="B1326" s="135" t="s">
        <v>1826</v>
      </c>
      <c r="C1326" s="231">
        <v>95204</v>
      </c>
    </row>
    <row r="1327" spans="2:3">
      <c r="B1327" s="135" t="s">
        <v>617</v>
      </c>
      <c r="C1327" s="231">
        <v>99921</v>
      </c>
    </row>
    <row r="1328" spans="2:3">
      <c r="B1328" s="135" t="s">
        <v>116</v>
      </c>
      <c r="C1328" s="231">
        <v>94408</v>
      </c>
    </row>
    <row r="1329" spans="2:3">
      <c r="B1329" s="135" t="s">
        <v>338</v>
      </c>
      <c r="C1329" s="231">
        <v>91331</v>
      </c>
    </row>
    <row r="1330" spans="2:3">
      <c r="B1330" s="135" t="s">
        <v>395</v>
      </c>
      <c r="C1330" s="231">
        <v>93121</v>
      </c>
    </row>
    <row r="1331" spans="2:3">
      <c r="B1331" s="135" t="s">
        <v>1827</v>
      </c>
      <c r="C1331" s="231">
        <v>93127</v>
      </c>
    </row>
    <row r="1332" spans="2:3">
      <c r="B1332" s="135" t="s">
        <v>462</v>
      </c>
      <c r="C1332" s="231">
        <v>95171</v>
      </c>
    </row>
    <row r="1333" spans="2:3">
      <c r="B1333" s="135" t="s">
        <v>407</v>
      </c>
      <c r="C1333" s="231">
        <v>93421</v>
      </c>
    </row>
    <row r="1334" spans="2:3">
      <c r="B1334" s="135" t="s">
        <v>1708</v>
      </c>
      <c r="C1334" s="231">
        <v>99110</v>
      </c>
    </row>
    <row r="1335" spans="2:3">
      <c r="B1335" s="135" t="s">
        <v>1709</v>
      </c>
      <c r="C1335" s="231">
        <v>99109</v>
      </c>
    </row>
    <row r="1336" spans="2:3">
      <c r="B1336" s="135" t="s">
        <v>385</v>
      </c>
      <c r="C1336" s="231">
        <v>92821</v>
      </c>
    </row>
    <row r="1337" spans="2:3">
      <c r="B1337" s="135" t="s">
        <v>576</v>
      </c>
      <c r="C1337" s="231">
        <v>98521</v>
      </c>
    </row>
    <row r="1338" spans="2:3">
      <c r="B1338" s="135" t="s">
        <v>1828</v>
      </c>
      <c r="C1338" s="231">
        <v>92327</v>
      </c>
    </row>
    <row r="1339" spans="2:3">
      <c r="B1339" s="135" t="s">
        <v>1905</v>
      </c>
      <c r="C1339" s="231">
        <v>92321</v>
      </c>
    </row>
    <row r="1340" spans="2:3">
      <c r="B1340" s="135" t="s">
        <v>649</v>
      </c>
      <c r="C1340" s="231">
        <v>95411</v>
      </c>
    </row>
    <row r="1341" spans="2:3">
      <c r="B1341" s="135" t="s">
        <v>1710</v>
      </c>
      <c r="C1341" s="231">
        <v>95415</v>
      </c>
    </row>
    <row r="1342" spans="2:3">
      <c r="B1342" s="135" t="s">
        <v>388</v>
      </c>
      <c r="C1342" s="231">
        <v>92851</v>
      </c>
    </row>
    <row r="1343" spans="2:3">
      <c r="B1343" s="135" t="s">
        <v>598</v>
      </c>
      <c r="C1343" s="231">
        <v>99291</v>
      </c>
    </row>
    <row r="1344" spans="2:3">
      <c r="B1344" s="135" t="s">
        <v>509</v>
      </c>
      <c r="C1344" s="231">
        <v>96541</v>
      </c>
    </row>
    <row r="1345" spans="2:3">
      <c r="B1345" s="135" t="s">
        <v>468</v>
      </c>
      <c r="C1345" s="231">
        <v>95431</v>
      </c>
    </row>
    <row r="1346" spans="2:3">
      <c r="B1346" s="135" t="s">
        <v>560</v>
      </c>
      <c r="C1346" s="231">
        <v>98131</v>
      </c>
    </row>
    <row r="1347" spans="2:3">
      <c r="B1347" s="135" t="s">
        <v>1752</v>
      </c>
      <c r="C1347" s="231">
        <v>92461</v>
      </c>
    </row>
    <row r="1348" spans="2:3">
      <c r="B1348" s="135" t="s">
        <v>1829</v>
      </c>
      <c r="C1348" s="231">
        <v>92427</v>
      </c>
    </row>
    <row r="1349" spans="2:3">
      <c r="B1349" s="135" t="s">
        <v>554</v>
      </c>
      <c r="C1349" s="231">
        <v>98051</v>
      </c>
    </row>
    <row r="1350" spans="2:3">
      <c r="B1350" s="135" t="s">
        <v>45</v>
      </c>
      <c r="C1350" s="231">
        <v>91102</v>
      </c>
    </row>
    <row r="1351" spans="2:3">
      <c r="B1351" s="135" t="s">
        <v>444</v>
      </c>
      <c r="C1351" s="231">
        <v>94521</v>
      </c>
    </row>
    <row r="1352" spans="2:3">
      <c r="B1352" s="135" t="s">
        <v>1830</v>
      </c>
      <c r="C1352" s="231">
        <v>94527</v>
      </c>
    </row>
    <row r="1353" spans="2:3">
      <c r="B1353" s="135" t="s">
        <v>668</v>
      </c>
      <c r="C1353" s="231">
        <v>98311</v>
      </c>
    </row>
    <row r="1354" spans="2:3">
      <c r="B1354" s="135" t="s">
        <v>1711</v>
      </c>
      <c r="C1354" s="231">
        <v>98313</v>
      </c>
    </row>
    <row r="1355" spans="2:3">
      <c r="B1355" s="135" t="s">
        <v>202</v>
      </c>
      <c r="C1355" s="231">
        <v>98308</v>
      </c>
    </row>
    <row r="1356" spans="2:3">
      <c r="B1356" s="135" t="s">
        <v>366</v>
      </c>
      <c r="C1356" s="231">
        <v>92341</v>
      </c>
    </row>
    <row r="1357" spans="2:3">
      <c r="B1357" s="135" t="s">
        <v>132</v>
      </c>
      <c r="C1357" s="231">
        <v>95301</v>
      </c>
    </row>
    <row r="1358" spans="2:3">
      <c r="B1358" s="135" t="s">
        <v>317</v>
      </c>
      <c r="C1358" s="231">
        <v>91002</v>
      </c>
    </row>
    <row r="1359" spans="2:3">
      <c r="B1359" s="135" t="s">
        <v>628</v>
      </c>
      <c r="C1359" s="231">
        <v>91451</v>
      </c>
    </row>
    <row r="1360" spans="2:3">
      <c r="B1360" s="135" t="s">
        <v>133</v>
      </c>
      <c r="C1360" s="231">
        <v>95401</v>
      </c>
    </row>
    <row r="1361" spans="2:3">
      <c r="B1361" s="135" t="s">
        <v>1831</v>
      </c>
      <c r="C1361" s="231">
        <v>95404</v>
      </c>
    </row>
    <row r="1362" spans="2:3">
      <c r="B1362" s="135" t="s">
        <v>55</v>
      </c>
      <c r="C1362" s="231">
        <v>91423</v>
      </c>
    </row>
    <row r="1363" spans="2:3">
      <c r="B1363" s="135" t="s">
        <v>1906</v>
      </c>
      <c r="C1363" s="231">
        <v>91457</v>
      </c>
    </row>
    <row r="1364" spans="2:3">
      <c r="B1364" s="135" t="s">
        <v>1753</v>
      </c>
      <c r="C1364" s="231">
        <v>90861</v>
      </c>
    </row>
    <row r="1365" spans="2:3">
      <c r="B1365" s="135" t="s">
        <v>409</v>
      </c>
      <c r="C1365" s="231">
        <v>93451</v>
      </c>
    </row>
    <row r="1366" spans="2:3">
      <c r="B1366" s="135" t="s">
        <v>635</v>
      </c>
      <c r="C1366" s="231">
        <v>92931</v>
      </c>
    </row>
    <row r="1367" spans="2:3">
      <c r="B1367" s="135" t="s">
        <v>1832</v>
      </c>
      <c r="C1367" s="231">
        <v>92917</v>
      </c>
    </row>
    <row r="1368" spans="2:3">
      <c r="B1368" s="135" t="s">
        <v>539</v>
      </c>
      <c r="C1368" s="231">
        <v>97631</v>
      </c>
    </row>
    <row r="1369" spans="2:3">
      <c r="B1369" s="135" t="s">
        <v>1833</v>
      </c>
      <c r="C1369" s="231">
        <v>97637</v>
      </c>
    </row>
    <row r="1370" spans="2:3">
      <c r="B1370" s="135" t="s">
        <v>294</v>
      </c>
      <c r="C1370" s="231">
        <v>90421</v>
      </c>
    </row>
    <row r="1371" spans="2:3">
      <c r="B1371" s="135" t="s">
        <v>437</v>
      </c>
      <c r="C1371" s="231">
        <v>94321</v>
      </c>
    </row>
    <row r="1372" spans="2:3">
      <c r="B1372" s="135" t="s">
        <v>136</v>
      </c>
      <c r="C1372" s="231">
        <v>95501</v>
      </c>
    </row>
    <row r="1373" spans="2:3">
      <c r="B1373" s="135" t="s">
        <v>1834</v>
      </c>
      <c r="C1373" s="231">
        <v>95504</v>
      </c>
    </row>
    <row r="1374" spans="2:3">
      <c r="B1374" s="135" t="s">
        <v>650</v>
      </c>
      <c r="C1374" s="231">
        <v>95511</v>
      </c>
    </row>
    <row r="1375" spans="2:3">
      <c r="B1375" s="135" t="s">
        <v>1877</v>
      </c>
      <c r="C1375" s="231">
        <v>95517</v>
      </c>
    </row>
    <row r="1376" spans="2:3">
      <c r="B1376" s="135" t="s">
        <v>137</v>
      </c>
      <c r="C1376" s="231">
        <v>95513</v>
      </c>
    </row>
    <row r="1377" spans="2:3">
      <c r="B1377" s="135" t="s">
        <v>380</v>
      </c>
      <c r="C1377" s="231">
        <v>92651</v>
      </c>
    </row>
    <row r="1378" spans="2:3">
      <c r="B1378" s="135" t="s">
        <v>435</v>
      </c>
      <c r="C1378" s="231">
        <v>94261</v>
      </c>
    </row>
    <row r="1379" spans="2:3">
      <c r="B1379" s="135" t="s">
        <v>670</v>
      </c>
      <c r="C1379" s="231">
        <v>98431</v>
      </c>
    </row>
    <row r="1380" spans="2:3">
      <c r="B1380" s="135" t="s">
        <v>1835</v>
      </c>
      <c r="C1380" s="231">
        <v>98404</v>
      </c>
    </row>
    <row r="1381" spans="2:3">
      <c r="B1381" s="135" t="s">
        <v>1901</v>
      </c>
      <c r="C1381" s="231">
        <v>91841</v>
      </c>
    </row>
    <row r="1382" spans="2:3">
      <c r="B1382" s="135" t="s">
        <v>412</v>
      </c>
      <c r="C1382" s="231">
        <v>93521</v>
      </c>
    </row>
    <row r="1383" spans="2:3">
      <c r="B1383" s="135" t="s">
        <v>1836</v>
      </c>
      <c r="C1383" s="231">
        <v>93527</v>
      </c>
    </row>
    <row r="1384" spans="2:3">
      <c r="B1384" s="135" t="s">
        <v>419</v>
      </c>
      <c r="C1384" s="231">
        <v>93661</v>
      </c>
    </row>
    <row r="1385" spans="2:3">
      <c r="B1385" s="135" t="s">
        <v>156</v>
      </c>
      <c r="C1385" s="231">
        <v>96508</v>
      </c>
    </row>
    <row r="1386" spans="2:3">
      <c r="B1386" s="135" t="s">
        <v>614</v>
      </c>
      <c r="C1386" s="231">
        <v>99841</v>
      </c>
    </row>
    <row r="1387" spans="2:3">
      <c r="B1387" s="135" t="s">
        <v>187</v>
      </c>
      <c r="C1387" s="231">
        <v>97802</v>
      </c>
    </row>
    <row r="1388" spans="2:3">
      <c r="B1388" s="135" t="s">
        <v>664</v>
      </c>
      <c r="C1388" s="231">
        <v>97811</v>
      </c>
    </row>
    <row r="1389" spans="2:3">
      <c r="B1389" s="135" t="s">
        <v>1837</v>
      </c>
      <c r="C1389" s="231">
        <v>97817</v>
      </c>
    </row>
    <row r="1390" spans="2:3">
      <c r="B1390" s="135" t="s">
        <v>1712</v>
      </c>
      <c r="C1390" s="231">
        <v>97818</v>
      </c>
    </row>
    <row r="1391" spans="2:3">
      <c r="B1391" s="135" t="s">
        <v>405</v>
      </c>
      <c r="C1391" s="231">
        <v>93341</v>
      </c>
    </row>
    <row r="1392" spans="2:3">
      <c r="B1392" s="135" t="s">
        <v>138</v>
      </c>
      <c r="C1392" s="231">
        <v>95601</v>
      </c>
    </row>
    <row r="1393" spans="2:3">
      <c r="B1393" s="135" t="s">
        <v>550</v>
      </c>
      <c r="C1393" s="231">
        <v>97941</v>
      </c>
    </row>
    <row r="1394" spans="2:3">
      <c r="B1394" s="135" t="s">
        <v>1838</v>
      </c>
      <c r="C1394" s="231">
        <v>97947</v>
      </c>
    </row>
    <row r="1395" spans="2:3">
      <c r="B1395" s="135" t="s">
        <v>139</v>
      </c>
      <c r="C1395" s="231">
        <v>95701</v>
      </c>
    </row>
    <row r="1396" spans="2:3">
      <c r="B1396" s="135" t="s">
        <v>193</v>
      </c>
      <c r="C1396" s="231">
        <v>97948</v>
      </c>
    </row>
    <row r="1397" spans="2:3">
      <c r="B1397" s="135" t="s">
        <v>442</v>
      </c>
      <c r="C1397" s="231">
        <v>94421</v>
      </c>
    </row>
    <row r="1398" spans="2:3">
      <c r="B1398" s="135" t="s">
        <v>1839</v>
      </c>
      <c r="C1398" s="231">
        <v>94427</v>
      </c>
    </row>
    <row r="1399" spans="2:3">
      <c r="B1399" s="135" t="s">
        <v>1713</v>
      </c>
      <c r="C1399" s="231">
        <v>94428</v>
      </c>
    </row>
    <row r="1400" spans="2:3">
      <c r="B1400" s="135" t="s">
        <v>402</v>
      </c>
      <c r="C1400" s="231">
        <v>93191</v>
      </c>
    </row>
    <row r="1401" spans="2:3">
      <c r="B1401" s="135" t="s">
        <v>355</v>
      </c>
      <c r="C1401" s="231">
        <v>91831</v>
      </c>
    </row>
    <row r="1402" spans="2:3">
      <c r="B1402" s="135" t="s">
        <v>386</v>
      </c>
      <c r="C1402" s="231">
        <v>92831</v>
      </c>
    </row>
    <row r="1403" spans="2:3">
      <c r="B1403" s="135" t="s">
        <v>477</v>
      </c>
      <c r="C1403" s="231">
        <v>95911</v>
      </c>
    </row>
    <row r="1404" spans="2:3">
      <c r="B1404" s="135" t="s">
        <v>1840</v>
      </c>
      <c r="C1404" s="231">
        <v>95917</v>
      </c>
    </row>
    <row r="1405" spans="2:3">
      <c r="B1405" s="135" t="s">
        <v>471</v>
      </c>
      <c r="C1405" s="231">
        <v>95711</v>
      </c>
    </row>
    <row r="1406" spans="2:3">
      <c r="B1406" s="135" t="s">
        <v>472</v>
      </c>
      <c r="C1406" s="231">
        <v>95721</v>
      </c>
    </row>
    <row r="1407" spans="2:3">
      <c r="B1407" s="135" t="s">
        <v>582</v>
      </c>
      <c r="C1407" s="231">
        <v>99021</v>
      </c>
    </row>
    <row r="1408" spans="2:3">
      <c r="B1408" s="135" t="s">
        <v>1714</v>
      </c>
      <c r="C1408" s="231">
        <v>95802</v>
      </c>
    </row>
    <row r="1409" spans="2:3">
      <c r="B1409" s="135" t="s">
        <v>141</v>
      </c>
      <c r="C1409" s="231">
        <v>95801</v>
      </c>
    </row>
    <row r="1410" spans="2:3">
      <c r="B1410" s="135" t="s">
        <v>1841</v>
      </c>
      <c r="C1410" s="231">
        <v>95804</v>
      </c>
    </row>
    <row r="1411" spans="2:3">
      <c r="B1411" s="135" t="s">
        <v>1715</v>
      </c>
      <c r="C1411" s="231">
        <v>90092</v>
      </c>
    </row>
    <row r="1412" spans="2:3">
      <c r="B1412" s="135" t="s">
        <v>284</v>
      </c>
      <c r="C1412" s="231">
        <v>99081</v>
      </c>
    </row>
    <row r="1413" spans="2:3">
      <c r="B1413" s="135" t="s">
        <v>484</v>
      </c>
      <c r="C1413" s="231">
        <v>96071</v>
      </c>
    </row>
    <row r="1414" spans="2:3">
      <c r="B1414" s="135" t="s">
        <v>105</v>
      </c>
      <c r="C1414" s="231">
        <v>94002</v>
      </c>
    </row>
    <row r="1415" spans="2:3">
      <c r="B1415" s="135" t="s">
        <v>543</v>
      </c>
      <c r="C1415" s="231">
        <v>97840</v>
      </c>
    </row>
    <row r="1416" spans="2:3">
      <c r="B1416" s="135" t="s">
        <v>1842</v>
      </c>
      <c r="C1416" s="231">
        <v>97847</v>
      </c>
    </row>
    <row r="1417" spans="2:3">
      <c r="B1417" s="135" t="s">
        <v>548</v>
      </c>
      <c r="C1417" s="231">
        <v>97921</v>
      </c>
    </row>
    <row r="1418" spans="2:3">
      <c r="B1418" s="135" t="s">
        <v>465</v>
      </c>
      <c r="C1418" s="231">
        <v>95221</v>
      </c>
    </row>
    <row r="1419" spans="2:3">
      <c r="B1419" s="135" t="s">
        <v>416</v>
      </c>
      <c r="C1419" s="231">
        <v>93610</v>
      </c>
    </row>
    <row r="1420" spans="2:3">
      <c r="B1420" s="135" t="s">
        <v>1716</v>
      </c>
      <c r="C1420" s="231">
        <v>95901</v>
      </c>
    </row>
    <row r="1421" spans="2:3">
      <c r="B1421" s="135" t="s">
        <v>289</v>
      </c>
      <c r="C1421" s="231">
        <v>90114</v>
      </c>
    </row>
    <row r="1422" spans="2:3">
      <c r="B1422" s="135" t="s">
        <v>144</v>
      </c>
      <c r="C1422" s="231">
        <v>96001</v>
      </c>
    </row>
    <row r="1423" spans="2:3">
      <c r="B1423" s="135" t="s">
        <v>1843</v>
      </c>
      <c r="C1423" s="231">
        <v>96004</v>
      </c>
    </row>
    <row r="1424" spans="2:3">
      <c r="B1424" s="135" t="s">
        <v>1717</v>
      </c>
      <c r="C1424" s="231">
        <v>96008</v>
      </c>
    </row>
    <row r="1425" spans="2:3">
      <c r="B1425" s="135" t="s">
        <v>47</v>
      </c>
      <c r="C1425" s="231">
        <v>91108</v>
      </c>
    </row>
    <row r="1426" spans="2:3">
      <c r="B1426" s="135" t="s">
        <v>1718</v>
      </c>
      <c r="C1426" s="231">
        <v>94941</v>
      </c>
    </row>
    <row r="1427" spans="2:3">
      <c r="B1427" s="135" t="s">
        <v>457</v>
      </c>
      <c r="C1427" s="231">
        <v>95122</v>
      </c>
    </row>
    <row r="1428" spans="2:3">
      <c r="B1428" s="135" t="s">
        <v>1719</v>
      </c>
      <c r="C1428" s="231">
        <v>92607</v>
      </c>
    </row>
    <row r="1429" spans="2:3">
      <c r="B1429" s="135" t="s">
        <v>503</v>
      </c>
      <c r="C1429" s="231">
        <v>96431</v>
      </c>
    </row>
    <row r="1430" spans="2:3">
      <c r="B1430" s="135" t="s">
        <v>1629</v>
      </c>
      <c r="C1430" s="231">
        <v>90709</v>
      </c>
    </row>
    <row r="1431" spans="2:3">
      <c r="B1431" s="135" t="s">
        <v>339</v>
      </c>
      <c r="C1431" s="231">
        <v>91341</v>
      </c>
    </row>
    <row r="1432" spans="2:3">
      <c r="B1432" s="135" t="s">
        <v>680</v>
      </c>
      <c r="C1432" s="231">
        <v>92941</v>
      </c>
    </row>
    <row r="1433" spans="2:3">
      <c r="B1433" s="135" t="s">
        <v>446</v>
      </c>
      <c r="C1433" s="231">
        <v>94551</v>
      </c>
    </row>
    <row r="1434" spans="2:3">
      <c r="B1434" s="135" t="s">
        <v>686</v>
      </c>
      <c r="C1434" s="231">
        <v>99022</v>
      </c>
    </row>
    <row r="1435" spans="2:3">
      <c r="B1435" s="135" t="s">
        <v>480</v>
      </c>
      <c r="C1435" s="231">
        <v>96031</v>
      </c>
    </row>
    <row r="1436" spans="2:3">
      <c r="B1436" s="135" t="s">
        <v>277</v>
      </c>
      <c r="C1436" s="231">
        <v>98414</v>
      </c>
    </row>
    <row r="1437" spans="2:3">
      <c r="B1437" s="135" t="s">
        <v>146</v>
      </c>
      <c r="C1437" s="231">
        <v>96101</v>
      </c>
    </row>
    <row r="1438" spans="2:3">
      <c r="B1438" s="135" t="s">
        <v>1720</v>
      </c>
      <c r="C1438" s="231">
        <v>96102</v>
      </c>
    </row>
    <row r="1439" spans="2:3">
      <c r="B1439" s="135" t="s">
        <v>391</v>
      </c>
      <c r="C1439" s="231">
        <v>93011</v>
      </c>
    </row>
    <row r="1440" spans="2:3">
      <c r="B1440" s="135" t="s">
        <v>672</v>
      </c>
      <c r="C1440" s="231">
        <v>99011</v>
      </c>
    </row>
    <row r="1441" spans="2:3">
      <c r="B1441" s="135" t="s">
        <v>1844</v>
      </c>
      <c r="C1441" s="231">
        <v>99017</v>
      </c>
    </row>
    <row r="1442" spans="2:3">
      <c r="B1442" s="135" t="s">
        <v>1907</v>
      </c>
      <c r="C1442" s="231">
        <v>99013</v>
      </c>
    </row>
    <row r="1443" spans="2:3">
      <c r="B1443" s="135" t="s">
        <v>147</v>
      </c>
      <c r="C1443" s="231">
        <v>96201</v>
      </c>
    </row>
    <row r="1444" spans="2:3">
      <c r="B1444" s="135" t="s">
        <v>1845</v>
      </c>
      <c r="C1444" s="231">
        <v>96204</v>
      </c>
    </row>
    <row r="1445" spans="2:3">
      <c r="B1445" s="135" t="s">
        <v>330</v>
      </c>
      <c r="C1445" s="231">
        <v>91161</v>
      </c>
    </row>
    <row r="1446" spans="2:3">
      <c r="B1446" s="135" t="s">
        <v>148</v>
      </c>
      <c r="C1446" s="231">
        <v>96301</v>
      </c>
    </row>
    <row r="1447" spans="2:3">
      <c r="B1447" s="135" t="s">
        <v>1846</v>
      </c>
      <c r="C1447" s="231">
        <v>96304</v>
      </c>
    </row>
    <row r="1448" spans="2:3">
      <c r="B1448" s="135" t="s">
        <v>149</v>
      </c>
      <c r="C1448" s="231">
        <v>96310</v>
      </c>
    </row>
    <row r="1449" spans="2:3">
      <c r="B1449" s="135" t="s">
        <v>1721</v>
      </c>
      <c r="C1449" s="231">
        <v>96305</v>
      </c>
    </row>
    <row r="1450" spans="2:3">
      <c r="B1450" s="135" t="s">
        <v>647</v>
      </c>
      <c r="C1450" s="231">
        <v>94921</v>
      </c>
    </row>
    <row r="1451" spans="2:3">
      <c r="B1451" s="135" t="s">
        <v>1847</v>
      </c>
      <c r="C1451" s="231">
        <v>94927</v>
      </c>
    </row>
    <row r="1452" spans="2:3">
      <c r="B1452" s="135" t="s">
        <v>124</v>
      </c>
      <c r="C1452" s="231">
        <v>94923</v>
      </c>
    </row>
    <row r="1453" spans="2:3">
      <c r="B1453" s="135" t="s">
        <v>344</v>
      </c>
      <c r="C1453" s="231">
        <v>91611</v>
      </c>
    </row>
    <row r="1454" spans="2:3">
      <c r="B1454" s="135" t="s">
        <v>626</v>
      </c>
      <c r="C1454" s="231">
        <v>91231</v>
      </c>
    </row>
    <row r="1455" spans="2:3">
      <c r="B1455" s="135" t="s">
        <v>1848</v>
      </c>
      <c r="C1455" s="231">
        <v>91217</v>
      </c>
    </row>
    <row r="1456" spans="2:3">
      <c r="B1456" s="135" t="s">
        <v>52</v>
      </c>
      <c r="C1456" s="231">
        <v>91233</v>
      </c>
    </row>
    <row r="1457" spans="2:3">
      <c r="B1457" s="135" t="s">
        <v>590</v>
      </c>
      <c r="C1457" s="231">
        <v>99206</v>
      </c>
    </row>
    <row r="1458" spans="2:3">
      <c r="B1458" s="135" t="s">
        <v>298</v>
      </c>
      <c r="C1458" s="231">
        <v>90461</v>
      </c>
    </row>
    <row r="1459" spans="2:3">
      <c r="B1459" s="135" t="s">
        <v>1722</v>
      </c>
      <c r="C1459" s="231">
        <v>98637</v>
      </c>
    </row>
    <row r="1460" spans="2:3">
      <c r="B1460" s="135" t="s">
        <v>492</v>
      </c>
      <c r="C1460" s="231">
        <v>96251</v>
      </c>
    </row>
    <row r="1461" spans="2:3">
      <c r="B1461" s="135" t="s">
        <v>607</v>
      </c>
      <c r="C1461" s="231">
        <v>99621</v>
      </c>
    </row>
    <row r="1462" spans="2:3">
      <c r="B1462" s="135" t="s">
        <v>337</v>
      </c>
      <c r="C1462" s="231">
        <v>91321</v>
      </c>
    </row>
    <row r="1463" spans="2:3">
      <c r="B1463" s="135" t="s">
        <v>1908</v>
      </c>
      <c r="C1463" s="231">
        <v>98631</v>
      </c>
    </row>
    <row r="1464" spans="2:3">
      <c r="B1464" s="135" t="s">
        <v>1909</v>
      </c>
      <c r="C1464" s="231">
        <v>93691</v>
      </c>
    </row>
    <row r="1465" spans="2:3">
      <c r="B1465" s="135" t="s">
        <v>1723</v>
      </c>
      <c r="C1465" s="231">
        <v>99623</v>
      </c>
    </row>
    <row r="1466" spans="2:3">
      <c r="B1466" s="135" t="s">
        <v>1849</v>
      </c>
      <c r="C1466" s="231">
        <v>91327</v>
      </c>
    </row>
    <row r="1467" spans="2:3">
      <c r="B1467" s="135" t="s">
        <v>448</v>
      </c>
      <c r="C1467" s="231">
        <v>94621</v>
      </c>
    </row>
    <row r="1468" spans="2:3">
      <c r="B1468" s="135" t="s">
        <v>362</v>
      </c>
      <c r="C1468" s="231">
        <v>92011</v>
      </c>
    </row>
    <row r="1469" spans="2:3">
      <c r="B1469" s="135" t="s">
        <v>1850</v>
      </c>
      <c r="C1469" s="231">
        <v>92017</v>
      </c>
    </row>
    <row r="1470" spans="2:3">
      <c r="B1470" s="135" t="s">
        <v>1724</v>
      </c>
      <c r="C1470" s="231">
        <v>99991</v>
      </c>
    </row>
    <row r="1471" spans="2:3">
      <c r="B1471" s="135" t="s">
        <v>1725</v>
      </c>
      <c r="C1471" s="231">
        <v>99999</v>
      </c>
    </row>
    <row r="1472" spans="2:3">
      <c r="B1472" s="135" t="s">
        <v>384</v>
      </c>
      <c r="C1472" s="231">
        <v>92811</v>
      </c>
    </row>
    <row r="1473" spans="2:3">
      <c r="B1473" s="135" t="s">
        <v>64</v>
      </c>
      <c r="C1473" s="231">
        <v>92005</v>
      </c>
    </row>
    <row r="1474" spans="2:3">
      <c r="B1474" s="135" t="s">
        <v>151</v>
      </c>
      <c r="C1474" s="231">
        <v>96401</v>
      </c>
    </row>
    <row r="1475" spans="2:3">
      <c r="B1475" s="135" t="s">
        <v>1851</v>
      </c>
      <c r="C1475" s="231">
        <v>96404</v>
      </c>
    </row>
    <row r="1476" spans="2:3">
      <c r="B1476" s="135" t="s">
        <v>502</v>
      </c>
      <c r="C1476" s="231">
        <v>96421</v>
      </c>
    </row>
    <row r="1477" spans="2:3">
      <c r="B1477" s="135" t="s">
        <v>677</v>
      </c>
      <c r="C1477" s="231">
        <v>91026</v>
      </c>
    </row>
    <row r="1478" spans="2:3">
      <c r="B1478" s="135" t="s">
        <v>134</v>
      </c>
      <c r="C1478" s="231">
        <v>95405</v>
      </c>
    </row>
    <row r="1479" spans="2:3">
      <c r="B1479" s="135" t="s">
        <v>1726</v>
      </c>
      <c r="C1479" s="231">
        <v>94005</v>
      </c>
    </row>
    <row r="1480" spans="2:3">
      <c r="B1480" s="135" t="s">
        <v>1727</v>
      </c>
      <c r="C1480" s="231">
        <v>95205</v>
      </c>
    </row>
    <row r="1481" spans="2:3">
      <c r="B1481" s="135" t="s">
        <v>73</v>
      </c>
      <c r="C1481" s="231">
        <v>92507</v>
      </c>
    </row>
    <row r="1482" spans="2:3">
      <c r="B1482" s="135" t="s">
        <v>1899</v>
      </c>
      <c r="C1482" s="231">
        <v>92113</v>
      </c>
    </row>
    <row r="1483" spans="2:3">
      <c r="B1483" s="135" t="s">
        <v>1728</v>
      </c>
      <c r="C1483" s="231">
        <v>96502</v>
      </c>
    </row>
    <row r="1484" spans="2:3">
      <c r="B1484" s="135" t="s">
        <v>153</v>
      </c>
      <c r="C1484" s="231">
        <v>96501</v>
      </c>
    </row>
    <row r="1485" spans="2:3">
      <c r="B1485" s="135" t="s">
        <v>1852</v>
      </c>
      <c r="C1485" s="231">
        <v>96504</v>
      </c>
    </row>
    <row r="1486" spans="2:3">
      <c r="B1486" s="135" t="s">
        <v>1900</v>
      </c>
      <c r="C1486" s="231">
        <v>97913</v>
      </c>
    </row>
    <row r="1487" spans="2:3">
      <c r="B1487" s="135" t="s">
        <v>1910</v>
      </c>
      <c r="C1487" s="231">
        <v>92511</v>
      </c>
    </row>
    <row r="1488" spans="2:3">
      <c r="B1488" s="135" t="s">
        <v>302</v>
      </c>
      <c r="C1488" s="231">
        <v>90621</v>
      </c>
    </row>
    <row r="1489" spans="2:3">
      <c r="B1489" s="135" t="s">
        <v>345</v>
      </c>
      <c r="C1489" s="231">
        <v>91621</v>
      </c>
    </row>
    <row r="1490" spans="2:3">
      <c r="B1490" s="135" t="s">
        <v>358</v>
      </c>
      <c r="C1490" s="231">
        <v>91871</v>
      </c>
    </row>
    <row r="1491" spans="2:3">
      <c r="B1491" s="135" t="s">
        <v>564</v>
      </c>
      <c r="C1491" s="231">
        <v>98231</v>
      </c>
    </row>
    <row r="1492" spans="2:3">
      <c r="B1492" s="135" t="s">
        <v>599</v>
      </c>
      <c r="C1492" s="231">
        <v>99311</v>
      </c>
    </row>
    <row r="1493" spans="2:3">
      <c r="B1493" s="135" t="s">
        <v>521</v>
      </c>
      <c r="C1493" s="231">
        <v>96751</v>
      </c>
    </row>
    <row r="1494" spans="2:3">
      <c r="B1494" s="135" t="s">
        <v>610</v>
      </c>
      <c r="C1494" s="231">
        <v>99711</v>
      </c>
    </row>
    <row r="1495" spans="2:3">
      <c r="B1495" s="135" t="s">
        <v>1878</v>
      </c>
      <c r="C1495" s="231">
        <v>99717</v>
      </c>
    </row>
    <row r="1496" spans="2:3">
      <c r="B1496" s="135" t="s">
        <v>158</v>
      </c>
      <c r="C1496" s="231">
        <v>96601</v>
      </c>
    </row>
    <row r="1497" spans="2:3">
      <c r="B1497" s="135" t="s">
        <v>1853</v>
      </c>
      <c r="C1497" s="231">
        <v>96604</v>
      </c>
    </row>
    <row r="1498" spans="2:3">
      <c r="B1498" s="135" t="s">
        <v>624</v>
      </c>
      <c r="C1498" s="231">
        <v>91012</v>
      </c>
    </row>
    <row r="1499" spans="2:3">
      <c r="B1499" s="135" t="s">
        <v>30</v>
      </c>
      <c r="C1499" s="231">
        <v>90305</v>
      </c>
    </row>
    <row r="1500" spans="2:3">
      <c r="B1500" s="135" t="s">
        <v>571</v>
      </c>
      <c r="C1500" s="231">
        <v>98421</v>
      </c>
    </row>
    <row r="1501" spans="2:3">
      <c r="B1501" s="135" t="s">
        <v>1854</v>
      </c>
      <c r="C1501" s="231">
        <v>98427</v>
      </c>
    </row>
    <row r="1502" spans="2:3">
      <c r="B1502" s="135" t="s">
        <v>473</v>
      </c>
      <c r="C1502" s="231">
        <v>95821</v>
      </c>
    </row>
    <row r="1503" spans="2:3">
      <c r="B1503" s="135" t="s">
        <v>321</v>
      </c>
      <c r="C1503" s="231">
        <v>91021</v>
      </c>
    </row>
    <row r="1504" spans="2:3">
      <c r="B1504" s="135" t="s">
        <v>1855</v>
      </c>
      <c r="C1504" s="231">
        <v>91027</v>
      </c>
    </row>
    <row r="1505" spans="2:3">
      <c r="B1505" s="135" t="s">
        <v>429</v>
      </c>
      <c r="C1505" s="231">
        <v>94161</v>
      </c>
    </row>
    <row r="1506" spans="2:3">
      <c r="B1506" s="135" t="s">
        <v>572</v>
      </c>
      <c r="C1506" s="231">
        <v>98441</v>
      </c>
    </row>
    <row r="1507" spans="2:3">
      <c r="B1507" s="135" t="s">
        <v>325</v>
      </c>
      <c r="C1507" s="231">
        <v>91061</v>
      </c>
    </row>
    <row r="1508" spans="2:3">
      <c r="B1508" s="135" t="s">
        <v>1856</v>
      </c>
      <c r="C1508" s="231">
        <v>91067</v>
      </c>
    </row>
    <row r="1509" spans="2:3">
      <c r="B1509" s="135" t="s">
        <v>1729</v>
      </c>
      <c r="C1509" s="231">
        <v>94812</v>
      </c>
    </row>
    <row r="1510" spans="2:3">
      <c r="B1510" s="135" t="s">
        <v>478</v>
      </c>
      <c r="C1510" s="231">
        <v>95921</v>
      </c>
    </row>
    <row r="1511" spans="2:3">
      <c r="B1511" s="135" t="s">
        <v>159</v>
      </c>
      <c r="C1511" s="231">
        <v>96701</v>
      </c>
    </row>
    <row r="1512" spans="2:3">
      <c r="B1512" s="135" t="s">
        <v>1857</v>
      </c>
      <c r="C1512" s="231">
        <v>96704</v>
      </c>
    </row>
    <row r="1513" spans="2:3">
      <c r="B1513" s="135" t="s">
        <v>1730</v>
      </c>
      <c r="C1513" s="231">
        <v>96708</v>
      </c>
    </row>
    <row r="1514" spans="2:3">
      <c r="B1514" s="135" t="s">
        <v>161</v>
      </c>
      <c r="C1514" s="231">
        <v>96801</v>
      </c>
    </row>
    <row r="1515" spans="2:3">
      <c r="B1515" s="135" t="s">
        <v>1858</v>
      </c>
      <c r="C1515" s="231">
        <v>96804</v>
      </c>
    </row>
    <row r="1516" spans="2:3">
      <c r="B1516" s="135" t="s">
        <v>1731</v>
      </c>
      <c r="C1516" s="231">
        <v>96808</v>
      </c>
    </row>
    <row r="1517" spans="2:3">
      <c r="B1517" s="135" t="s">
        <v>526</v>
      </c>
      <c r="C1517" s="231">
        <v>96912</v>
      </c>
    </row>
    <row r="1518" spans="2:3">
      <c r="B1518" s="135" t="s">
        <v>642</v>
      </c>
      <c r="C1518" s="231">
        <v>93911</v>
      </c>
    </row>
    <row r="1519" spans="2:3">
      <c r="B1519" s="135" t="s">
        <v>103</v>
      </c>
      <c r="C1519" s="231">
        <v>93913</v>
      </c>
    </row>
    <row r="1520" spans="2:3">
      <c r="B1520" s="135" t="s">
        <v>162</v>
      </c>
      <c r="C1520" s="231">
        <v>96901</v>
      </c>
    </row>
    <row r="1521" spans="2:3">
      <c r="B1521" s="135" t="s">
        <v>1754</v>
      </c>
      <c r="C1521" s="231">
        <v>97841</v>
      </c>
    </row>
    <row r="1522" spans="2:3">
      <c r="B1522" s="135" t="s">
        <v>85</v>
      </c>
      <c r="C1522" s="231">
        <v>93202</v>
      </c>
    </row>
    <row r="1523" spans="2:3">
      <c r="B1523" s="135" t="s">
        <v>1630</v>
      </c>
      <c r="C1523" s="231">
        <v>93609</v>
      </c>
    </row>
    <row r="1524" spans="2:3">
      <c r="B1524" s="135" t="s">
        <v>1859</v>
      </c>
      <c r="C1524" s="231">
        <v>97004</v>
      </c>
    </row>
    <row r="1525" spans="2:3">
      <c r="B1525" s="135" t="s">
        <v>164</v>
      </c>
      <c r="C1525" s="231">
        <v>97001</v>
      </c>
    </row>
    <row r="1526" spans="2:3">
      <c r="B1526" s="135" t="s">
        <v>165</v>
      </c>
      <c r="C1526" s="231">
        <v>97002</v>
      </c>
    </row>
    <row r="1527" spans="2:3">
      <c r="B1527" s="135" t="s">
        <v>170</v>
      </c>
      <c r="C1527" s="231">
        <v>97015</v>
      </c>
    </row>
    <row r="1528" spans="2:3">
      <c r="B1528" s="135" t="s">
        <v>296</v>
      </c>
      <c r="C1528" s="231">
        <v>90441</v>
      </c>
    </row>
    <row r="1529" spans="2:3">
      <c r="B1529" s="135" t="s">
        <v>544</v>
      </c>
      <c r="C1529" s="231">
        <v>97851</v>
      </c>
    </row>
    <row r="1530" spans="2:3">
      <c r="B1530" s="135" t="s">
        <v>191</v>
      </c>
      <c r="C1530" s="231">
        <v>97853</v>
      </c>
    </row>
    <row r="1531" spans="2:3">
      <c r="B1531" s="135" t="s">
        <v>171</v>
      </c>
      <c r="C1531" s="231">
        <v>97101</v>
      </c>
    </row>
    <row r="1532" spans="2:3">
      <c r="B1532" s="135" t="s">
        <v>1860</v>
      </c>
      <c r="C1532" s="231">
        <v>97104</v>
      </c>
    </row>
    <row r="1533" spans="2:3">
      <c r="B1533" s="135" t="s">
        <v>173</v>
      </c>
      <c r="C1533" s="231">
        <v>97201</v>
      </c>
    </row>
    <row r="1534" spans="2:3">
      <c r="B1534" s="135" t="s">
        <v>1861</v>
      </c>
      <c r="C1534" s="231">
        <v>97304</v>
      </c>
    </row>
    <row r="1535" spans="2:3">
      <c r="B1535" s="135" t="s">
        <v>174</v>
      </c>
      <c r="C1535" s="231">
        <v>97301</v>
      </c>
    </row>
    <row r="1536" spans="2:3">
      <c r="B1536" s="135" t="s">
        <v>219</v>
      </c>
      <c r="C1536" s="231">
        <v>99405</v>
      </c>
    </row>
    <row r="1537" spans="2:3">
      <c r="B1537" s="135" t="s">
        <v>25</v>
      </c>
      <c r="C1537" s="231">
        <v>72265</v>
      </c>
    </row>
    <row r="1538" spans="2:3">
      <c r="B1538" s="135" t="s">
        <v>1732</v>
      </c>
      <c r="C1538" s="231">
        <v>94112</v>
      </c>
    </row>
    <row r="1539" spans="2:3">
      <c r="B1539" s="135" t="s">
        <v>92</v>
      </c>
      <c r="C1539" s="231">
        <v>93406</v>
      </c>
    </row>
    <row r="1540" spans="2:3">
      <c r="B1540" s="135" t="s">
        <v>609</v>
      </c>
      <c r="C1540" s="231">
        <v>99651</v>
      </c>
    </row>
    <row r="1541" spans="2:3">
      <c r="B1541" s="135" t="s">
        <v>577</v>
      </c>
      <c r="C1541" s="231">
        <v>98611</v>
      </c>
    </row>
    <row r="1542" spans="2:3">
      <c r="B1542" s="135" t="s">
        <v>1862</v>
      </c>
      <c r="C1542" s="231">
        <v>98607</v>
      </c>
    </row>
    <row r="1543" spans="2:3">
      <c r="B1543" s="135" t="s">
        <v>347</v>
      </c>
      <c r="C1543" s="231">
        <v>91641</v>
      </c>
    </row>
    <row r="1544" spans="2:3">
      <c r="B1544" s="135" t="s">
        <v>461</v>
      </c>
      <c r="C1544" s="231">
        <v>95161</v>
      </c>
    </row>
    <row r="1545" spans="2:3">
      <c r="B1545" s="135" t="s">
        <v>499</v>
      </c>
      <c r="C1545" s="231">
        <v>96361</v>
      </c>
    </row>
    <row r="1546" spans="2:3">
      <c r="B1546" s="135" t="s">
        <v>1733</v>
      </c>
      <c r="C1546" s="231">
        <v>94108</v>
      </c>
    </row>
    <row r="1547" spans="2:3">
      <c r="B1547" s="135" t="s">
        <v>281</v>
      </c>
      <c r="C1547" s="231">
        <v>96351</v>
      </c>
    </row>
    <row r="1548" spans="2:3">
      <c r="B1548" s="135" t="s">
        <v>404</v>
      </c>
      <c r="C1548" s="231">
        <v>93331</v>
      </c>
    </row>
    <row r="1549" spans="2:3">
      <c r="B1549" s="135" t="s">
        <v>479</v>
      </c>
      <c r="C1549" s="231">
        <v>96021</v>
      </c>
    </row>
    <row r="1550" spans="2:3">
      <c r="B1550" s="135" t="s">
        <v>467</v>
      </c>
      <c r="C1550" s="231">
        <v>95421</v>
      </c>
    </row>
    <row r="1551" spans="2:3">
      <c r="B1551" s="135" t="s">
        <v>175</v>
      </c>
      <c r="C1551" s="231">
        <v>97401</v>
      </c>
    </row>
    <row r="1552" spans="2:3">
      <c r="B1552" s="135" t="s">
        <v>1863</v>
      </c>
      <c r="C1552" s="231">
        <v>97404</v>
      </c>
    </row>
    <row r="1553" spans="2:3">
      <c r="B1553" s="135" t="s">
        <v>1734</v>
      </c>
      <c r="C1553" s="231">
        <v>97402</v>
      </c>
    </row>
    <row r="1554" spans="2:3">
      <c r="B1554" s="135" t="s">
        <v>361</v>
      </c>
      <c r="C1554" s="231">
        <v>91921</v>
      </c>
    </row>
    <row r="1555" spans="2:3">
      <c r="B1555" s="135" t="s">
        <v>1735</v>
      </c>
      <c r="C1555" s="231">
        <v>95908</v>
      </c>
    </row>
    <row r="1556" spans="2:3">
      <c r="B1556" s="135" t="s">
        <v>601</v>
      </c>
      <c r="C1556" s="231">
        <v>99411</v>
      </c>
    </row>
    <row r="1557" spans="2:3">
      <c r="B1557" s="135" t="s">
        <v>220</v>
      </c>
      <c r="C1557" s="231">
        <v>99413</v>
      </c>
    </row>
    <row r="1558" spans="2:3">
      <c r="B1558" s="135" t="s">
        <v>181</v>
      </c>
      <c r="C1558" s="231">
        <v>97501</v>
      </c>
    </row>
    <row r="1559" spans="2:3">
      <c r="B1559" s="135" t="s">
        <v>295</v>
      </c>
      <c r="C1559" s="231">
        <v>90431</v>
      </c>
    </row>
    <row r="1560" spans="2:3">
      <c r="B1560" s="135" t="s">
        <v>464</v>
      </c>
      <c r="C1560" s="231">
        <v>95211</v>
      </c>
    </row>
    <row r="1561" spans="2:3">
      <c r="B1561" s="135" t="s">
        <v>463</v>
      </c>
      <c r="C1561" s="231">
        <v>95181</v>
      </c>
    </row>
    <row r="1562" spans="2:3">
      <c r="B1562" s="135" t="s">
        <v>406</v>
      </c>
      <c r="C1562" s="231">
        <v>93351</v>
      </c>
    </row>
    <row r="1563" spans="2:3">
      <c r="B1563" s="135" t="s">
        <v>1736</v>
      </c>
      <c r="C1563" s="231">
        <v>95105</v>
      </c>
    </row>
    <row r="1564" spans="2:3">
      <c r="B1564" s="135" t="s">
        <v>1737</v>
      </c>
      <c r="C1564" s="231">
        <v>92614</v>
      </c>
    </row>
    <row r="1565" spans="2:3">
      <c r="B1565" s="135" t="s">
        <v>451</v>
      </c>
      <c r="C1565" s="231">
        <v>94711</v>
      </c>
    </row>
    <row r="1566" spans="2:3">
      <c r="B1566" s="135" t="s">
        <v>674</v>
      </c>
      <c r="C1566" s="231">
        <v>99211</v>
      </c>
    </row>
    <row r="1567" spans="2:3">
      <c r="B1567" s="135" t="s">
        <v>216</v>
      </c>
      <c r="C1567" s="231">
        <v>99218</v>
      </c>
    </row>
    <row r="1568" spans="2:3">
      <c r="B1568" s="135" t="s">
        <v>1911</v>
      </c>
      <c r="C1568" s="231">
        <v>99213</v>
      </c>
    </row>
    <row r="1569" spans="2:3">
      <c r="B1569" s="135" t="s">
        <v>540</v>
      </c>
      <c r="C1569" s="231">
        <v>97641</v>
      </c>
    </row>
    <row r="1570" spans="2:3">
      <c r="B1570" s="135" t="s">
        <v>659</v>
      </c>
      <c r="C1570" s="231">
        <v>97621</v>
      </c>
    </row>
    <row r="1571" spans="2:3">
      <c r="B1571" s="135" t="s">
        <v>1912</v>
      </c>
      <c r="C1571" s="231">
        <v>97627</v>
      </c>
    </row>
    <row r="1572" spans="2:3">
      <c r="B1572" s="135" t="s">
        <v>1913</v>
      </c>
      <c r="C1572" s="231">
        <v>97623</v>
      </c>
    </row>
    <row r="1573" spans="2:3">
      <c r="B1573" s="135" t="s">
        <v>182</v>
      </c>
      <c r="C1573" s="231">
        <v>97601</v>
      </c>
    </row>
    <row r="1574" spans="2:3">
      <c r="B1574" s="135" t="s">
        <v>420</v>
      </c>
      <c r="C1574" s="231">
        <v>93681</v>
      </c>
    </row>
    <row r="1575" spans="2:3">
      <c r="B1575" s="135" t="s">
        <v>546</v>
      </c>
      <c r="C1575" s="231">
        <v>97871</v>
      </c>
    </row>
    <row r="1576" spans="2:3">
      <c r="B1576" s="135" t="s">
        <v>1864</v>
      </c>
      <c r="C1576" s="231">
        <v>97877</v>
      </c>
    </row>
    <row r="1577" spans="2:3">
      <c r="B1577" s="135" t="s">
        <v>222</v>
      </c>
      <c r="C1577" s="231">
        <v>99502</v>
      </c>
    </row>
    <row r="1578" spans="2:3">
      <c r="B1578" s="135" t="s">
        <v>547</v>
      </c>
      <c r="C1578" s="231">
        <v>97911</v>
      </c>
    </row>
    <row r="1579" spans="2:3">
      <c r="B1579" s="135" t="s">
        <v>1865</v>
      </c>
      <c r="C1579" s="231">
        <v>97917</v>
      </c>
    </row>
    <row r="1580" spans="2:3">
      <c r="B1580" s="135" t="s">
        <v>510</v>
      </c>
      <c r="C1580" s="231">
        <v>96611</v>
      </c>
    </row>
    <row r="1581" spans="2:3">
      <c r="B1581" s="135" t="s">
        <v>520</v>
      </c>
      <c r="C1581" s="231">
        <v>96741</v>
      </c>
    </row>
    <row r="1582" spans="2:3">
      <c r="B1582" s="135" t="s">
        <v>183</v>
      </c>
      <c r="C1582" s="231">
        <v>97701</v>
      </c>
    </row>
    <row r="1583" spans="2:3">
      <c r="B1583" s="135" t="s">
        <v>373</v>
      </c>
      <c r="C1583" s="231">
        <v>92541</v>
      </c>
    </row>
    <row r="1584" spans="2:3">
      <c r="B1584" s="135" t="s">
        <v>111</v>
      </c>
      <c r="C1584" s="231">
        <v>94209</v>
      </c>
    </row>
    <row r="1585" spans="2:3">
      <c r="B1585" s="135" t="s">
        <v>1914</v>
      </c>
      <c r="C1585" s="231">
        <v>94221</v>
      </c>
    </row>
    <row r="1586" spans="2:3">
      <c r="B1586" s="135" t="s">
        <v>498</v>
      </c>
      <c r="C1586" s="231">
        <v>96341</v>
      </c>
    </row>
    <row r="1587" spans="2:3">
      <c r="B1587" s="135" t="s">
        <v>421</v>
      </c>
      <c r="C1587" s="231">
        <v>93821</v>
      </c>
    </row>
    <row r="1588" spans="2:3">
      <c r="B1588" s="135" t="s">
        <v>476</v>
      </c>
      <c r="C1588" s="231">
        <v>95851</v>
      </c>
    </row>
    <row r="1589" spans="2:3">
      <c r="B1589" s="135" t="s">
        <v>143</v>
      </c>
      <c r="C1589" s="231">
        <v>95853</v>
      </c>
    </row>
    <row r="1590" spans="2:3">
      <c r="B1590" s="135" t="s">
        <v>186</v>
      </c>
      <c r="C1590" s="231">
        <v>97801</v>
      </c>
    </row>
    <row r="1591" spans="2:3">
      <c r="B1591" s="135" t="s">
        <v>188</v>
      </c>
      <c r="C1591" s="231">
        <v>97803</v>
      </c>
    </row>
    <row r="1592" spans="2:3">
      <c r="B1592" s="135" t="s">
        <v>189</v>
      </c>
      <c r="C1592" s="231">
        <v>97805</v>
      </c>
    </row>
    <row r="1593" spans="2:3">
      <c r="B1593" s="135" t="s">
        <v>662</v>
      </c>
      <c r="C1593" s="231">
        <v>97711</v>
      </c>
    </row>
    <row r="1594" spans="2:3">
      <c r="B1594" s="135" t="s">
        <v>192</v>
      </c>
      <c r="C1594" s="231">
        <v>97901</v>
      </c>
    </row>
    <row r="1595" spans="2:3">
      <c r="B1595" s="135" t="s">
        <v>185</v>
      </c>
      <c r="C1595" s="231">
        <v>97713</v>
      </c>
    </row>
    <row r="1596" spans="2:3">
      <c r="B1596" s="135" t="s">
        <v>1915</v>
      </c>
      <c r="C1596" s="231">
        <v>97727</v>
      </c>
    </row>
    <row r="1597" spans="2:3">
      <c r="B1597" s="135" t="s">
        <v>556</v>
      </c>
      <c r="C1597" s="231">
        <v>98071</v>
      </c>
    </row>
    <row r="1598" spans="2:3">
      <c r="B1598" s="135" t="s">
        <v>89</v>
      </c>
      <c r="C1598" s="231">
        <v>93323</v>
      </c>
    </row>
    <row r="1599" spans="2:3">
      <c r="B1599" s="135" t="s">
        <v>1738</v>
      </c>
      <c r="C1599" s="231">
        <v>93333</v>
      </c>
    </row>
    <row r="1600" spans="2:3">
      <c r="B1600" s="135" t="s">
        <v>1916</v>
      </c>
      <c r="C1600" s="231">
        <v>93321</v>
      </c>
    </row>
    <row r="1601" spans="2:3">
      <c r="B1601" s="135" t="s">
        <v>589</v>
      </c>
      <c r="C1601" s="231">
        <v>99203</v>
      </c>
    </row>
    <row r="1602" spans="2:3">
      <c r="B1602" s="135" t="s">
        <v>602</v>
      </c>
      <c r="C1602" s="231">
        <v>99421</v>
      </c>
    </row>
    <row r="1603" spans="2:3">
      <c r="B1603" s="135" t="s">
        <v>399</v>
      </c>
      <c r="C1603" s="231">
        <v>93161</v>
      </c>
    </row>
    <row r="1604" spans="2:3">
      <c r="B1604" s="135" t="s">
        <v>567</v>
      </c>
      <c r="C1604" s="231">
        <v>98261</v>
      </c>
    </row>
    <row r="1605" spans="2:3">
      <c r="B1605" s="135" t="s">
        <v>1866</v>
      </c>
      <c r="C1605" s="231">
        <v>98237</v>
      </c>
    </row>
    <row r="1606" spans="2:3">
      <c r="B1606" s="135" t="s">
        <v>1739</v>
      </c>
      <c r="C1606" s="231">
        <v>98003</v>
      </c>
    </row>
    <row r="1607" spans="2:3">
      <c r="B1607" s="135" t="s">
        <v>1740</v>
      </c>
      <c r="C1607" s="231">
        <v>98008</v>
      </c>
    </row>
    <row r="1608" spans="2:3">
      <c r="B1608" s="135" t="s">
        <v>1741</v>
      </c>
      <c r="C1608" s="231">
        <v>98002</v>
      </c>
    </row>
    <row r="1609" spans="2:3">
      <c r="B1609" s="135" t="s">
        <v>194</v>
      </c>
      <c r="C1609" s="231">
        <v>98001</v>
      </c>
    </row>
    <row r="1610" spans="2:3">
      <c r="B1610" s="135" t="s">
        <v>1867</v>
      </c>
      <c r="C1610" s="231">
        <v>98004</v>
      </c>
    </row>
    <row r="1611" spans="2:3">
      <c r="B1611" s="135" t="s">
        <v>545</v>
      </c>
      <c r="C1611" s="231">
        <v>97861</v>
      </c>
    </row>
    <row r="1612" spans="2:3">
      <c r="B1612" s="135" t="s">
        <v>655</v>
      </c>
      <c r="C1612" s="231">
        <v>97311</v>
      </c>
    </row>
    <row r="1613" spans="2:3">
      <c r="B1613" s="135" t="s">
        <v>408</v>
      </c>
      <c r="C1613" s="231">
        <v>93431</v>
      </c>
    </row>
    <row r="1614" spans="2:3">
      <c r="B1614" s="135" t="s">
        <v>333</v>
      </c>
      <c r="C1614" s="231">
        <v>91214</v>
      </c>
    </row>
    <row r="1615" spans="2:3">
      <c r="B1615" s="135" t="s">
        <v>196</v>
      </c>
      <c r="C1615" s="231">
        <v>98101</v>
      </c>
    </row>
    <row r="1616" spans="2:3">
      <c r="B1616" s="135" t="s">
        <v>1742</v>
      </c>
      <c r="C1616" s="231">
        <v>98103</v>
      </c>
    </row>
    <row r="1617" spans="2:3">
      <c r="B1617" s="135" t="s">
        <v>561</v>
      </c>
      <c r="C1617" s="231">
        <v>98141</v>
      </c>
    </row>
    <row r="1618" spans="2:3">
      <c r="B1618" s="135" t="s">
        <v>1879</v>
      </c>
      <c r="C1618" s="231">
        <v>98147</v>
      </c>
    </row>
    <row r="1619" spans="2:3">
      <c r="B1619" s="135" t="s">
        <v>563</v>
      </c>
      <c r="C1619" s="231">
        <v>98221</v>
      </c>
    </row>
    <row r="1620" spans="2:3">
      <c r="B1620" s="135" t="s">
        <v>666</v>
      </c>
      <c r="C1620" s="231">
        <v>98011</v>
      </c>
    </row>
    <row r="1621" spans="2:3">
      <c r="B1621" s="135" t="s">
        <v>538</v>
      </c>
      <c r="C1621" s="231">
        <v>97531</v>
      </c>
    </row>
    <row r="1622" spans="2:3">
      <c r="B1622" s="135" t="s">
        <v>200</v>
      </c>
      <c r="C1622" s="231">
        <v>98201</v>
      </c>
    </row>
    <row r="1623" spans="2:3">
      <c r="B1623" s="135" t="s">
        <v>184</v>
      </c>
      <c r="C1623" s="231">
        <v>97705</v>
      </c>
    </row>
    <row r="1624" spans="2:3">
      <c r="B1624" s="135" t="s">
        <v>1631</v>
      </c>
      <c r="C1624" s="231">
        <v>96318</v>
      </c>
    </row>
    <row r="1625" spans="2:3">
      <c r="B1625" s="135" t="s">
        <v>648</v>
      </c>
      <c r="C1625" s="231">
        <v>95311</v>
      </c>
    </row>
    <row r="1626" spans="2:3">
      <c r="B1626" s="135" t="s">
        <v>1868</v>
      </c>
      <c r="C1626" s="231">
        <v>95317</v>
      </c>
    </row>
    <row r="1627" spans="2:3">
      <c r="B1627" s="135" t="s">
        <v>341</v>
      </c>
      <c r="C1627" s="231">
        <v>91421</v>
      </c>
    </row>
    <row r="1628" spans="2:3">
      <c r="B1628" s="135" t="s">
        <v>201</v>
      </c>
      <c r="C1628" s="231">
        <v>98301</v>
      </c>
    </row>
    <row r="1629" spans="2:3">
      <c r="B1629" s="135" t="s">
        <v>1869</v>
      </c>
      <c r="C1629" s="231">
        <v>98304</v>
      </c>
    </row>
    <row r="1630" spans="2:3">
      <c r="B1630" s="135" t="s">
        <v>433</v>
      </c>
      <c r="C1630" s="231">
        <v>94241</v>
      </c>
    </row>
    <row r="1631" spans="2:3">
      <c r="B1631" s="135" t="s">
        <v>517</v>
      </c>
      <c r="C1631" s="231">
        <v>96681</v>
      </c>
    </row>
    <row r="1632" spans="2:3">
      <c r="B1632" s="135" t="s">
        <v>1755</v>
      </c>
      <c r="C1632" s="231">
        <v>72593</v>
      </c>
    </row>
    <row r="1633" spans="2:3">
      <c r="B1633" s="135" t="s">
        <v>456</v>
      </c>
      <c r="C1633" s="231">
        <v>95121</v>
      </c>
    </row>
    <row r="1634" spans="2:3">
      <c r="B1634" s="135" t="s">
        <v>130</v>
      </c>
      <c r="C1634" s="231">
        <v>95123</v>
      </c>
    </row>
    <row r="1635" spans="2:3">
      <c r="B1635" s="135" t="s">
        <v>606</v>
      </c>
      <c r="C1635" s="231">
        <v>99531</v>
      </c>
    </row>
    <row r="1636" spans="2:3">
      <c r="B1636" s="135" t="s">
        <v>516</v>
      </c>
      <c r="C1636" s="231">
        <v>96671</v>
      </c>
    </row>
    <row r="1637" spans="2:3">
      <c r="B1637" s="135" t="s">
        <v>326</v>
      </c>
      <c r="C1637" s="231">
        <v>91081</v>
      </c>
    </row>
    <row r="1638" spans="2:3">
      <c r="B1638" s="135" t="s">
        <v>1870</v>
      </c>
      <c r="C1638" s="231">
        <v>91057</v>
      </c>
    </row>
    <row r="1639" spans="2:3">
      <c r="B1639" s="135" t="s">
        <v>506</v>
      </c>
      <c r="C1639" s="231">
        <v>96461</v>
      </c>
    </row>
    <row r="1640" spans="2:3">
      <c r="B1640" s="135" t="s">
        <v>630</v>
      </c>
      <c r="C1640" s="231">
        <v>92311</v>
      </c>
    </row>
    <row r="1641" spans="2:3">
      <c r="B1641" s="135" t="s">
        <v>1871</v>
      </c>
      <c r="C1641" s="231">
        <v>92317</v>
      </c>
    </row>
    <row r="1642" spans="2:3">
      <c r="B1642" s="135" t="s">
        <v>176</v>
      </c>
      <c r="C1642" s="231">
        <v>97405</v>
      </c>
    </row>
    <row r="1643" spans="2:3">
      <c r="B1643" s="135" t="s">
        <v>360</v>
      </c>
      <c r="C1643" s="231">
        <v>91911</v>
      </c>
    </row>
    <row r="1644" spans="2:3">
      <c r="B1644" s="135" t="s">
        <v>1872</v>
      </c>
      <c r="C1644" s="231">
        <v>91917</v>
      </c>
    </row>
    <row r="1645" spans="2:3">
      <c r="B1645" s="135" t="s">
        <v>283</v>
      </c>
      <c r="C1645" s="231">
        <v>97481</v>
      </c>
    </row>
    <row r="1646" spans="2:3">
      <c r="B1646" s="135" t="s">
        <v>1743</v>
      </c>
      <c r="C1646" s="231">
        <v>91138</v>
      </c>
    </row>
    <row r="1647" spans="2:3">
      <c r="B1647" s="135" t="s">
        <v>455</v>
      </c>
      <c r="C1647" s="231">
        <v>95111</v>
      </c>
    </row>
    <row r="1648" spans="2:3">
      <c r="B1648" s="135" t="s">
        <v>129</v>
      </c>
      <c r="C1648" s="231">
        <v>95113</v>
      </c>
    </row>
    <row r="1649" spans="2:3">
      <c r="B1649" s="135" t="s">
        <v>425</v>
      </c>
      <c r="C1649" s="231">
        <v>94021</v>
      </c>
    </row>
    <row r="1650" spans="2:3">
      <c r="B1650" s="135" t="s">
        <v>1744</v>
      </c>
      <c r="C1650" s="231">
        <v>90918</v>
      </c>
    </row>
    <row r="1651" spans="2:3">
      <c r="B1651" s="135" t="s">
        <v>1745</v>
      </c>
      <c r="C1651" s="231">
        <v>93910</v>
      </c>
    </row>
    <row r="1652" spans="2:3">
      <c r="B1652" s="135" t="s">
        <v>1632</v>
      </c>
      <c r="C1652" s="231">
        <v>91013</v>
      </c>
    </row>
    <row r="1653" spans="2:3">
      <c r="B1653" s="135" t="s">
        <v>494</v>
      </c>
      <c r="C1653" s="231">
        <v>96311</v>
      </c>
    </row>
    <row r="1654" spans="2:3">
      <c r="B1654" s="135" t="s">
        <v>387</v>
      </c>
      <c r="C1654" s="231">
        <v>92841</v>
      </c>
    </row>
    <row r="1655" spans="2:3">
      <c r="B1655" s="135" t="s">
        <v>225</v>
      </c>
      <c r="C1655" s="231">
        <v>99609</v>
      </c>
    </row>
    <row r="1656" spans="2:3">
      <c r="B1656" s="135" t="s">
        <v>623</v>
      </c>
      <c r="C1656" s="231">
        <v>91011</v>
      </c>
    </row>
    <row r="1657" spans="2:3">
      <c r="B1657" s="135" t="s">
        <v>1917</v>
      </c>
      <c r="C1657" s="231">
        <v>91017</v>
      </c>
    </row>
    <row r="1658" spans="2:3">
      <c r="B1658" s="135" t="s">
        <v>1746</v>
      </c>
      <c r="C1658" s="231">
        <v>95008</v>
      </c>
    </row>
    <row r="1659" spans="2:3">
      <c r="B1659" s="135" t="s">
        <v>287</v>
      </c>
      <c r="C1659" s="231">
        <v>72657</v>
      </c>
    </row>
    <row r="1660" spans="2:3">
      <c r="B1660" s="135" t="s">
        <v>1880</v>
      </c>
      <c r="C1660" s="231">
        <v>90307</v>
      </c>
    </row>
    <row r="1661" spans="2:3">
      <c r="B1661" s="135" t="s">
        <v>552</v>
      </c>
      <c r="C1661" s="231">
        <v>98031</v>
      </c>
    </row>
    <row r="1662" spans="2:3">
      <c r="B1662" s="135" t="s">
        <v>559</v>
      </c>
      <c r="C1662" s="231">
        <v>98121</v>
      </c>
    </row>
    <row r="1663" spans="2:3">
      <c r="B1663" s="135" t="s">
        <v>501</v>
      </c>
      <c r="C1663" s="231">
        <v>96411</v>
      </c>
    </row>
    <row r="1664" spans="2:3">
      <c r="B1664" s="135" t="s">
        <v>381</v>
      </c>
      <c r="C1664" s="231">
        <v>92661</v>
      </c>
    </row>
    <row r="1665" spans="2:3">
      <c r="B1665" s="135" t="s">
        <v>486</v>
      </c>
      <c r="C1665" s="231">
        <v>96111</v>
      </c>
    </row>
    <row r="1666" spans="2:3">
      <c r="B1666" s="135" t="s">
        <v>1756</v>
      </c>
      <c r="C1666" s="231">
        <v>91032</v>
      </c>
    </row>
    <row r="1667" spans="2:3">
      <c r="B1667" s="135" t="s">
        <v>1757</v>
      </c>
      <c r="C1667" s="231">
        <v>97831</v>
      </c>
    </row>
    <row r="1668" spans="2:3">
      <c r="B1668" s="135" t="s">
        <v>1747</v>
      </c>
      <c r="C1668" s="231">
        <v>97837</v>
      </c>
    </row>
    <row r="1669" spans="2:3">
      <c r="B1669" s="135" t="s">
        <v>483</v>
      </c>
      <c r="C1669" s="231">
        <v>96061</v>
      </c>
    </row>
    <row r="1670" spans="2:3">
      <c r="B1670" s="135" t="s">
        <v>574</v>
      </c>
      <c r="C1670" s="231">
        <v>98481</v>
      </c>
    </row>
    <row r="1671" spans="2:3">
      <c r="B1671" s="135" t="s">
        <v>415</v>
      </c>
      <c r="C1671" s="231">
        <v>93602</v>
      </c>
    </row>
    <row r="1672" spans="2:3">
      <c r="B1672" s="135" t="s">
        <v>203</v>
      </c>
      <c r="C1672" s="231">
        <v>98401</v>
      </c>
    </row>
    <row r="1673" spans="2:3">
      <c r="B1673" s="135" t="s">
        <v>612</v>
      </c>
      <c r="C1673" s="231">
        <v>99821</v>
      </c>
    </row>
    <row r="1674" spans="2:3">
      <c r="B1674" s="135" t="s">
        <v>488</v>
      </c>
      <c r="C1674" s="231">
        <v>96211</v>
      </c>
    </row>
    <row r="1675" spans="2:3">
      <c r="B1675" s="135" t="s">
        <v>646</v>
      </c>
      <c r="C1675" s="231">
        <v>94911</v>
      </c>
    </row>
    <row r="1676" spans="2:3">
      <c r="B1676" s="135" t="s">
        <v>1873</v>
      </c>
      <c r="C1676" s="231">
        <v>94917</v>
      </c>
    </row>
    <row r="1677" spans="2:3">
      <c r="B1677" s="135" t="s">
        <v>377</v>
      </c>
      <c r="C1677" s="231">
        <v>92621</v>
      </c>
    </row>
    <row r="1678" spans="2:3">
      <c r="B1678" s="135" t="s">
        <v>204</v>
      </c>
      <c r="C1678" s="231">
        <v>98501</v>
      </c>
    </row>
    <row r="1679" spans="2:3">
      <c r="B1679" s="135" t="s">
        <v>549</v>
      </c>
      <c r="C1679" s="231">
        <v>97931</v>
      </c>
    </row>
    <row r="1680" spans="2:3">
      <c r="B1680" s="135" t="s">
        <v>422</v>
      </c>
      <c r="C1680" s="231">
        <v>93914</v>
      </c>
    </row>
    <row r="1681" spans="2:3">
      <c r="B1681" s="135" t="s">
        <v>305</v>
      </c>
      <c r="C1681" s="231">
        <v>90651</v>
      </c>
    </row>
    <row r="1682" spans="2:3">
      <c r="B1682" s="135" t="s">
        <v>430</v>
      </c>
      <c r="C1682" s="231">
        <v>94171</v>
      </c>
    </row>
    <row r="1683" spans="2:3">
      <c r="B1683" s="135" t="s">
        <v>108</v>
      </c>
      <c r="C1683" s="231">
        <v>94172</v>
      </c>
    </row>
    <row r="1684" spans="2:3">
      <c r="B1684" s="135" t="s">
        <v>323</v>
      </c>
      <c r="C1684" s="231">
        <v>91041</v>
      </c>
    </row>
    <row r="1685" spans="2:3">
      <c r="B1685" s="135" t="s">
        <v>1881</v>
      </c>
      <c r="C1685" s="231">
        <v>91047</v>
      </c>
    </row>
    <row r="1686" spans="2:3">
      <c r="B1686" s="135" t="s">
        <v>172</v>
      </c>
      <c r="C1686" s="231">
        <v>97131</v>
      </c>
    </row>
    <row r="1687" spans="2:3">
      <c r="B1687" s="135" t="s">
        <v>205</v>
      </c>
      <c r="C1687" s="231">
        <v>98601</v>
      </c>
    </row>
    <row r="1688" spans="2:3">
      <c r="B1688" s="135" t="s">
        <v>207</v>
      </c>
      <c r="C1688" s="231">
        <v>98701</v>
      </c>
    </row>
    <row r="1689" spans="2:3">
      <c r="B1689" s="135" t="s">
        <v>518</v>
      </c>
      <c r="C1689" s="231">
        <v>96721</v>
      </c>
    </row>
    <row r="1690" spans="2:3">
      <c r="B1690" s="135" t="s">
        <v>453</v>
      </c>
      <c r="C1690" s="231">
        <v>95011</v>
      </c>
    </row>
    <row r="1691" spans="2:3">
      <c r="B1691" s="135" t="s">
        <v>371</v>
      </c>
      <c r="C1691" s="231">
        <v>92451</v>
      </c>
    </row>
    <row r="1692" spans="2:3">
      <c r="B1692" s="135" t="s">
        <v>403</v>
      </c>
      <c r="C1692" s="231">
        <v>93311</v>
      </c>
    </row>
    <row r="1693" spans="2:3">
      <c r="B1693" s="135" t="s">
        <v>88</v>
      </c>
      <c r="C1693" s="231">
        <v>93317</v>
      </c>
    </row>
    <row r="1694" spans="2:3">
      <c r="B1694" s="135" t="s">
        <v>292</v>
      </c>
      <c r="C1694" s="231">
        <v>90211</v>
      </c>
    </row>
    <row r="1695" spans="2:3">
      <c r="B1695" s="135" t="s">
        <v>493</v>
      </c>
      <c r="C1695" s="231">
        <v>96302</v>
      </c>
    </row>
    <row r="1696" spans="2:3">
      <c r="B1696" s="135" t="s">
        <v>401</v>
      </c>
      <c r="C1696" s="231">
        <v>93181</v>
      </c>
    </row>
    <row r="1697" spans="2:3">
      <c r="B1697" s="135" t="s">
        <v>634</v>
      </c>
      <c r="C1697" s="231">
        <v>92911</v>
      </c>
    </row>
    <row r="1698" spans="2:3">
      <c r="B1698" s="135" t="s">
        <v>1874</v>
      </c>
      <c r="C1698" s="231">
        <v>92914</v>
      </c>
    </row>
    <row r="1699" spans="2:3">
      <c r="B1699" s="135" t="s">
        <v>80</v>
      </c>
      <c r="C1699" s="231">
        <v>92913</v>
      </c>
    </row>
    <row r="1700" spans="2:3">
      <c r="B1700" s="135" t="s">
        <v>683</v>
      </c>
      <c r="C1700" s="231">
        <v>93471</v>
      </c>
    </row>
    <row r="1701" spans="2:3">
      <c r="B1701" s="135" t="s">
        <v>1748</v>
      </c>
      <c r="C1701" s="231">
        <v>90098</v>
      </c>
    </row>
    <row r="1702" spans="2:3">
      <c r="B1702" s="135" t="s">
        <v>528</v>
      </c>
      <c r="C1702" s="231">
        <v>97121</v>
      </c>
    </row>
    <row r="1703" spans="2:3">
      <c r="B1703" s="135" t="s">
        <v>208</v>
      </c>
      <c r="C1703" s="231">
        <v>98801</v>
      </c>
    </row>
    <row r="1704" spans="2:3">
      <c r="B1704" s="135" t="s">
        <v>372</v>
      </c>
      <c r="C1704" s="231">
        <v>92521</v>
      </c>
    </row>
    <row r="1705" spans="2:3">
      <c r="B1705" s="135" t="s">
        <v>1633</v>
      </c>
      <c r="C1705" s="231">
        <v>93417</v>
      </c>
    </row>
    <row r="1706" spans="2:3">
      <c r="B1706" s="135" t="s">
        <v>86</v>
      </c>
      <c r="C1706" s="231">
        <v>93219</v>
      </c>
    </row>
    <row r="1707" spans="2:3">
      <c r="B1707" s="135" t="s">
        <v>1634</v>
      </c>
      <c r="C1707" s="231">
        <v>92513</v>
      </c>
    </row>
    <row r="1708" spans="2:3">
      <c r="B1708" s="135" t="s">
        <v>661</v>
      </c>
      <c r="C1708" s="231">
        <v>97661</v>
      </c>
    </row>
    <row r="1709" spans="2:3">
      <c r="B1709" s="135" t="s">
        <v>452</v>
      </c>
      <c r="C1709" s="231">
        <v>94931</v>
      </c>
    </row>
    <row r="1710" spans="2:3">
      <c r="B1710" s="135" t="s">
        <v>489</v>
      </c>
      <c r="C1710" s="231">
        <v>96221</v>
      </c>
    </row>
    <row r="1711" spans="2:3">
      <c r="B1711" s="135" t="s">
        <v>536</v>
      </c>
      <c r="C1711" s="231">
        <v>97511</v>
      </c>
    </row>
    <row r="1712" spans="2:3">
      <c r="B1712" s="135" t="s">
        <v>1759</v>
      </c>
      <c r="C1712" s="231">
        <v>95002</v>
      </c>
    </row>
    <row r="1713" spans="2:3">
      <c r="B1713" s="135" t="s">
        <v>566</v>
      </c>
      <c r="C1713" s="231">
        <v>98251</v>
      </c>
    </row>
    <row r="1714" spans="2:3">
      <c r="B1714" s="135" t="s">
        <v>1882</v>
      </c>
      <c r="C1714" s="231">
        <v>98904</v>
      </c>
    </row>
    <row r="1715" spans="2:3">
      <c r="B1715" s="135" t="s">
        <v>209</v>
      </c>
      <c r="C1715" s="231">
        <v>98901</v>
      </c>
    </row>
    <row r="1716" spans="2:3">
      <c r="B1716" s="135" t="s">
        <v>210</v>
      </c>
      <c r="C1716" s="231">
        <v>99001</v>
      </c>
    </row>
    <row r="1717" spans="2:3">
      <c r="B1717" s="135" t="s">
        <v>586</v>
      </c>
      <c r="C1717" s="231">
        <v>99061</v>
      </c>
    </row>
    <row r="1718" spans="2:3">
      <c r="B1718" s="135" t="s">
        <v>1760</v>
      </c>
      <c r="C1718" s="231">
        <v>93309</v>
      </c>
    </row>
    <row r="1719" spans="2:3">
      <c r="B1719" s="135" t="s">
        <v>332</v>
      </c>
      <c r="C1719" s="231">
        <v>91211</v>
      </c>
    </row>
    <row r="1720" spans="2:3">
      <c r="B1720" s="135" t="s">
        <v>51</v>
      </c>
      <c r="C1720" s="231">
        <v>91213</v>
      </c>
    </row>
    <row r="1721" spans="2:3">
      <c r="B1721" s="135" t="s">
        <v>212</v>
      </c>
      <c r="C1721" s="231">
        <v>99101</v>
      </c>
    </row>
    <row r="1722" spans="2:3">
      <c r="B1722" s="135" t="s">
        <v>1883</v>
      </c>
      <c r="C1722" s="231">
        <v>99104</v>
      </c>
    </row>
    <row r="1723" spans="2:3">
      <c r="B1723" s="135" t="s">
        <v>374</v>
      </c>
      <c r="C1723" s="231">
        <v>92551</v>
      </c>
    </row>
    <row r="1724" spans="2:3">
      <c r="B1724" s="135" t="s">
        <v>496</v>
      </c>
      <c r="C1724" s="231">
        <v>96321</v>
      </c>
    </row>
    <row r="1725" spans="2:3">
      <c r="B1725" s="135" t="s">
        <v>1761</v>
      </c>
      <c r="C1725" s="231">
        <v>95009</v>
      </c>
    </row>
    <row r="1726" spans="2:3">
      <c r="B1726" s="135" t="s">
        <v>379</v>
      </c>
      <c r="C1726" s="231">
        <v>92641</v>
      </c>
    </row>
    <row r="1727" spans="2:3">
      <c r="B1727" s="135" t="s">
        <v>293</v>
      </c>
      <c r="C1727" s="231">
        <v>90411</v>
      </c>
    </row>
    <row r="1728" spans="2:3">
      <c r="B1728" s="135" t="s">
        <v>1884</v>
      </c>
      <c r="C1728" s="231">
        <v>90417</v>
      </c>
    </row>
    <row r="1729" spans="2:3">
      <c r="B1729" s="135" t="s">
        <v>32</v>
      </c>
      <c r="C1729" s="231">
        <v>90413</v>
      </c>
    </row>
    <row r="1730" spans="2:3">
      <c r="B1730" s="135" t="s">
        <v>569</v>
      </c>
      <c r="C1730" s="231">
        <v>98321</v>
      </c>
    </row>
    <row r="1731" spans="2:3">
      <c r="B1731" s="135" t="s">
        <v>213</v>
      </c>
      <c r="C1731" s="231">
        <v>99201</v>
      </c>
    </row>
    <row r="1732" spans="2:3">
      <c r="B1732" s="135" t="s">
        <v>1885</v>
      </c>
      <c r="C1732" s="231">
        <v>99204</v>
      </c>
    </row>
    <row r="1733" spans="2:3">
      <c r="B1733" s="135" t="s">
        <v>214</v>
      </c>
      <c r="C1733" s="231">
        <v>99207</v>
      </c>
    </row>
    <row r="1734" spans="2:3">
      <c r="B1734" s="135" t="s">
        <v>597</v>
      </c>
      <c r="C1734" s="231">
        <v>99281</v>
      </c>
    </row>
    <row r="1735" spans="2:3">
      <c r="B1735" s="135" t="s">
        <v>410</v>
      </c>
      <c r="C1735" s="231">
        <v>93461</v>
      </c>
    </row>
    <row r="1736" spans="2:3">
      <c r="B1736" s="135" t="s">
        <v>398</v>
      </c>
      <c r="C1736" s="231">
        <v>93151</v>
      </c>
    </row>
    <row r="1737" spans="2:3">
      <c r="B1737" s="135" t="s">
        <v>1886</v>
      </c>
      <c r="C1737" s="231">
        <v>93157</v>
      </c>
    </row>
    <row r="1738" spans="2:3">
      <c r="B1738" s="135" t="s">
        <v>575</v>
      </c>
      <c r="C1738" s="231">
        <v>98511</v>
      </c>
    </row>
    <row r="1739" spans="2:3">
      <c r="B1739" s="135" t="s">
        <v>1887</v>
      </c>
      <c r="C1739" s="231">
        <v>98517</v>
      </c>
    </row>
    <row r="1740" spans="2:3">
      <c r="B1740" s="135" t="s">
        <v>286</v>
      </c>
      <c r="C1740" s="231">
        <v>99661</v>
      </c>
    </row>
    <row r="1741" spans="2:3">
      <c r="B1741" s="135" t="s">
        <v>426</v>
      </c>
      <c r="C1741" s="231">
        <v>94031</v>
      </c>
    </row>
    <row r="1742" spans="2:3">
      <c r="B1742" s="135" t="s">
        <v>217</v>
      </c>
      <c r="C1742" s="231">
        <v>99301</v>
      </c>
    </row>
    <row r="1743" spans="2:3">
      <c r="B1743" s="135" t="s">
        <v>1888</v>
      </c>
      <c r="C1743" s="231">
        <v>99304</v>
      </c>
    </row>
    <row r="1744" spans="2:3">
      <c r="B1744" s="135" t="s">
        <v>600</v>
      </c>
      <c r="C1744" s="231">
        <v>99321</v>
      </c>
    </row>
    <row r="1745" spans="2:3">
      <c r="B1745" s="135" t="s">
        <v>396</v>
      </c>
      <c r="C1745" s="231">
        <v>93131</v>
      </c>
    </row>
    <row r="1746" spans="2:3">
      <c r="B1746" s="135" t="s">
        <v>1889</v>
      </c>
      <c r="C1746" s="231">
        <v>93137</v>
      </c>
    </row>
    <row r="1747" spans="2:3">
      <c r="B1747" s="135" t="s">
        <v>622</v>
      </c>
      <c r="C1747" s="231">
        <v>90711</v>
      </c>
    </row>
    <row r="1748" spans="2:3">
      <c r="B1748" s="135" t="s">
        <v>218</v>
      </c>
      <c r="C1748" s="231">
        <v>99401</v>
      </c>
    </row>
    <row r="1749" spans="2:3">
      <c r="B1749" s="135" t="s">
        <v>1890</v>
      </c>
      <c r="C1749" s="231">
        <v>99404</v>
      </c>
    </row>
    <row r="1750" spans="2:3">
      <c r="B1750" s="135" t="s">
        <v>308</v>
      </c>
      <c r="C1750" s="231">
        <v>90741</v>
      </c>
    </row>
    <row r="1751" spans="2:3">
      <c r="B1751" s="135" t="s">
        <v>221</v>
      </c>
      <c r="C1751" s="231">
        <v>99501</v>
      </c>
    </row>
    <row r="1752" spans="2:3">
      <c r="B1752" s="135" t="s">
        <v>1762</v>
      </c>
      <c r="C1752" s="231">
        <v>99509</v>
      </c>
    </row>
    <row r="1753" spans="2:3">
      <c r="B1753" s="135" t="s">
        <v>1763</v>
      </c>
      <c r="C1753" s="53">
        <v>91302</v>
      </c>
    </row>
    <row r="1754" spans="2:3">
      <c r="B1754" s="135" t="s">
        <v>584</v>
      </c>
      <c r="C1754" s="231">
        <v>99041</v>
      </c>
    </row>
    <row r="1755" spans="2:3">
      <c r="B1755" s="135" t="s">
        <v>1891</v>
      </c>
      <c r="C1755" s="231">
        <v>99047</v>
      </c>
    </row>
    <row r="1756" spans="2:3">
      <c r="B1756" s="135" t="s">
        <v>224</v>
      </c>
      <c r="C1756" s="231">
        <v>99601</v>
      </c>
    </row>
    <row r="1757" spans="2:3">
      <c r="B1757" s="135" t="s">
        <v>1892</v>
      </c>
      <c r="C1757" s="231">
        <v>99604</v>
      </c>
    </row>
    <row r="1758" spans="2:3">
      <c r="B1758" s="135" t="s">
        <v>441</v>
      </c>
      <c r="C1758" s="231">
        <v>94411</v>
      </c>
    </row>
    <row r="1759" spans="2:3">
      <c r="B1759" s="135" t="s">
        <v>1893</v>
      </c>
      <c r="C1759" s="231">
        <v>94412</v>
      </c>
    </row>
    <row r="1760" spans="2:3">
      <c r="B1760" s="135" t="s">
        <v>328</v>
      </c>
      <c r="C1760" s="231">
        <v>91141</v>
      </c>
    </row>
    <row r="1761" spans="2:3">
      <c r="B1761" s="135" t="s">
        <v>1894</v>
      </c>
      <c r="C1761" s="231">
        <v>91147</v>
      </c>
    </row>
    <row r="1762" spans="2:3">
      <c r="B1762" s="135" t="s">
        <v>587</v>
      </c>
      <c r="C1762" s="231">
        <v>99071</v>
      </c>
    </row>
    <row r="1763" spans="2:3">
      <c r="B1763" s="135" t="s">
        <v>432</v>
      </c>
      <c r="C1763" s="231">
        <v>94231</v>
      </c>
    </row>
    <row r="1764" spans="2:3">
      <c r="B1764" s="135" t="s">
        <v>592</v>
      </c>
      <c r="C1764" s="231">
        <v>99231</v>
      </c>
    </row>
    <row r="1765" spans="2:3">
      <c r="B1765" s="135" t="s">
        <v>285</v>
      </c>
      <c r="C1765" s="231">
        <v>99091</v>
      </c>
    </row>
    <row r="1766" spans="2:3">
      <c r="B1766" s="135" t="s">
        <v>1764</v>
      </c>
      <c r="C1766" s="231">
        <v>91120</v>
      </c>
    </row>
    <row r="1767" spans="2:3">
      <c r="B1767" s="135" t="s">
        <v>1635</v>
      </c>
      <c r="C1767" s="231">
        <v>92444</v>
      </c>
    </row>
    <row r="1768" spans="2:3">
      <c r="B1768" s="135" t="s">
        <v>300</v>
      </c>
      <c r="C1768" s="231">
        <v>90521</v>
      </c>
    </row>
    <row r="1769" spans="2:3">
      <c r="B1769" s="135" t="s">
        <v>1895</v>
      </c>
      <c r="C1769" s="231">
        <v>90507</v>
      </c>
    </row>
    <row r="1770" spans="2:3">
      <c r="B1770" s="135" t="s">
        <v>1765</v>
      </c>
      <c r="C1770" s="231">
        <v>92602</v>
      </c>
    </row>
    <row r="1771" spans="2:3">
      <c r="B1771" s="135" t="s">
        <v>1766</v>
      </c>
      <c r="C1771" s="231">
        <v>91608</v>
      </c>
    </row>
    <row r="1772" spans="2:3">
      <c r="B1772" s="135" t="s">
        <v>678</v>
      </c>
      <c r="C1772" s="231">
        <v>91119</v>
      </c>
    </row>
    <row r="1773" spans="2:3">
      <c r="B1773" s="135" t="s">
        <v>1767</v>
      </c>
      <c r="C1773" s="231">
        <v>91107</v>
      </c>
    </row>
    <row r="1774" spans="2:3">
      <c r="B1774" s="135" t="s">
        <v>1768</v>
      </c>
      <c r="C1774" s="231">
        <v>91818</v>
      </c>
    </row>
    <row r="1775" spans="2:3">
      <c r="B1775" s="135" t="s">
        <v>60</v>
      </c>
      <c r="C1775" s="231">
        <v>91819</v>
      </c>
    </row>
    <row r="1776" spans="2:3">
      <c r="B1776" s="135" t="s">
        <v>282</v>
      </c>
      <c r="C1776" s="231">
        <v>96371</v>
      </c>
    </row>
    <row r="1777" spans="2:3">
      <c r="B1777" s="135" t="s">
        <v>504</v>
      </c>
      <c r="C1777" s="231">
        <v>96441</v>
      </c>
    </row>
    <row r="1778" spans="2:3">
      <c r="B1778" s="135" t="s">
        <v>314</v>
      </c>
      <c r="C1778" s="231">
        <v>90921</v>
      </c>
    </row>
    <row r="1779" spans="2:3">
      <c r="B1779" s="135" t="s">
        <v>631</v>
      </c>
      <c r="C1779" s="231">
        <v>92411</v>
      </c>
    </row>
    <row r="1780" spans="2:3">
      <c r="B1780" s="135" t="s">
        <v>1896</v>
      </c>
      <c r="C1780" s="231">
        <v>92417</v>
      </c>
    </row>
    <row r="1781" spans="2:3">
      <c r="B1781" s="135" t="s">
        <v>69</v>
      </c>
      <c r="C1781" s="231">
        <v>92403</v>
      </c>
    </row>
    <row r="1782" spans="2:3">
      <c r="B1782" s="135" t="s">
        <v>226</v>
      </c>
      <c r="C1782" s="231">
        <v>99701</v>
      </c>
    </row>
    <row r="1783" spans="2:3">
      <c r="B1783" s="135" t="s">
        <v>611</v>
      </c>
      <c r="C1783" s="231">
        <v>99721</v>
      </c>
    </row>
    <row r="1784" spans="2:3">
      <c r="B1784" s="135" t="s">
        <v>1897</v>
      </c>
      <c r="C1784" s="231">
        <v>99727</v>
      </c>
    </row>
    <row r="1785" spans="2:3">
      <c r="B1785" s="135" t="s">
        <v>651</v>
      </c>
      <c r="C1785" s="231">
        <v>95811</v>
      </c>
    </row>
    <row r="1786" spans="2:3">
      <c r="B1786" s="135" t="s">
        <v>142</v>
      </c>
      <c r="C1786" s="231">
        <v>95813</v>
      </c>
    </row>
    <row r="1787" spans="2:3">
      <c r="B1787" s="135" t="s">
        <v>653</v>
      </c>
      <c r="C1787" s="231">
        <v>96531</v>
      </c>
    </row>
    <row r="1788" spans="2:3">
      <c r="B1788" s="135" t="s">
        <v>154</v>
      </c>
      <c r="C1788" s="231">
        <v>96503</v>
      </c>
    </row>
    <row r="1789" spans="2:3">
      <c r="B1789" s="135" t="s">
        <v>676</v>
      </c>
      <c r="C1789" s="231">
        <v>99811</v>
      </c>
    </row>
    <row r="1790" spans="2:3">
      <c r="B1790" s="135" t="s">
        <v>1902</v>
      </c>
      <c r="C1790" s="231">
        <v>99818</v>
      </c>
    </row>
    <row r="1791" spans="2:3">
      <c r="B1791" s="135" t="s">
        <v>228</v>
      </c>
      <c r="C1791" s="231">
        <v>99801</v>
      </c>
    </row>
    <row r="1792" spans="2:3">
      <c r="B1792" s="135" t="s">
        <v>1898</v>
      </c>
      <c r="C1792" s="231">
        <v>99804</v>
      </c>
    </row>
    <row r="1793" spans="2:3">
      <c r="B1793" s="135" t="s">
        <v>1769</v>
      </c>
      <c r="C1793" s="231">
        <v>99802</v>
      </c>
    </row>
    <row r="1794" spans="2:3">
      <c r="B1794" s="135" t="s">
        <v>1770</v>
      </c>
      <c r="C1794" s="231">
        <v>99812</v>
      </c>
    </row>
    <row r="1795" spans="2:3">
      <c r="B1795" s="135" t="s">
        <v>1758</v>
      </c>
      <c r="C1795" s="231">
        <v>95191</v>
      </c>
    </row>
    <row r="1796" spans="2:3">
      <c r="B1796" s="135" t="s">
        <v>311</v>
      </c>
      <c r="C1796" s="231">
        <v>90812</v>
      </c>
    </row>
    <row r="1797" spans="2:3">
      <c r="B1797" s="135" t="s">
        <v>530</v>
      </c>
      <c r="C1797" s="231">
        <v>97221</v>
      </c>
    </row>
    <row r="1798" spans="2:3">
      <c r="B1798" s="135" t="s">
        <v>583</v>
      </c>
      <c r="C1798" s="231">
        <v>99031</v>
      </c>
    </row>
    <row r="1799" spans="2:3">
      <c r="B1799" s="135" t="s">
        <v>637</v>
      </c>
      <c r="C1799" s="231">
        <v>93411</v>
      </c>
    </row>
    <row r="1800" spans="2:3">
      <c r="B1800" s="135" t="s">
        <v>93</v>
      </c>
      <c r="C1800" s="231">
        <v>93413</v>
      </c>
    </row>
    <row r="1801" spans="2:3">
      <c r="B1801" s="135" t="s">
        <v>533</v>
      </c>
      <c r="C1801" s="231">
        <v>97451</v>
      </c>
    </row>
    <row r="1802" spans="2:3">
      <c r="B1802" s="135" t="s">
        <v>449</v>
      </c>
      <c r="C1802" s="231">
        <v>94631</v>
      </c>
    </row>
    <row r="1803" spans="2:3">
      <c r="B1803" s="135" t="s">
        <v>331</v>
      </c>
      <c r="C1803" s="231">
        <v>91171</v>
      </c>
    </row>
    <row r="1804" spans="2:3">
      <c r="B1804" s="135" t="s">
        <v>46</v>
      </c>
      <c r="C1804" s="231">
        <v>91104</v>
      </c>
    </row>
    <row r="1805" spans="2:3">
      <c r="B1805" s="135" t="s">
        <v>1771</v>
      </c>
      <c r="C1805" s="231">
        <v>91109</v>
      </c>
    </row>
    <row r="1806" spans="2:3">
      <c r="B1806" s="135" t="s">
        <v>511</v>
      </c>
      <c r="C1806" s="231">
        <v>96621</v>
      </c>
    </row>
    <row r="1807" spans="2:3">
      <c r="B1807" s="135" t="s">
        <v>507</v>
      </c>
      <c r="C1807" s="231">
        <v>96511</v>
      </c>
    </row>
    <row r="1808" spans="2:3">
      <c r="B1808" s="135" t="s">
        <v>229</v>
      </c>
      <c r="C1808" s="231">
        <v>99901</v>
      </c>
    </row>
    <row r="1809" spans="2:3">
      <c r="B1809" s="135" t="s">
        <v>1636</v>
      </c>
      <c r="C1809" s="231">
        <v>98604</v>
      </c>
    </row>
    <row r="1810" spans="2:3">
      <c r="B1810" s="135" t="s">
        <v>206</v>
      </c>
      <c r="C1810" s="231">
        <v>98608</v>
      </c>
    </row>
    <row r="1811" spans="2:3">
      <c r="B1811" s="135" t="s">
        <v>616</v>
      </c>
      <c r="C1811" s="231">
        <v>99911</v>
      </c>
    </row>
    <row r="1812" spans="2:3">
      <c r="B1812" s="135" t="s">
        <v>26</v>
      </c>
      <c r="C1812" s="231">
        <v>90001</v>
      </c>
    </row>
    <row r="1813" spans="2:3">
      <c r="B1813" s="135" t="s">
        <v>1772</v>
      </c>
      <c r="C1813" s="231">
        <v>90002</v>
      </c>
    </row>
    <row r="1814" spans="2:3">
      <c r="B1814" s="135" t="s">
        <v>353</v>
      </c>
      <c r="C1814" s="231">
        <v>91719</v>
      </c>
    </row>
    <row r="1815" spans="2:3">
      <c r="B1815" s="135" t="s">
        <v>414</v>
      </c>
      <c r="C1815" s="231">
        <v>93541</v>
      </c>
    </row>
    <row r="1816" spans="2:3">
      <c r="B1816" s="135" t="s">
        <v>593</v>
      </c>
      <c r="C1816" s="231">
        <v>99241</v>
      </c>
    </row>
  </sheetData>
  <sheetProtection password="CEAA" sheet="1" objects="1" scenarios="1"/>
  <pageMargins left="0" right="0" top="0.75" bottom="0.75" header="0.3" footer="0.3"/>
  <pageSetup scale="46"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B5E9B-6A0F-46FD-B5B4-0CD177A65ACB}">
  <sheetPr>
    <pageSetUpPr fitToPage="1"/>
  </sheetPr>
  <dimension ref="A1:V1811"/>
  <sheetViews>
    <sheetView zoomScaleNormal="100" workbookViewId="0">
      <pane ySplit="7" topLeftCell="A8" activePane="bottomLeft" state="frozen"/>
      <selection activeCell="B12" sqref="B12"/>
      <selection pane="bottomLeft" activeCell="B12" sqref="B12"/>
    </sheetView>
  </sheetViews>
  <sheetFormatPr defaultRowHeight="15"/>
  <cols>
    <col min="1" max="1" width="15.28515625" style="214" customWidth="1"/>
    <col min="2" max="2" width="39.5703125" style="214" customWidth="1"/>
    <col min="3" max="5" width="13.85546875" style="214" customWidth="1"/>
    <col min="6" max="6" width="13.42578125" style="214" customWidth="1"/>
    <col min="7" max="7" width="18.28515625" style="214" customWidth="1"/>
    <col min="8" max="8" width="1.5703125" style="214" customWidth="1"/>
    <col min="9" max="9" width="18.28515625" style="214" customWidth="1"/>
    <col min="10" max="10" width="20" style="214" customWidth="1"/>
    <col min="11" max="11" width="14.42578125" style="214" customWidth="1"/>
    <col min="12" max="12" width="19.42578125" style="214" customWidth="1"/>
    <col min="13" max="13" width="3" style="214" customWidth="1"/>
    <col min="14" max="14" width="18.28515625" style="214" customWidth="1"/>
    <col min="15" max="15" width="20" style="214" customWidth="1"/>
    <col min="16" max="16" width="9.140625" style="214" customWidth="1"/>
    <col min="17" max="17" width="19.42578125" style="214" customWidth="1"/>
    <col min="18" max="18" width="14" style="214" customWidth="1"/>
    <col min="19" max="19" width="2.42578125" style="214" customWidth="1"/>
    <col min="20" max="20" width="13.85546875" style="214" customWidth="1"/>
    <col min="21" max="21" width="22.42578125" style="214" customWidth="1"/>
    <col min="22" max="22" width="14.28515625" style="214" customWidth="1"/>
    <col min="23" max="16384" width="9.140625" style="214"/>
  </cols>
  <sheetData>
    <row r="1" spans="1:22">
      <c r="A1" s="214" t="s">
        <v>2816</v>
      </c>
    </row>
    <row r="2" spans="1:22">
      <c r="A2" s="214" t="s">
        <v>2817</v>
      </c>
    </row>
    <row r="3" spans="1:22">
      <c r="B3" s="56" t="s">
        <v>2824</v>
      </c>
      <c r="C3" s="263">
        <f>SUM(C9:C907)</f>
        <v>1</v>
      </c>
      <c r="D3" s="263">
        <f>SUM(D9:D907)</f>
        <v>1</v>
      </c>
      <c r="E3" s="250">
        <f>SUM(E9:E907)</f>
        <v>411243352.90999979</v>
      </c>
      <c r="F3" s="250">
        <f>SUM(F9:F907)</f>
        <v>448793978.815</v>
      </c>
      <c r="G3" s="250">
        <f>SUM(G9:G907)</f>
        <v>2122335001.9649999</v>
      </c>
      <c r="H3" s="250"/>
      <c r="I3" s="250">
        <f>SUM(I9:I907)</f>
        <v>39875005.324999996</v>
      </c>
      <c r="J3" s="250">
        <f>SUM(J9:J907)</f>
        <v>1859842000.4500003</v>
      </c>
      <c r="K3" s="250">
        <f>SUM(K9:K907)</f>
        <v>145360990.26999998</v>
      </c>
      <c r="L3" s="250">
        <f>SUM(L9:L907)</f>
        <v>47059866.95000001</v>
      </c>
      <c r="M3" s="250"/>
      <c r="N3" s="250">
        <f>SUM(N9:N907)</f>
        <v>74369002.819999993</v>
      </c>
      <c r="O3" s="250">
        <f>SUM(O9:O907)</f>
        <v>686457998.14499998</v>
      </c>
      <c r="P3" s="250">
        <f>SUM(P9:P907)</f>
        <v>0</v>
      </c>
      <c r="Q3" s="250">
        <f>SUM(Q9:Q907)</f>
        <v>47059539.410000004</v>
      </c>
      <c r="R3" s="250"/>
      <c r="S3" s="250"/>
      <c r="T3" s="250">
        <f>SUM(T9:T907)</f>
        <v>567268992.93000007</v>
      </c>
      <c r="U3" s="250">
        <f>SUM(U9:U907)</f>
        <v>95</v>
      </c>
      <c r="V3" s="250">
        <f>SUM(V9:V907)</f>
        <v>567269105</v>
      </c>
    </row>
    <row r="4" spans="1:22">
      <c r="C4" s="263">
        <v>1</v>
      </c>
      <c r="D4" s="263">
        <v>1</v>
      </c>
      <c r="E4" s="250">
        <v>411243352.90999979</v>
      </c>
      <c r="F4" s="250">
        <v>448793978.815</v>
      </c>
      <c r="G4" s="250">
        <v>2122335001.9649999</v>
      </c>
      <c r="H4" s="250"/>
      <c r="I4" s="250">
        <v>39875005.324999996</v>
      </c>
      <c r="J4" s="250">
        <v>1859842000.4500003</v>
      </c>
      <c r="K4" s="250">
        <v>145360990.26999998</v>
      </c>
      <c r="L4" s="250">
        <v>47059866.95000001</v>
      </c>
      <c r="M4" s="250"/>
      <c r="N4" s="250">
        <v>74369002.819999993</v>
      </c>
      <c r="O4" s="250">
        <v>686457998.14499998</v>
      </c>
      <c r="P4" s="250">
        <v>0</v>
      </c>
      <c r="Q4" s="250">
        <v>47059539.410000004</v>
      </c>
      <c r="R4" s="250"/>
      <c r="S4" s="250"/>
      <c r="T4" s="250">
        <v>567268992.93000007</v>
      </c>
      <c r="U4" s="250">
        <v>95</v>
      </c>
      <c r="V4" s="250">
        <v>567269105</v>
      </c>
    </row>
    <row r="6" spans="1:22">
      <c r="A6" s="49" t="s">
        <v>2818</v>
      </c>
      <c r="I6" s="259" t="s">
        <v>2</v>
      </c>
      <c r="J6" s="259"/>
      <c r="K6" s="259"/>
      <c r="L6" s="259"/>
      <c r="N6" s="259" t="s">
        <v>3</v>
      </c>
      <c r="O6" s="259"/>
      <c r="P6" s="259"/>
      <c r="Q6" s="259"/>
      <c r="T6" s="259" t="s">
        <v>4</v>
      </c>
      <c r="U6" s="259"/>
      <c r="V6" s="259"/>
    </row>
    <row r="7" spans="1:22" ht="165">
      <c r="A7" s="8" t="s">
        <v>2819</v>
      </c>
      <c r="B7" s="8" t="s">
        <v>1</v>
      </c>
      <c r="C7" s="8" t="s">
        <v>263</v>
      </c>
      <c r="D7" s="8" t="s">
        <v>264</v>
      </c>
      <c r="E7" s="8" t="s">
        <v>2820</v>
      </c>
      <c r="F7" s="8" t="s">
        <v>2821</v>
      </c>
      <c r="G7" s="8" t="s">
        <v>2822</v>
      </c>
      <c r="H7" s="8"/>
      <c r="I7" s="8" t="s">
        <v>5</v>
      </c>
      <c r="J7" s="8" t="s">
        <v>6</v>
      </c>
      <c r="K7" s="8" t="s">
        <v>7</v>
      </c>
      <c r="L7" s="8" t="s">
        <v>8</v>
      </c>
      <c r="M7" s="8"/>
      <c r="N7" s="8" t="s">
        <v>5</v>
      </c>
      <c r="O7" s="8" t="s">
        <v>6</v>
      </c>
      <c r="P7" s="8" t="s">
        <v>7</v>
      </c>
      <c r="Q7" s="8" t="s">
        <v>8</v>
      </c>
      <c r="R7" s="8" t="s">
        <v>2823</v>
      </c>
      <c r="S7" s="8"/>
      <c r="T7" s="8" t="s">
        <v>9</v>
      </c>
      <c r="U7" s="8" t="s">
        <v>10</v>
      </c>
      <c r="V7" s="8" t="s">
        <v>11</v>
      </c>
    </row>
    <row r="8" spans="1:22">
      <c r="A8" s="8" t="s">
        <v>692</v>
      </c>
      <c r="B8" s="64" t="s">
        <v>691</v>
      </c>
      <c r="C8" s="237"/>
      <c r="D8" s="237"/>
      <c r="E8" s="237"/>
      <c r="F8" s="237"/>
      <c r="G8" s="237"/>
      <c r="H8" s="8"/>
      <c r="I8" s="237"/>
      <c r="J8" s="237"/>
      <c r="K8" s="237"/>
      <c r="L8" s="237"/>
      <c r="M8" s="260"/>
      <c r="N8" s="237"/>
      <c r="O8" s="237"/>
      <c r="P8" s="237"/>
      <c r="Q8" s="237"/>
      <c r="R8" s="237">
        <f>IF(J8&gt;O8,J8-O8,O8-J8)</f>
        <v>0</v>
      </c>
      <c r="S8" s="237"/>
      <c r="T8" s="237"/>
      <c r="U8" s="237"/>
      <c r="V8" s="237"/>
    </row>
    <row r="9" spans="1:22">
      <c r="A9" s="231">
        <v>70505</v>
      </c>
      <c r="B9" s="232" t="s">
        <v>727</v>
      </c>
      <c r="C9" s="92">
        <v>4.6880000000000001E-4</v>
      </c>
      <c r="D9" s="92">
        <v>5.0319999999999998E-4</v>
      </c>
      <c r="E9" s="236">
        <v>186822.36000000002</v>
      </c>
      <c r="F9" s="236">
        <v>225833</v>
      </c>
      <c r="G9" s="236">
        <v>994951</v>
      </c>
      <c r="H9" s="236"/>
      <c r="I9" s="237">
        <v>18693</v>
      </c>
      <c r="J9" s="237">
        <v>871894</v>
      </c>
      <c r="K9" s="237">
        <v>68145</v>
      </c>
      <c r="L9" s="236">
        <v>0</v>
      </c>
      <c r="M9" s="236"/>
      <c r="N9" s="237">
        <v>34864</v>
      </c>
      <c r="O9" s="237">
        <v>321812</v>
      </c>
      <c r="P9" s="237">
        <v>0</v>
      </c>
      <c r="Q9" s="236">
        <v>31773</v>
      </c>
      <c r="R9" s="237">
        <f t="shared" ref="R9:R72" si="0">IF(J9&gt;O9,J9-O9,O9-J9)</f>
        <v>550082</v>
      </c>
      <c r="S9" s="236"/>
      <c r="T9" s="237">
        <v>265936</v>
      </c>
      <c r="U9" s="238">
        <v>-10267</v>
      </c>
      <c r="V9" s="238">
        <v>255668</v>
      </c>
    </row>
    <row r="10" spans="1:22">
      <c r="A10" s="231">
        <v>98414</v>
      </c>
      <c r="B10" s="232" t="s">
        <v>1491</v>
      </c>
      <c r="C10" s="92">
        <v>4.3600000000000003E-5</v>
      </c>
      <c r="D10" s="92">
        <v>4.3699999999999998E-5</v>
      </c>
      <c r="E10" s="236">
        <v>14646.29</v>
      </c>
      <c r="F10" s="236">
        <v>19612</v>
      </c>
      <c r="G10" s="236">
        <v>92534</v>
      </c>
      <c r="H10" s="236"/>
      <c r="I10" s="237">
        <v>1739</v>
      </c>
      <c r="J10" s="237">
        <v>81089</v>
      </c>
      <c r="K10" s="237">
        <v>6338</v>
      </c>
      <c r="L10" s="236">
        <v>0</v>
      </c>
      <c r="M10" s="236"/>
      <c r="N10" s="237">
        <v>3242</v>
      </c>
      <c r="O10" s="237">
        <v>29930</v>
      </c>
      <c r="P10" s="237">
        <v>0</v>
      </c>
      <c r="Q10" s="236">
        <v>6350</v>
      </c>
      <c r="R10" s="237">
        <f t="shared" si="0"/>
        <v>51159</v>
      </c>
      <c r="S10" s="236"/>
      <c r="T10" s="237">
        <v>24733</v>
      </c>
      <c r="U10" s="238">
        <v>-2337</v>
      </c>
      <c r="V10" s="238">
        <v>22396</v>
      </c>
    </row>
    <row r="11" spans="1:22">
      <c r="A11" s="231">
        <v>72265</v>
      </c>
      <c r="B11" s="232" t="s">
        <v>728</v>
      </c>
      <c r="C11" s="92">
        <v>1.327E-4</v>
      </c>
      <c r="D11" s="92">
        <v>1.3329999999999999E-4</v>
      </c>
      <c r="E11" s="236">
        <v>48904.860000000008</v>
      </c>
      <c r="F11" s="236">
        <v>59824</v>
      </c>
      <c r="G11" s="236">
        <v>281634</v>
      </c>
      <c r="H11" s="236"/>
      <c r="I11" s="237">
        <v>5291</v>
      </c>
      <c r="J11" s="237">
        <v>246801</v>
      </c>
      <c r="K11" s="237">
        <v>19289</v>
      </c>
      <c r="L11" s="236">
        <v>7214</v>
      </c>
      <c r="M11" s="236"/>
      <c r="N11" s="237">
        <v>9869</v>
      </c>
      <c r="O11" s="237">
        <v>91093</v>
      </c>
      <c r="P11" s="237">
        <v>0</v>
      </c>
      <c r="Q11" s="236">
        <v>5063</v>
      </c>
      <c r="R11" s="237">
        <f t="shared" si="0"/>
        <v>155708</v>
      </c>
      <c r="S11" s="236"/>
      <c r="T11" s="237">
        <v>75277</v>
      </c>
      <c r="U11" s="238">
        <v>2291</v>
      </c>
      <c r="V11" s="238">
        <v>77567</v>
      </c>
    </row>
    <row r="12" spans="1:22">
      <c r="A12" s="231">
        <v>72657</v>
      </c>
      <c r="B12" s="232" t="s">
        <v>730</v>
      </c>
      <c r="C12" s="92">
        <v>4.2799999999999997E-5</v>
      </c>
      <c r="D12" s="92">
        <v>4.0800000000000002E-5</v>
      </c>
      <c r="E12" s="236">
        <v>15356.17</v>
      </c>
      <c r="F12" s="236">
        <v>18311</v>
      </c>
      <c r="G12" s="236">
        <v>90836</v>
      </c>
      <c r="H12" s="236"/>
      <c r="I12" s="237">
        <v>1707</v>
      </c>
      <c r="J12" s="237">
        <v>79601</v>
      </c>
      <c r="K12" s="237">
        <v>6221</v>
      </c>
      <c r="L12" s="236">
        <v>6577</v>
      </c>
      <c r="M12" s="236"/>
      <c r="N12" s="237">
        <v>3183</v>
      </c>
      <c r="O12" s="237">
        <v>29380</v>
      </c>
      <c r="P12" s="237">
        <v>0</v>
      </c>
      <c r="Q12" s="236">
        <v>4643</v>
      </c>
      <c r="R12" s="237">
        <f t="shared" si="0"/>
        <v>50221</v>
      </c>
      <c r="S12" s="236"/>
      <c r="T12" s="237">
        <v>24279</v>
      </c>
      <c r="U12" s="238">
        <v>1725</v>
      </c>
      <c r="V12" s="238">
        <v>26005</v>
      </c>
    </row>
    <row r="13" spans="1:22">
      <c r="A13" s="231">
        <v>90001</v>
      </c>
      <c r="B13" s="232" t="s">
        <v>731</v>
      </c>
      <c r="C13" s="92">
        <v>8.6910000000000004E-4</v>
      </c>
      <c r="D13" s="92">
        <v>8.2339999999999996E-4</v>
      </c>
      <c r="E13" s="236">
        <v>342847.56999999995</v>
      </c>
      <c r="F13" s="236">
        <v>369537</v>
      </c>
      <c r="G13" s="236">
        <v>1844521</v>
      </c>
      <c r="H13" s="236"/>
      <c r="I13" s="237">
        <v>34655</v>
      </c>
      <c r="J13" s="237">
        <v>1616389</v>
      </c>
      <c r="K13" s="237">
        <v>126333</v>
      </c>
      <c r="L13" s="236">
        <v>17611</v>
      </c>
      <c r="M13" s="236"/>
      <c r="N13" s="237">
        <v>64634</v>
      </c>
      <c r="O13" s="237">
        <v>596601</v>
      </c>
      <c r="P13" s="237">
        <v>0</v>
      </c>
      <c r="Q13" s="236">
        <v>4549</v>
      </c>
      <c r="R13" s="237">
        <f t="shared" si="0"/>
        <v>1019788</v>
      </c>
      <c r="S13" s="236"/>
      <c r="T13" s="237">
        <v>493013</v>
      </c>
      <c r="U13" s="238">
        <v>4026</v>
      </c>
      <c r="V13" s="238">
        <v>497039</v>
      </c>
    </row>
    <row r="14" spans="1:22">
      <c r="A14" s="231">
        <v>90002</v>
      </c>
      <c r="B14" s="232" t="s">
        <v>732</v>
      </c>
      <c r="C14" s="92">
        <v>1.15E-5</v>
      </c>
      <c r="D14" s="92">
        <v>1.15E-5</v>
      </c>
      <c r="E14" s="236">
        <v>5944.7300000000005</v>
      </c>
      <c r="F14" s="236">
        <v>5161</v>
      </c>
      <c r="G14" s="236">
        <v>24407</v>
      </c>
      <c r="H14" s="236"/>
      <c r="I14" s="237">
        <v>458.5625</v>
      </c>
      <c r="J14" s="237">
        <v>21388</v>
      </c>
      <c r="K14" s="237">
        <v>1672</v>
      </c>
      <c r="L14" s="236">
        <v>1428</v>
      </c>
      <c r="M14" s="236"/>
      <c r="N14" s="237">
        <v>855</v>
      </c>
      <c r="O14" s="237">
        <v>7894</v>
      </c>
      <c r="P14" s="237">
        <v>0</v>
      </c>
      <c r="Q14" s="236">
        <v>0</v>
      </c>
      <c r="R14" s="237">
        <f t="shared" si="0"/>
        <v>13494</v>
      </c>
      <c r="S14" s="236"/>
      <c r="T14" s="237">
        <v>6524</v>
      </c>
      <c r="U14" s="238">
        <v>436</v>
      </c>
      <c r="V14" s="238">
        <v>6960</v>
      </c>
    </row>
    <row r="15" spans="1:22">
      <c r="A15" s="231">
        <v>90011</v>
      </c>
      <c r="B15" s="232" t="s">
        <v>733</v>
      </c>
      <c r="C15" s="92">
        <v>2.0819999999999999E-4</v>
      </c>
      <c r="D15" s="92">
        <v>2.2800000000000001E-4</v>
      </c>
      <c r="E15" s="236">
        <v>74533.509999999995</v>
      </c>
      <c r="F15" s="236">
        <v>102325</v>
      </c>
      <c r="G15" s="236">
        <v>441870</v>
      </c>
      <c r="H15" s="236"/>
      <c r="I15" s="237">
        <v>8302</v>
      </c>
      <c r="J15" s="237">
        <v>387219</v>
      </c>
      <c r="K15" s="237">
        <v>30264</v>
      </c>
      <c r="L15" s="236">
        <v>4623</v>
      </c>
      <c r="M15" s="236"/>
      <c r="N15" s="237">
        <v>15484</v>
      </c>
      <c r="O15" s="237">
        <v>142921</v>
      </c>
      <c r="P15" s="237">
        <v>0</v>
      </c>
      <c r="Q15" s="236">
        <v>24562</v>
      </c>
      <c r="R15" s="237">
        <f t="shared" si="0"/>
        <v>244298</v>
      </c>
      <c r="S15" s="236"/>
      <c r="T15" s="237">
        <v>118105</v>
      </c>
      <c r="U15" s="238">
        <v>-4521</v>
      </c>
      <c r="V15" s="238">
        <v>113585</v>
      </c>
    </row>
    <row r="16" spans="1:22">
      <c r="A16" s="231">
        <v>90092</v>
      </c>
      <c r="B16" s="232" t="s">
        <v>734</v>
      </c>
      <c r="C16" s="92">
        <v>3.946E-4</v>
      </c>
      <c r="D16" s="92">
        <v>4.8670000000000001E-4</v>
      </c>
      <c r="E16" s="236">
        <v>169426.22</v>
      </c>
      <c r="F16" s="236">
        <v>218428</v>
      </c>
      <c r="G16" s="236">
        <v>837473</v>
      </c>
      <c r="H16" s="236"/>
      <c r="I16" s="237">
        <v>15735</v>
      </c>
      <c r="J16" s="237">
        <v>733894</v>
      </c>
      <c r="K16" s="237">
        <v>57359</v>
      </c>
      <c r="L16" s="236">
        <v>0</v>
      </c>
      <c r="M16" s="236"/>
      <c r="N16" s="237">
        <v>29346</v>
      </c>
      <c r="O16" s="237">
        <v>270876</v>
      </c>
      <c r="P16" s="237">
        <v>0</v>
      </c>
      <c r="Q16" s="236">
        <v>115870</v>
      </c>
      <c r="R16" s="237">
        <f t="shared" si="0"/>
        <v>463018</v>
      </c>
      <c r="S16" s="236"/>
      <c r="T16" s="237">
        <v>223844</v>
      </c>
      <c r="U16" s="238">
        <v>-40775</v>
      </c>
      <c r="V16" s="238">
        <v>183070</v>
      </c>
    </row>
    <row r="17" spans="1:22">
      <c r="A17" s="231">
        <v>90096</v>
      </c>
      <c r="B17" s="232" t="s">
        <v>735</v>
      </c>
      <c r="C17" s="92">
        <v>1.3860999999999999E-3</v>
      </c>
      <c r="D17" s="92">
        <v>1.4866E-3</v>
      </c>
      <c r="E17" s="236">
        <v>582268.12000000011</v>
      </c>
      <c r="F17" s="236">
        <v>667177</v>
      </c>
      <c r="G17" s="236">
        <v>2941769</v>
      </c>
      <c r="H17" s="236"/>
      <c r="I17" s="237">
        <v>55271</v>
      </c>
      <c r="J17" s="237">
        <v>2577927</v>
      </c>
      <c r="K17" s="237">
        <v>201485</v>
      </c>
      <c r="L17" s="236">
        <v>79002</v>
      </c>
      <c r="M17" s="236"/>
      <c r="N17" s="237">
        <v>103083</v>
      </c>
      <c r="O17" s="237">
        <v>951499</v>
      </c>
      <c r="P17" s="237">
        <v>0</v>
      </c>
      <c r="Q17" s="236">
        <v>44718</v>
      </c>
      <c r="R17" s="237">
        <f t="shared" si="0"/>
        <v>1626428</v>
      </c>
      <c r="S17" s="236"/>
      <c r="T17" s="237">
        <v>786292</v>
      </c>
      <c r="U17" s="238">
        <v>23820</v>
      </c>
      <c r="V17" s="238">
        <v>810111</v>
      </c>
    </row>
    <row r="18" spans="1:22">
      <c r="A18" s="231">
        <v>90098</v>
      </c>
      <c r="B18" s="232" t="s">
        <v>736</v>
      </c>
      <c r="C18" s="92">
        <v>2.9280000000000002E-4</v>
      </c>
      <c r="D18" s="92">
        <v>5.0869999999999995E-4</v>
      </c>
      <c r="E18" s="236">
        <v>129330.10999999997</v>
      </c>
      <c r="F18" s="236">
        <v>228302</v>
      </c>
      <c r="G18" s="236">
        <v>621420</v>
      </c>
      <c r="H18" s="236"/>
      <c r="I18" s="237">
        <v>11675</v>
      </c>
      <c r="J18" s="237">
        <v>544562</v>
      </c>
      <c r="K18" s="237">
        <v>42562</v>
      </c>
      <c r="L18" s="236">
        <v>0</v>
      </c>
      <c r="M18" s="236"/>
      <c r="N18" s="237">
        <v>21775</v>
      </c>
      <c r="O18" s="237">
        <v>200995</v>
      </c>
      <c r="P18" s="237">
        <v>0</v>
      </c>
      <c r="Q18" s="236">
        <v>163662</v>
      </c>
      <c r="R18" s="237">
        <f t="shared" si="0"/>
        <v>343567</v>
      </c>
      <c r="S18" s="236"/>
      <c r="T18" s="237">
        <v>166096</v>
      </c>
      <c r="U18" s="238">
        <v>-52769</v>
      </c>
      <c r="V18" s="238">
        <v>113327</v>
      </c>
    </row>
    <row r="19" spans="1:22">
      <c r="A19" s="231">
        <v>90099</v>
      </c>
      <c r="B19" s="232" t="s">
        <v>737</v>
      </c>
      <c r="C19" s="92">
        <v>4.9330000000000001E-4</v>
      </c>
      <c r="D19" s="92">
        <v>5.9599999999999996E-4</v>
      </c>
      <c r="E19" s="236">
        <v>207476.25</v>
      </c>
      <c r="F19" s="236">
        <v>267481</v>
      </c>
      <c r="G19" s="236">
        <v>1046948</v>
      </c>
      <c r="H19" s="236"/>
      <c r="I19" s="237">
        <v>19670</v>
      </c>
      <c r="J19" s="237">
        <v>917460</v>
      </c>
      <c r="K19" s="237">
        <v>71707</v>
      </c>
      <c r="L19" s="236">
        <v>4838</v>
      </c>
      <c r="M19" s="236"/>
      <c r="N19" s="237">
        <v>36686</v>
      </c>
      <c r="O19" s="237">
        <v>338630</v>
      </c>
      <c r="P19" s="237">
        <v>0</v>
      </c>
      <c r="Q19" s="236">
        <v>60491</v>
      </c>
      <c r="R19" s="237">
        <f t="shared" si="0"/>
        <v>578830</v>
      </c>
      <c r="S19" s="236"/>
      <c r="T19" s="237">
        <v>279834</v>
      </c>
      <c r="U19" s="238">
        <v>-14054</v>
      </c>
      <c r="V19" s="238">
        <v>265780</v>
      </c>
    </row>
    <row r="20" spans="1:22">
      <c r="A20" s="231">
        <v>90101</v>
      </c>
      <c r="B20" s="232" t="s">
        <v>738</v>
      </c>
      <c r="C20" s="92">
        <v>6.3996000000000001E-3</v>
      </c>
      <c r="D20" s="92">
        <v>6.1599000000000003E-3</v>
      </c>
      <c r="E20" s="236">
        <v>2594375.06</v>
      </c>
      <c r="F20" s="236">
        <v>2764526</v>
      </c>
      <c r="G20" s="236">
        <v>13582095</v>
      </c>
      <c r="H20" s="236"/>
      <c r="I20" s="237">
        <v>255184</v>
      </c>
      <c r="J20" s="237">
        <v>11902245</v>
      </c>
      <c r="K20" s="237">
        <v>930252</v>
      </c>
      <c r="L20" s="236">
        <v>229062</v>
      </c>
      <c r="M20" s="236"/>
      <c r="N20" s="237">
        <v>475932</v>
      </c>
      <c r="O20" s="237">
        <v>4393057</v>
      </c>
      <c r="P20" s="237">
        <v>0</v>
      </c>
      <c r="Q20" s="236">
        <v>51491</v>
      </c>
      <c r="R20" s="237">
        <f t="shared" si="0"/>
        <v>7509188</v>
      </c>
      <c r="S20" s="236"/>
      <c r="T20" s="237">
        <v>3630295</v>
      </c>
      <c r="U20" s="238">
        <v>45786</v>
      </c>
      <c r="V20" s="238">
        <v>3676081</v>
      </c>
    </row>
    <row r="21" spans="1:22">
      <c r="A21" s="231">
        <v>90111</v>
      </c>
      <c r="B21" s="232" t="s">
        <v>739</v>
      </c>
      <c r="C21" s="92">
        <v>4.8874000000000001E-3</v>
      </c>
      <c r="D21" s="92">
        <v>4.9893000000000003E-3</v>
      </c>
      <c r="E21" s="236">
        <v>1973481.4</v>
      </c>
      <c r="F21" s="236">
        <v>2239168</v>
      </c>
      <c r="G21" s="236">
        <v>10372700</v>
      </c>
      <c r="H21" s="236"/>
      <c r="I21" s="237">
        <v>194885</v>
      </c>
      <c r="J21" s="237">
        <v>9089792</v>
      </c>
      <c r="K21" s="237">
        <v>710437</v>
      </c>
      <c r="L21" s="236">
        <v>0</v>
      </c>
      <c r="M21" s="236"/>
      <c r="N21" s="237">
        <v>363471</v>
      </c>
      <c r="O21" s="237">
        <v>3354995</v>
      </c>
      <c r="P21" s="237">
        <v>0</v>
      </c>
      <c r="Q21" s="236">
        <v>163983</v>
      </c>
      <c r="R21" s="237">
        <f t="shared" si="0"/>
        <v>5734797</v>
      </c>
      <c r="S21" s="236"/>
      <c r="T21" s="237">
        <v>2772471</v>
      </c>
      <c r="U21" s="238">
        <v>-57381</v>
      </c>
      <c r="V21" s="238">
        <v>2715090</v>
      </c>
    </row>
    <row r="22" spans="1:22">
      <c r="A22" s="231">
        <v>90114</v>
      </c>
      <c r="B22" s="232" t="s">
        <v>740</v>
      </c>
      <c r="C22" s="92">
        <v>1.0681E-3</v>
      </c>
      <c r="D22" s="92">
        <v>1.0043000000000001E-3</v>
      </c>
      <c r="E22" s="236">
        <v>1022991.7599999999</v>
      </c>
      <c r="F22" s="236">
        <v>450724</v>
      </c>
      <c r="G22" s="236">
        <v>2266866</v>
      </c>
      <c r="H22" s="236"/>
      <c r="I22" s="237">
        <v>42590</v>
      </c>
      <c r="J22" s="237">
        <v>1986497</v>
      </c>
      <c r="K22" s="237">
        <v>155260</v>
      </c>
      <c r="L22" s="236">
        <v>821100</v>
      </c>
      <c r="M22" s="236"/>
      <c r="N22" s="237">
        <v>79434</v>
      </c>
      <c r="O22" s="237">
        <v>733206</v>
      </c>
      <c r="P22" s="237">
        <v>0</v>
      </c>
      <c r="Q22" s="236">
        <v>0</v>
      </c>
      <c r="R22" s="237">
        <f t="shared" si="0"/>
        <v>1253291</v>
      </c>
      <c r="S22" s="236"/>
      <c r="T22" s="237">
        <v>605900</v>
      </c>
      <c r="U22" s="238">
        <v>245765</v>
      </c>
      <c r="V22" s="238">
        <v>851665</v>
      </c>
    </row>
    <row r="23" spans="1:22">
      <c r="A23" s="231">
        <v>90117</v>
      </c>
      <c r="B23" s="232" t="s">
        <v>741</v>
      </c>
      <c r="C23" s="92">
        <v>1.35E-4</v>
      </c>
      <c r="D23" s="92">
        <v>1.3019999999999999E-4</v>
      </c>
      <c r="E23" s="236">
        <v>78954.289999999994</v>
      </c>
      <c r="F23" s="236">
        <v>58433</v>
      </c>
      <c r="G23" s="236">
        <v>286515</v>
      </c>
      <c r="H23" s="236"/>
      <c r="I23" s="237">
        <v>5383.125</v>
      </c>
      <c r="J23" s="237">
        <v>251078.67</v>
      </c>
      <c r="K23" s="237">
        <v>19624</v>
      </c>
      <c r="L23" s="236">
        <v>42554</v>
      </c>
      <c r="M23" s="236"/>
      <c r="N23" s="237">
        <v>10040</v>
      </c>
      <c r="O23" s="237">
        <v>92671.83</v>
      </c>
      <c r="P23" s="237">
        <v>0</v>
      </c>
      <c r="Q23" s="236">
        <v>0</v>
      </c>
      <c r="R23" s="237">
        <f t="shared" si="0"/>
        <v>158406.84000000003</v>
      </c>
      <c r="S23" s="236"/>
      <c r="T23" s="237">
        <v>76581</v>
      </c>
      <c r="U23" s="238">
        <v>14293</v>
      </c>
      <c r="V23" s="238">
        <v>90874</v>
      </c>
    </row>
    <row r="24" spans="1:22">
      <c r="A24" s="231">
        <v>90121</v>
      </c>
      <c r="B24" s="232" t="s">
        <v>742</v>
      </c>
      <c r="C24" s="92">
        <v>1.0789E-3</v>
      </c>
      <c r="D24" s="92">
        <v>1.1057E-3</v>
      </c>
      <c r="E24" s="236">
        <v>394125.90000000008</v>
      </c>
      <c r="F24" s="236">
        <v>496232</v>
      </c>
      <c r="G24" s="236">
        <v>2289787</v>
      </c>
      <c r="H24" s="236"/>
      <c r="I24" s="237">
        <v>43021</v>
      </c>
      <c r="J24" s="237">
        <v>2006584</v>
      </c>
      <c r="K24" s="237">
        <v>156830</v>
      </c>
      <c r="L24" s="236">
        <v>6521</v>
      </c>
      <c r="M24" s="236"/>
      <c r="N24" s="237">
        <v>80237</v>
      </c>
      <c r="O24" s="237">
        <v>740620</v>
      </c>
      <c r="P24" s="237">
        <v>0</v>
      </c>
      <c r="Q24" s="236">
        <v>74370</v>
      </c>
      <c r="R24" s="237">
        <f t="shared" si="0"/>
        <v>1265964</v>
      </c>
      <c r="S24" s="236"/>
      <c r="T24" s="237">
        <v>612027</v>
      </c>
      <c r="U24" s="238">
        <v>-17947</v>
      </c>
      <c r="V24" s="238">
        <v>594079</v>
      </c>
    </row>
    <row r="25" spans="1:22">
      <c r="A25" s="231">
        <v>90131</v>
      </c>
      <c r="B25" s="232" t="s">
        <v>743</v>
      </c>
      <c r="C25" s="92">
        <v>5.0440000000000001E-4</v>
      </c>
      <c r="D25" s="92">
        <v>4.727E-4</v>
      </c>
      <c r="E25" s="236">
        <v>173703.08999999997</v>
      </c>
      <c r="F25" s="236">
        <v>212145</v>
      </c>
      <c r="G25" s="236">
        <v>1070506</v>
      </c>
      <c r="H25" s="236"/>
      <c r="I25" s="237">
        <v>20112.95</v>
      </c>
      <c r="J25" s="237">
        <v>938104</v>
      </c>
      <c r="K25" s="237">
        <v>73320</v>
      </c>
      <c r="L25" s="236">
        <v>0</v>
      </c>
      <c r="M25" s="236"/>
      <c r="N25" s="237">
        <v>37512</v>
      </c>
      <c r="O25" s="237">
        <v>346249</v>
      </c>
      <c r="P25" s="237">
        <v>0</v>
      </c>
      <c r="Q25" s="236">
        <v>23072</v>
      </c>
      <c r="R25" s="237">
        <f t="shared" si="0"/>
        <v>591855</v>
      </c>
      <c r="S25" s="236"/>
      <c r="T25" s="237">
        <v>286130</v>
      </c>
      <c r="U25" s="238">
        <v>-8951</v>
      </c>
      <c r="V25" s="238">
        <v>277180</v>
      </c>
    </row>
    <row r="26" spans="1:22">
      <c r="A26" s="231">
        <v>90141</v>
      </c>
      <c r="B26" s="232" t="s">
        <v>744</v>
      </c>
      <c r="C26" s="92">
        <v>1.306E-4</v>
      </c>
      <c r="D26" s="92">
        <v>1.5919999999999999E-4</v>
      </c>
      <c r="E26" s="236">
        <v>55925.87</v>
      </c>
      <c r="F26" s="236">
        <v>71448</v>
      </c>
      <c r="G26" s="236">
        <v>277177</v>
      </c>
      <c r="H26" s="236"/>
      <c r="I26" s="237">
        <v>5208</v>
      </c>
      <c r="J26" s="237">
        <v>242895</v>
      </c>
      <c r="K26" s="237">
        <v>18984</v>
      </c>
      <c r="L26" s="236">
        <v>2143</v>
      </c>
      <c r="M26" s="236"/>
      <c r="N26" s="237">
        <v>9713</v>
      </c>
      <c r="O26" s="237">
        <v>89651</v>
      </c>
      <c r="P26" s="237">
        <v>0</v>
      </c>
      <c r="Q26" s="236">
        <v>13732</v>
      </c>
      <c r="R26" s="237">
        <f t="shared" si="0"/>
        <v>153244</v>
      </c>
      <c r="S26" s="236"/>
      <c r="T26" s="237">
        <v>74085</v>
      </c>
      <c r="U26" s="238">
        <v>-2701</v>
      </c>
      <c r="V26" s="238">
        <v>71385</v>
      </c>
    </row>
    <row r="27" spans="1:22">
      <c r="A27" s="231">
        <v>90151</v>
      </c>
      <c r="B27" s="232" t="s">
        <v>745</v>
      </c>
      <c r="C27" s="92">
        <v>1.0000000000000001E-5</v>
      </c>
      <c r="D27" s="92">
        <v>9.7999999999999993E-6</v>
      </c>
      <c r="E27" s="236">
        <v>2703</v>
      </c>
      <c r="F27" s="236">
        <v>4398</v>
      </c>
      <c r="G27" s="236">
        <v>21223</v>
      </c>
      <c r="H27" s="236"/>
      <c r="I27" s="237">
        <v>399</v>
      </c>
      <c r="J27" s="237">
        <v>18598</v>
      </c>
      <c r="K27" s="237">
        <v>1454</v>
      </c>
      <c r="L27" s="236">
        <v>0</v>
      </c>
      <c r="M27" s="236"/>
      <c r="N27" s="237">
        <v>743.69</v>
      </c>
      <c r="O27" s="237">
        <v>6865</v>
      </c>
      <c r="P27" s="237">
        <v>0</v>
      </c>
      <c r="Q27" s="236">
        <v>2266</v>
      </c>
      <c r="R27" s="237">
        <f t="shared" si="0"/>
        <v>11733</v>
      </c>
      <c r="S27" s="236"/>
      <c r="T27" s="237">
        <v>5673</v>
      </c>
      <c r="U27" s="238">
        <v>-782</v>
      </c>
      <c r="V27" s="238">
        <v>4891</v>
      </c>
    </row>
    <row r="28" spans="1:22">
      <c r="A28" s="231">
        <v>90161</v>
      </c>
      <c r="B28" s="232" t="s">
        <v>746</v>
      </c>
      <c r="C28" s="92">
        <v>3.4799999999999999E-5</v>
      </c>
      <c r="D28" s="92">
        <v>2.6299999999999999E-5</v>
      </c>
      <c r="E28" s="236">
        <v>13115.62</v>
      </c>
      <c r="F28" s="236">
        <v>11803</v>
      </c>
      <c r="G28" s="236">
        <v>73857</v>
      </c>
      <c r="H28" s="236"/>
      <c r="I28" s="237">
        <v>1388</v>
      </c>
      <c r="J28" s="237">
        <v>64723</v>
      </c>
      <c r="K28" s="237">
        <v>5059</v>
      </c>
      <c r="L28" s="236">
        <v>5728</v>
      </c>
      <c r="M28" s="236"/>
      <c r="N28" s="237">
        <v>2588</v>
      </c>
      <c r="O28" s="237">
        <v>23889</v>
      </c>
      <c r="P28" s="237">
        <v>0</v>
      </c>
      <c r="Q28" s="236">
        <v>0</v>
      </c>
      <c r="R28" s="237">
        <f t="shared" si="0"/>
        <v>40834</v>
      </c>
      <c r="S28" s="236"/>
      <c r="T28" s="237">
        <v>19741</v>
      </c>
      <c r="U28" s="238">
        <v>1706</v>
      </c>
      <c r="V28" s="238">
        <v>21447</v>
      </c>
    </row>
    <row r="29" spans="1:22">
      <c r="A29" s="231">
        <v>90201</v>
      </c>
      <c r="B29" s="232" t="s">
        <v>747</v>
      </c>
      <c r="C29" s="92">
        <v>1.2419E-3</v>
      </c>
      <c r="D29" s="92">
        <v>1.1842999999999999E-3</v>
      </c>
      <c r="E29" s="236">
        <v>470870.10999999993</v>
      </c>
      <c r="F29" s="236">
        <v>531507</v>
      </c>
      <c r="G29" s="236">
        <v>2635728</v>
      </c>
      <c r="H29" s="236"/>
      <c r="I29" s="237">
        <v>49521</v>
      </c>
      <c r="J29" s="237">
        <v>2309738</v>
      </c>
      <c r="K29" s="237">
        <v>180524</v>
      </c>
      <c r="L29" s="236">
        <v>70694</v>
      </c>
      <c r="M29" s="236"/>
      <c r="N29" s="237">
        <v>92359</v>
      </c>
      <c r="O29" s="237">
        <v>852512</v>
      </c>
      <c r="P29" s="237">
        <v>0</v>
      </c>
      <c r="Q29" s="236">
        <v>450</v>
      </c>
      <c r="R29" s="237">
        <f t="shared" si="0"/>
        <v>1457226</v>
      </c>
      <c r="S29" s="236"/>
      <c r="T29" s="237">
        <v>704491</v>
      </c>
      <c r="U29" s="238">
        <v>33957</v>
      </c>
      <c r="V29" s="238">
        <v>738448</v>
      </c>
    </row>
    <row r="30" spans="1:22">
      <c r="A30" s="231">
        <v>90203</v>
      </c>
      <c r="B30" s="232" t="s">
        <v>748</v>
      </c>
      <c r="C30" s="92">
        <v>2.3680000000000001E-4</v>
      </c>
      <c r="D30" s="92">
        <v>2.7530000000000002E-4</v>
      </c>
      <c r="E30" s="236">
        <v>95317.989999999991</v>
      </c>
      <c r="F30" s="236">
        <v>123553</v>
      </c>
      <c r="G30" s="236">
        <v>502569</v>
      </c>
      <c r="H30" s="236"/>
      <c r="I30" s="237">
        <v>9442.4</v>
      </c>
      <c r="J30" s="237">
        <v>440411</v>
      </c>
      <c r="K30" s="237">
        <v>34421</v>
      </c>
      <c r="L30" s="236">
        <v>3338</v>
      </c>
      <c r="M30" s="236"/>
      <c r="N30" s="237">
        <v>17611</v>
      </c>
      <c r="O30" s="237">
        <v>162553</v>
      </c>
      <c r="P30" s="237">
        <v>0</v>
      </c>
      <c r="Q30" s="236">
        <v>36458</v>
      </c>
      <c r="R30" s="237">
        <f t="shared" si="0"/>
        <v>277858</v>
      </c>
      <c r="S30" s="236"/>
      <c r="T30" s="237">
        <v>134329</v>
      </c>
      <c r="U30" s="238">
        <v>-11660</v>
      </c>
      <c r="V30" s="238">
        <v>122669</v>
      </c>
    </row>
    <row r="31" spans="1:22">
      <c r="A31" s="231">
        <v>90205</v>
      </c>
      <c r="B31" s="232" t="s">
        <v>749</v>
      </c>
      <c r="C31" s="92">
        <v>3.3599999999999997E-5</v>
      </c>
      <c r="D31" s="92">
        <v>3.5299999999999997E-5</v>
      </c>
      <c r="E31" s="236">
        <v>13992.72</v>
      </c>
      <c r="F31" s="236">
        <v>15842</v>
      </c>
      <c r="G31" s="236">
        <v>71310</v>
      </c>
      <c r="H31" s="236"/>
      <c r="I31" s="237">
        <v>1339.8</v>
      </c>
      <c r="J31" s="237">
        <v>62491</v>
      </c>
      <c r="K31" s="237">
        <v>4884</v>
      </c>
      <c r="L31" s="236">
        <v>1378</v>
      </c>
      <c r="M31" s="236"/>
      <c r="N31" s="237">
        <v>2499</v>
      </c>
      <c r="O31" s="237">
        <v>23065</v>
      </c>
      <c r="P31" s="237">
        <v>0</v>
      </c>
      <c r="Q31" s="236">
        <v>782</v>
      </c>
      <c r="R31" s="237">
        <f t="shared" si="0"/>
        <v>39426</v>
      </c>
      <c r="S31" s="236"/>
      <c r="T31" s="237">
        <v>19060</v>
      </c>
      <c r="U31" s="238">
        <v>406</v>
      </c>
      <c r="V31" s="238">
        <v>19467</v>
      </c>
    </row>
    <row r="32" spans="1:22">
      <c r="A32" s="231">
        <v>90206</v>
      </c>
      <c r="B32" s="232" t="s">
        <v>750</v>
      </c>
      <c r="C32" s="92">
        <v>4.347E-4</v>
      </c>
      <c r="D32" s="92">
        <v>4.3810000000000002E-4</v>
      </c>
      <c r="E32" s="236">
        <v>170440.57</v>
      </c>
      <c r="F32" s="236">
        <v>196617</v>
      </c>
      <c r="G32" s="236">
        <v>922579</v>
      </c>
      <c r="H32" s="236"/>
      <c r="I32" s="237">
        <v>17334</v>
      </c>
      <c r="J32" s="237">
        <v>808473</v>
      </c>
      <c r="K32" s="237">
        <v>63188</v>
      </c>
      <c r="L32" s="236">
        <v>18047</v>
      </c>
      <c r="M32" s="236"/>
      <c r="N32" s="237">
        <v>32328</v>
      </c>
      <c r="O32" s="237">
        <v>298403</v>
      </c>
      <c r="P32" s="237">
        <v>0</v>
      </c>
      <c r="Q32" s="236">
        <v>12515</v>
      </c>
      <c r="R32" s="237">
        <f t="shared" si="0"/>
        <v>510070</v>
      </c>
      <c r="S32" s="236"/>
      <c r="T32" s="237">
        <v>246592</v>
      </c>
      <c r="U32" s="238">
        <v>5439</v>
      </c>
      <c r="V32" s="238">
        <v>252031</v>
      </c>
    </row>
    <row r="33" spans="1:22">
      <c r="A33" s="231">
        <v>90211</v>
      </c>
      <c r="B33" s="232" t="s">
        <v>751</v>
      </c>
      <c r="C33" s="92">
        <v>1.5689999999999999E-4</v>
      </c>
      <c r="D33" s="92">
        <v>1.708E-4</v>
      </c>
      <c r="E33" s="236">
        <v>58969.799999999996</v>
      </c>
      <c r="F33" s="236">
        <v>76654</v>
      </c>
      <c r="G33" s="236">
        <v>332994</v>
      </c>
      <c r="H33" s="236"/>
      <c r="I33" s="237">
        <v>6256</v>
      </c>
      <c r="J33" s="237">
        <v>291809</v>
      </c>
      <c r="K33" s="237">
        <v>22807</v>
      </c>
      <c r="L33" s="236">
        <v>0</v>
      </c>
      <c r="M33" s="236"/>
      <c r="N33" s="237">
        <v>11668</v>
      </c>
      <c r="O33" s="237">
        <v>107705</v>
      </c>
      <c r="P33" s="237">
        <v>0</v>
      </c>
      <c r="Q33" s="236">
        <v>17335</v>
      </c>
      <c r="R33" s="237">
        <f t="shared" si="0"/>
        <v>184104</v>
      </c>
      <c r="S33" s="236"/>
      <c r="T33" s="237">
        <v>89005</v>
      </c>
      <c r="U33" s="238">
        <v>-5305</v>
      </c>
      <c r="V33" s="238">
        <v>83699</v>
      </c>
    </row>
    <row r="34" spans="1:22">
      <c r="A34" s="231">
        <v>90301</v>
      </c>
      <c r="B34" s="232" t="s">
        <v>752</v>
      </c>
      <c r="C34" s="92">
        <v>6.4000000000000005E-4</v>
      </c>
      <c r="D34" s="92">
        <v>6.2489999999999996E-4</v>
      </c>
      <c r="E34" s="236">
        <v>241334.31</v>
      </c>
      <c r="F34" s="236">
        <v>280451</v>
      </c>
      <c r="G34" s="236">
        <v>1358294</v>
      </c>
      <c r="H34" s="236"/>
      <c r="I34" s="237">
        <v>25520</v>
      </c>
      <c r="J34" s="237">
        <v>1190299</v>
      </c>
      <c r="K34" s="237">
        <v>93031</v>
      </c>
      <c r="L34" s="236">
        <v>6684</v>
      </c>
      <c r="M34" s="236"/>
      <c r="N34" s="237">
        <v>47596.160000000003</v>
      </c>
      <c r="O34" s="237">
        <v>439333</v>
      </c>
      <c r="P34" s="237">
        <v>0</v>
      </c>
      <c r="Q34" s="236">
        <v>19561</v>
      </c>
      <c r="R34" s="237">
        <f t="shared" si="0"/>
        <v>750966</v>
      </c>
      <c r="S34" s="236"/>
      <c r="T34" s="237">
        <v>363052</v>
      </c>
      <c r="U34" s="238">
        <v>-5224</v>
      </c>
      <c r="V34" s="238">
        <v>357828</v>
      </c>
    </row>
    <row r="35" spans="1:22">
      <c r="A35" s="231">
        <v>90305</v>
      </c>
      <c r="B35" s="232" t="s">
        <v>753</v>
      </c>
      <c r="C35" s="92">
        <v>1.7009999999999999E-4</v>
      </c>
      <c r="D35" s="92">
        <v>1.773E-4</v>
      </c>
      <c r="E35" s="236">
        <v>84901.17</v>
      </c>
      <c r="F35" s="236">
        <v>79571</v>
      </c>
      <c r="G35" s="236">
        <v>361009</v>
      </c>
      <c r="H35" s="236"/>
      <c r="I35" s="237">
        <v>6783</v>
      </c>
      <c r="J35" s="237">
        <v>316359</v>
      </c>
      <c r="K35" s="237">
        <v>24726</v>
      </c>
      <c r="L35" s="236">
        <v>26122</v>
      </c>
      <c r="M35" s="236"/>
      <c r="N35" s="237">
        <v>12650</v>
      </c>
      <c r="O35" s="237">
        <v>116767</v>
      </c>
      <c r="P35" s="237">
        <v>0</v>
      </c>
      <c r="Q35" s="236">
        <v>0</v>
      </c>
      <c r="R35" s="237">
        <f t="shared" si="0"/>
        <v>199592</v>
      </c>
      <c r="S35" s="236"/>
      <c r="T35" s="237">
        <v>96492</v>
      </c>
      <c r="U35" s="238">
        <v>9101</v>
      </c>
      <c r="V35" s="238">
        <v>105594</v>
      </c>
    </row>
    <row r="36" spans="1:22">
      <c r="A36" s="231">
        <v>90307</v>
      </c>
      <c r="B36" s="232" t="s">
        <v>754</v>
      </c>
      <c r="C36" s="92">
        <v>7.7000000000000008E-6</v>
      </c>
      <c r="D36" s="92">
        <v>8.4999999999999999E-6</v>
      </c>
      <c r="E36" s="236">
        <v>3744.0999999999995</v>
      </c>
      <c r="F36" s="236">
        <v>3815</v>
      </c>
      <c r="G36" s="236">
        <v>16342</v>
      </c>
      <c r="H36" s="236"/>
      <c r="I36" s="237">
        <v>307</v>
      </c>
      <c r="J36" s="237">
        <v>14321</v>
      </c>
      <c r="K36" s="237">
        <v>1119</v>
      </c>
      <c r="L36" s="236">
        <v>213</v>
      </c>
      <c r="M36" s="236"/>
      <c r="N36" s="237">
        <v>573</v>
      </c>
      <c r="O36" s="237">
        <v>5286</v>
      </c>
      <c r="P36" s="237">
        <v>0</v>
      </c>
      <c r="Q36" s="236">
        <v>80</v>
      </c>
      <c r="R36" s="237">
        <f t="shared" si="0"/>
        <v>9035</v>
      </c>
      <c r="S36" s="236"/>
      <c r="T36" s="237">
        <v>4368</v>
      </c>
      <c r="U36" s="238">
        <v>33</v>
      </c>
      <c r="V36" s="238">
        <v>4401</v>
      </c>
    </row>
    <row r="37" spans="1:22">
      <c r="A37" s="231">
        <v>90401</v>
      </c>
      <c r="B37" s="232" t="s">
        <v>755</v>
      </c>
      <c r="C37" s="92">
        <v>1.3626999999999999E-3</v>
      </c>
      <c r="D37" s="92">
        <v>1.359E-3</v>
      </c>
      <c r="E37" s="236">
        <v>569788.09</v>
      </c>
      <c r="F37" s="236">
        <v>609911</v>
      </c>
      <c r="G37" s="236">
        <v>2892106</v>
      </c>
      <c r="H37" s="236"/>
      <c r="I37" s="237">
        <v>54338</v>
      </c>
      <c r="J37" s="237">
        <v>2534407</v>
      </c>
      <c r="K37" s="237">
        <v>198083</v>
      </c>
      <c r="L37" s="236">
        <v>70826</v>
      </c>
      <c r="M37" s="236"/>
      <c r="N37" s="237">
        <v>101343</v>
      </c>
      <c r="O37" s="237">
        <v>935436</v>
      </c>
      <c r="P37" s="237">
        <v>0</v>
      </c>
      <c r="Q37" s="236">
        <v>0</v>
      </c>
      <c r="R37" s="237">
        <f t="shared" si="0"/>
        <v>1598971</v>
      </c>
      <c r="S37" s="236"/>
      <c r="T37" s="237">
        <v>773017</v>
      </c>
      <c r="U37" s="238">
        <v>26807</v>
      </c>
      <c r="V37" s="238">
        <v>799824</v>
      </c>
    </row>
    <row r="38" spans="1:22">
      <c r="A38" s="231">
        <v>90411</v>
      </c>
      <c r="B38" s="232" t="s">
        <v>756</v>
      </c>
      <c r="C38" s="92">
        <v>3.5490000000000001E-4</v>
      </c>
      <c r="D38" s="92">
        <v>4.0069999999999998E-4</v>
      </c>
      <c r="E38" s="236">
        <v>139271.16</v>
      </c>
      <c r="F38" s="236">
        <v>179832</v>
      </c>
      <c r="G38" s="236">
        <v>753217</v>
      </c>
      <c r="H38" s="236"/>
      <c r="I38" s="237">
        <v>14152</v>
      </c>
      <c r="J38" s="237">
        <v>660058</v>
      </c>
      <c r="K38" s="237">
        <v>51589</v>
      </c>
      <c r="L38" s="236">
        <v>0</v>
      </c>
      <c r="M38" s="236"/>
      <c r="N38" s="237">
        <v>26394</v>
      </c>
      <c r="O38" s="237">
        <v>243624</v>
      </c>
      <c r="P38" s="237">
        <v>0</v>
      </c>
      <c r="Q38" s="236">
        <v>45866</v>
      </c>
      <c r="R38" s="237">
        <f t="shared" si="0"/>
        <v>416434</v>
      </c>
      <c r="S38" s="236"/>
      <c r="T38" s="237">
        <v>201324</v>
      </c>
      <c r="U38" s="238">
        <v>-13553</v>
      </c>
      <c r="V38" s="238">
        <v>187770</v>
      </c>
    </row>
    <row r="39" spans="1:22">
      <c r="A39" s="231">
        <v>90413</v>
      </c>
      <c r="B39" s="232" t="s">
        <v>757</v>
      </c>
      <c r="C39" s="92">
        <v>3.7299999999999999E-5</v>
      </c>
      <c r="D39" s="92">
        <v>3.6399999999999997E-5</v>
      </c>
      <c r="E39" s="236">
        <v>16559.900000000001</v>
      </c>
      <c r="F39" s="236">
        <v>16336</v>
      </c>
      <c r="G39" s="236">
        <v>79163</v>
      </c>
      <c r="H39" s="236"/>
      <c r="I39" s="237">
        <v>1487</v>
      </c>
      <c r="J39" s="237">
        <v>69372</v>
      </c>
      <c r="K39" s="237">
        <v>5422</v>
      </c>
      <c r="L39" s="236">
        <v>9568</v>
      </c>
      <c r="M39" s="236"/>
      <c r="N39" s="237">
        <v>2774</v>
      </c>
      <c r="O39" s="237">
        <v>25605</v>
      </c>
      <c r="P39" s="237">
        <v>0</v>
      </c>
      <c r="Q39" s="236">
        <v>0</v>
      </c>
      <c r="R39" s="237">
        <f t="shared" si="0"/>
        <v>43767</v>
      </c>
      <c r="S39" s="236"/>
      <c r="T39" s="237">
        <v>21159</v>
      </c>
      <c r="U39" s="238">
        <v>3645</v>
      </c>
      <c r="V39" s="238">
        <v>24804</v>
      </c>
    </row>
    <row r="40" spans="1:22">
      <c r="A40" s="231">
        <v>90417</v>
      </c>
      <c r="B40" s="232" t="s">
        <v>758</v>
      </c>
      <c r="C40" s="92">
        <v>1.2099999999999999E-5</v>
      </c>
      <c r="D40" s="92">
        <v>1.38E-5</v>
      </c>
      <c r="E40" s="236">
        <v>7491.5899999999983</v>
      </c>
      <c r="F40" s="236">
        <v>6193</v>
      </c>
      <c r="G40" s="236">
        <v>25680</v>
      </c>
      <c r="H40" s="236"/>
      <c r="I40" s="237">
        <v>482</v>
      </c>
      <c r="J40" s="237">
        <v>22504</v>
      </c>
      <c r="K40" s="237">
        <v>1759</v>
      </c>
      <c r="L40" s="236">
        <v>2032</v>
      </c>
      <c r="M40" s="236"/>
      <c r="N40" s="237">
        <v>900</v>
      </c>
      <c r="O40" s="237">
        <v>8306</v>
      </c>
      <c r="P40" s="237">
        <v>0</v>
      </c>
      <c r="Q40" s="236">
        <v>0</v>
      </c>
      <c r="R40" s="237">
        <f t="shared" si="0"/>
        <v>14198</v>
      </c>
      <c r="S40" s="236"/>
      <c r="T40" s="237">
        <v>6864</v>
      </c>
      <c r="U40" s="238">
        <v>687</v>
      </c>
      <c r="V40" s="238">
        <v>7551</v>
      </c>
    </row>
    <row r="41" spans="1:22">
      <c r="A41" s="231">
        <v>90421</v>
      </c>
      <c r="B41" s="232" t="s">
        <v>759</v>
      </c>
      <c r="C41" s="92">
        <v>2.3600000000000001E-5</v>
      </c>
      <c r="D41" s="92">
        <v>2.4700000000000001E-5</v>
      </c>
      <c r="E41" s="236">
        <v>7745.31</v>
      </c>
      <c r="F41" s="236">
        <v>11085</v>
      </c>
      <c r="G41" s="236">
        <v>50087</v>
      </c>
      <c r="H41" s="236"/>
      <c r="I41" s="237">
        <v>941</v>
      </c>
      <c r="J41" s="237">
        <v>43892</v>
      </c>
      <c r="K41" s="237">
        <v>3431</v>
      </c>
      <c r="L41" s="236">
        <v>0</v>
      </c>
      <c r="M41" s="236"/>
      <c r="N41" s="237">
        <v>1755</v>
      </c>
      <c r="O41" s="237">
        <v>16200</v>
      </c>
      <c r="P41" s="237">
        <v>0</v>
      </c>
      <c r="Q41" s="236">
        <v>3590</v>
      </c>
      <c r="R41" s="237">
        <f t="shared" si="0"/>
        <v>27692</v>
      </c>
      <c r="S41" s="236"/>
      <c r="T41" s="237">
        <v>13388</v>
      </c>
      <c r="U41" s="238">
        <v>-1226</v>
      </c>
      <c r="V41" s="238">
        <v>12162</v>
      </c>
    </row>
    <row r="42" spans="1:22">
      <c r="A42" s="231">
        <v>90431</v>
      </c>
      <c r="B42" s="232" t="s">
        <v>760</v>
      </c>
      <c r="C42" s="92">
        <v>4.2799999999999997E-5</v>
      </c>
      <c r="D42" s="92">
        <v>4.7599999999999998E-5</v>
      </c>
      <c r="E42" s="236">
        <v>18711.07</v>
      </c>
      <c r="F42" s="236">
        <v>21363</v>
      </c>
      <c r="G42" s="236">
        <v>90836</v>
      </c>
      <c r="H42" s="236"/>
      <c r="I42" s="237">
        <v>1707</v>
      </c>
      <c r="J42" s="237">
        <v>79601</v>
      </c>
      <c r="K42" s="237">
        <v>6221</v>
      </c>
      <c r="L42" s="236">
        <v>8478</v>
      </c>
      <c r="M42" s="236"/>
      <c r="N42" s="237">
        <v>3183</v>
      </c>
      <c r="O42" s="237">
        <v>29380</v>
      </c>
      <c r="P42" s="237">
        <v>0</v>
      </c>
      <c r="Q42" s="236">
        <v>1719</v>
      </c>
      <c r="R42" s="237">
        <f t="shared" si="0"/>
        <v>50221</v>
      </c>
      <c r="S42" s="236"/>
      <c r="T42" s="237">
        <v>24279</v>
      </c>
      <c r="U42" s="238">
        <v>2793</v>
      </c>
      <c r="V42" s="238">
        <v>27072</v>
      </c>
    </row>
    <row r="43" spans="1:22">
      <c r="A43" s="231">
        <v>90441</v>
      </c>
      <c r="B43" s="232" t="s">
        <v>761</v>
      </c>
      <c r="C43" s="92">
        <v>9.3999999999999998E-6</v>
      </c>
      <c r="D43" s="92">
        <v>1.03E-5</v>
      </c>
      <c r="E43" s="236">
        <v>4675.0599999999995</v>
      </c>
      <c r="F43" s="236">
        <v>4623</v>
      </c>
      <c r="G43" s="236">
        <v>19950</v>
      </c>
      <c r="H43" s="236"/>
      <c r="I43" s="237">
        <v>374.82499999999999</v>
      </c>
      <c r="J43" s="237">
        <v>17483</v>
      </c>
      <c r="K43" s="237">
        <v>1366</v>
      </c>
      <c r="L43" s="236">
        <v>1367</v>
      </c>
      <c r="M43" s="236"/>
      <c r="N43" s="237">
        <v>699</v>
      </c>
      <c r="O43" s="237">
        <v>6453</v>
      </c>
      <c r="P43" s="237">
        <v>0</v>
      </c>
      <c r="Q43" s="236">
        <v>200</v>
      </c>
      <c r="R43" s="237">
        <f t="shared" si="0"/>
        <v>11030</v>
      </c>
      <c r="S43" s="236"/>
      <c r="T43" s="237">
        <v>5332</v>
      </c>
      <c r="U43" s="238">
        <v>578</v>
      </c>
      <c r="V43" s="238">
        <v>5911</v>
      </c>
    </row>
    <row r="44" spans="1:22">
      <c r="A44" s="231">
        <v>90451</v>
      </c>
      <c r="B44" s="232" t="s">
        <v>762</v>
      </c>
      <c r="C44" s="92">
        <v>1.7900000000000001E-5</v>
      </c>
      <c r="D44" s="92">
        <v>1.2099999999999999E-5</v>
      </c>
      <c r="E44" s="236">
        <v>6772.25</v>
      </c>
      <c r="F44" s="236">
        <v>5430</v>
      </c>
      <c r="G44" s="236">
        <v>37990</v>
      </c>
      <c r="H44" s="236"/>
      <c r="I44" s="237">
        <v>713.76250000000005</v>
      </c>
      <c r="J44" s="237">
        <v>33291</v>
      </c>
      <c r="K44" s="237">
        <v>2602</v>
      </c>
      <c r="L44" s="236">
        <v>3118</v>
      </c>
      <c r="M44" s="236"/>
      <c r="N44" s="237">
        <v>1331</v>
      </c>
      <c r="O44" s="237">
        <v>12288</v>
      </c>
      <c r="P44" s="237">
        <v>0</v>
      </c>
      <c r="Q44" s="236">
        <v>288</v>
      </c>
      <c r="R44" s="237">
        <f t="shared" si="0"/>
        <v>21003</v>
      </c>
      <c r="S44" s="236"/>
      <c r="T44" s="237">
        <v>10154</v>
      </c>
      <c r="U44" s="238">
        <v>814</v>
      </c>
      <c r="V44" s="238">
        <v>10968</v>
      </c>
    </row>
    <row r="45" spans="1:22">
      <c r="A45" s="231">
        <v>90461</v>
      </c>
      <c r="B45" s="232" t="s">
        <v>763</v>
      </c>
      <c r="C45" s="92">
        <v>1.7200000000000001E-5</v>
      </c>
      <c r="D45" s="92">
        <v>1.7200000000000001E-5</v>
      </c>
      <c r="E45" s="236">
        <v>6466.34</v>
      </c>
      <c r="F45" s="236">
        <v>7719</v>
      </c>
      <c r="G45" s="236">
        <v>36504</v>
      </c>
      <c r="H45" s="236"/>
      <c r="I45" s="237">
        <v>685.85</v>
      </c>
      <c r="J45" s="237">
        <v>31989</v>
      </c>
      <c r="K45" s="237">
        <v>2500</v>
      </c>
      <c r="L45" s="236">
        <v>4750</v>
      </c>
      <c r="M45" s="236"/>
      <c r="N45" s="237">
        <v>1279</v>
      </c>
      <c r="O45" s="237">
        <v>11807</v>
      </c>
      <c r="P45" s="237">
        <v>0</v>
      </c>
      <c r="Q45" s="236">
        <v>2426</v>
      </c>
      <c r="R45" s="237">
        <f t="shared" si="0"/>
        <v>20182</v>
      </c>
      <c r="S45" s="236"/>
      <c r="T45" s="237">
        <v>9757</v>
      </c>
      <c r="U45" s="238">
        <v>583</v>
      </c>
      <c r="V45" s="238">
        <v>10340</v>
      </c>
    </row>
    <row r="46" spans="1:22">
      <c r="A46" s="231">
        <v>90501</v>
      </c>
      <c r="B46" s="232" t="s">
        <v>764</v>
      </c>
      <c r="C46" s="92">
        <v>1.4001E-3</v>
      </c>
      <c r="D46" s="92">
        <v>1.4352E-3</v>
      </c>
      <c r="E46" s="236">
        <v>603983.42999999993</v>
      </c>
      <c r="F46" s="236">
        <v>644109</v>
      </c>
      <c r="G46" s="236">
        <v>2971481</v>
      </c>
      <c r="H46" s="236"/>
      <c r="I46" s="237">
        <v>55829</v>
      </c>
      <c r="J46" s="237">
        <v>2603965</v>
      </c>
      <c r="K46" s="237">
        <v>203520</v>
      </c>
      <c r="L46" s="236">
        <v>46994</v>
      </c>
      <c r="M46" s="236"/>
      <c r="N46" s="237">
        <v>104124</v>
      </c>
      <c r="O46" s="237">
        <v>961110</v>
      </c>
      <c r="P46" s="237">
        <v>0</v>
      </c>
      <c r="Q46" s="236">
        <v>0</v>
      </c>
      <c r="R46" s="237">
        <f t="shared" si="0"/>
        <v>1642855</v>
      </c>
      <c r="S46" s="236"/>
      <c r="T46" s="237">
        <v>794233</v>
      </c>
      <c r="U46" s="238">
        <v>20332</v>
      </c>
      <c r="V46" s="238">
        <v>814566</v>
      </c>
    </row>
    <row r="47" spans="1:22">
      <c r="A47" s="231">
        <v>90507</v>
      </c>
      <c r="B47" s="232" t="s">
        <v>34</v>
      </c>
      <c r="C47" s="92">
        <v>7.3000000000000004E-6</v>
      </c>
      <c r="D47" s="92">
        <v>7.7000000000000008E-6</v>
      </c>
      <c r="E47" s="236">
        <v>9534.18</v>
      </c>
      <c r="F47" s="236">
        <v>3456</v>
      </c>
      <c r="G47" s="236">
        <v>15493</v>
      </c>
      <c r="H47" s="236"/>
      <c r="I47" s="237">
        <v>291</v>
      </c>
      <c r="J47" s="237">
        <v>13577</v>
      </c>
      <c r="K47" s="237">
        <v>1061</v>
      </c>
      <c r="L47" s="236">
        <v>8871</v>
      </c>
      <c r="M47" s="236"/>
      <c r="N47" s="237">
        <v>543</v>
      </c>
      <c r="O47" s="237">
        <v>5011</v>
      </c>
      <c r="P47" s="237">
        <v>0</v>
      </c>
      <c r="Q47" s="236">
        <v>0</v>
      </c>
      <c r="R47" s="237">
        <f t="shared" si="0"/>
        <v>8566</v>
      </c>
      <c r="S47" s="236"/>
      <c r="T47" s="237">
        <v>4141</v>
      </c>
      <c r="U47" s="238">
        <v>2759</v>
      </c>
      <c r="V47" s="238">
        <v>6900</v>
      </c>
    </row>
    <row r="48" spans="1:22">
      <c r="A48" s="231">
        <v>90511</v>
      </c>
      <c r="B48" s="232" t="s">
        <v>765</v>
      </c>
      <c r="C48" s="92">
        <v>9.5500000000000004E-5</v>
      </c>
      <c r="D48" s="92">
        <v>9.0699999999999996E-5</v>
      </c>
      <c r="E48" s="236">
        <v>45634.76</v>
      </c>
      <c r="F48" s="236">
        <v>40706</v>
      </c>
      <c r="G48" s="236">
        <v>202683</v>
      </c>
      <c r="H48" s="236"/>
      <c r="I48" s="237">
        <v>3808.0625</v>
      </c>
      <c r="J48" s="237">
        <v>177615</v>
      </c>
      <c r="K48" s="237">
        <v>13882</v>
      </c>
      <c r="L48" s="236">
        <v>15579</v>
      </c>
      <c r="M48" s="236"/>
      <c r="N48" s="237">
        <v>7102</v>
      </c>
      <c r="O48" s="237">
        <v>65557</v>
      </c>
      <c r="P48" s="237">
        <v>0</v>
      </c>
      <c r="Q48" s="236">
        <v>0</v>
      </c>
      <c r="R48" s="237">
        <f t="shared" si="0"/>
        <v>112058</v>
      </c>
      <c r="S48" s="236"/>
      <c r="T48" s="237">
        <v>54174</v>
      </c>
      <c r="U48" s="238">
        <v>5418</v>
      </c>
      <c r="V48" s="238">
        <v>59592</v>
      </c>
    </row>
    <row r="49" spans="1:22">
      <c r="A49" s="231">
        <v>90521</v>
      </c>
      <c r="B49" s="232" t="s">
        <v>766</v>
      </c>
      <c r="C49" s="92">
        <v>1.395E-4</v>
      </c>
      <c r="D49" s="92">
        <v>1.451E-4</v>
      </c>
      <c r="E49" s="236">
        <v>47723.41</v>
      </c>
      <c r="F49" s="236">
        <v>65120</v>
      </c>
      <c r="G49" s="236">
        <v>296066</v>
      </c>
      <c r="H49" s="236"/>
      <c r="I49" s="237">
        <v>5562.5625</v>
      </c>
      <c r="J49" s="237">
        <v>259448</v>
      </c>
      <c r="K49" s="237">
        <v>20278</v>
      </c>
      <c r="L49" s="236">
        <v>0</v>
      </c>
      <c r="M49" s="236"/>
      <c r="N49" s="237">
        <v>10374</v>
      </c>
      <c r="O49" s="237">
        <v>95761</v>
      </c>
      <c r="P49" s="237">
        <v>0</v>
      </c>
      <c r="Q49" s="236">
        <v>17468</v>
      </c>
      <c r="R49" s="237">
        <f t="shared" si="0"/>
        <v>163687</v>
      </c>
      <c r="S49" s="236"/>
      <c r="T49" s="237">
        <v>79134</v>
      </c>
      <c r="U49" s="238">
        <v>-5509</v>
      </c>
      <c r="V49" s="238">
        <v>73625</v>
      </c>
    </row>
    <row r="50" spans="1:22">
      <c r="A50" s="231">
        <v>90601</v>
      </c>
      <c r="B50" s="232" t="s">
        <v>767</v>
      </c>
      <c r="C50" s="92">
        <v>1.1785999999999999E-3</v>
      </c>
      <c r="D50" s="92">
        <v>1.2051E-3</v>
      </c>
      <c r="E50" s="236">
        <v>469146.06</v>
      </c>
      <c r="F50" s="236">
        <v>540842</v>
      </c>
      <c r="G50" s="236">
        <v>2501384</v>
      </c>
      <c r="H50" s="236"/>
      <c r="I50" s="237">
        <v>46997</v>
      </c>
      <c r="J50" s="237">
        <v>2192010</v>
      </c>
      <c r="K50" s="237">
        <v>171322</v>
      </c>
      <c r="L50" s="236">
        <v>32298</v>
      </c>
      <c r="M50" s="236"/>
      <c r="N50" s="237">
        <v>87651</v>
      </c>
      <c r="O50" s="237">
        <v>809059</v>
      </c>
      <c r="P50" s="237">
        <v>0</v>
      </c>
      <c r="Q50" s="236">
        <v>26702</v>
      </c>
      <c r="R50" s="237">
        <f t="shared" si="0"/>
        <v>1382951</v>
      </c>
      <c r="S50" s="236"/>
      <c r="T50" s="237">
        <v>668583</v>
      </c>
      <c r="U50" s="238">
        <v>7604</v>
      </c>
      <c r="V50" s="238">
        <v>676188</v>
      </c>
    </row>
    <row r="51" spans="1:22">
      <c r="A51" s="231">
        <v>90602</v>
      </c>
      <c r="B51" s="232" t="s">
        <v>259</v>
      </c>
      <c r="C51" s="92">
        <v>6.3299999999999994E-5</v>
      </c>
      <c r="D51" s="92">
        <v>0</v>
      </c>
      <c r="E51" s="236">
        <v>31566.720000000001</v>
      </c>
      <c r="F51" s="236">
        <v>0</v>
      </c>
      <c r="G51" s="236">
        <v>134344</v>
      </c>
      <c r="H51" s="236"/>
      <c r="I51" s="237">
        <v>2524</v>
      </c>
      <c r="J51" s="237">
        <v>117728</v>
      </c>
      <c r="K51" s="237">
        <v>9201</v>
      </c>
      <c r="L51" s="236">
        <v>46975</v>
      </c>
      <c r="M51" s="236"/>
      <c r="N51" s="237">
        <v>4708</v>
      </c>
      <c r="O51" s="237">
        <v>43453</v>
      </c>
      <c r="P51" s="237">
        <v>0</v>
      </c>
      <c r="Q51" s="236">
        <v>0</v>
      </c>
      <c r="R51" s="237">
        <f t="shared" si="0"/>
        <v>74275</v>
      </c>
      <c r="S51" s="236"/>
      <c r="T51" s="237">
        <v>35908</v>
      </c>
      <c r="U51" s="238">
        <v>12962</v>
      </c>
      <c r="V51" s="238">
        <v>48870</v>
      </c>
    </row>
    <row r="52" spans="1:22">
      <c r="A52" s="231">
        <v>90605</v>
      </c>
      <c r="B52" s="232" t="s">
        <v>768</v>
      </c>
      <c r="C52" s="92">
        <v>3.8399999999999998E-5</v>
      </c>
      <c r="D52" s="92">
        <v>3.6399999999999997E-5</v>
      </c>
      <c r="E52" s="236">
        <v>22332.880000000001</v>
      </c>
      <c r="F52" s="236">
        <v>16336</v>
      </c>
      <c r="G52" s="236">
        <v>81498</v>
      </c>
      <c r="H52" s="236"/>
      <c r="I52" s="237">
        <v>1531</v>
      </c>
      <c r="J52" s="237">
        <v>71418</v>
      </c>
      <c r="K52" s="237">
        <v>5582</v>
      </c>
      <c r="L52" s="236">
        <v>11852</v>
      </c>
      <c r="M52" s="236"/>
      <c r="N52" s="237">
        <v>2856</v>
      </c>
      <c r="O52" s="237">
        <v>26360</v>
      </c>
      <c r="P52" s="237">
        <v>0</v>
      </c>
      <c r="Q52" s="236">
        <v>0</v>
      </c>
      <c r="R52" s="237">
        <f t="shared" si="0"/>
        <v>45058</v>
      </c>
      <c r="S52" s="236"/>
      <c r="T52" s="237">
        <v>21783</v>
      </c>
      <c r="U52" s="238">
        <v>3784</v>
      </c>
      <c r="V52" s="238">
        <v>25567</v>
      </c>
    </row>
    <row r="53" spans="1:22">
      <c r="A53" s="231">
        <v>90611</v>
      </c>
      <c r="B53" s="232" t="s">
        <v>769</v>
      </c>
      <c r="C53" s="92">
        <v>1.5669999999999999E-4</v>
      </c>
      <c r="D53" s="92">
        <v>1.663E-4</v>
      </c>
      <c r="E53" s="236">
        <v>56254.44000000001</v>
      </c>
      <c r="F53" s="236">
        <v>74634</v>
      </c>
      <c r="G53" s="236">
        <v>332570</v>
      </c>
      <c r="H53" s="236"/>
      <c r="I53" s="237">
        <v>6248</v>
      </c>
      <c r="J53" s="237">
        <v>291437</v>
      </c>
      <c r="K53" s="237">
        <v>22778</v>
      </c>
      <c r="L53" s="236">
        <v>5072.51</v>
      </c>
      <c r="M53" s="236"/>
      <c r="N53" s="237">
        <v>11654</v>
      </c>
      <c r="O53" s="237">
        <v>107568</v>
      </c>
      <c r="P53" s="237">
        <v>0</v>
      </c>
      <c r="Q53" s="236">
        <v>13074</v>
      </c>
      <c r="R53" s="237">
        <f t="shared" si="0"/>
        <v>183869</v>
      </c>
      <c r="S53" s="236"/>
      <c r="T53" s="237">
        <v>88891</v>
      </c>
      <c r="U53" s="238">
        <v>-969</v>
      </c>
      <c r="V53" s="238">
        <v>87922</v>
      </c>
    </row>
    <row r="54" spans="1:22">
      <c r="A54" s="231">
        <v>90617</v>
      </c>
      <c r="B54" s="232" t="s">
        <v>770</v>
      </c>
      <c r="C54" s="92">
        <v>2.6800000000000001E-5</v>
      </c>
      <c r="D54" s="92">
        <v>2.6599999999999999E-5</v>
      </c>
      <c r="E54" s="236">
        <v>14103.199999999999</v>
      </c>
      <c r="F54" s="236">
        <v>11938</v>
      </c>
      <c r="G54" s="236">
        <v>56879</v>
      </c>
      <c r="H54" s="236"/>
      <c r="I54" s="237">
        <v>1069</v>
      </c>
      <c r="J54" s="237">
        <v>49844</v>
      </c>
      <c r="K54" s="237">
        <v>3896</v>
      </c>
      <c r="L54" s="236">
        <v>8505</v>
      </c>
      <c r="M54" s="236"/>
      <c r="N54" s="237">
        <v>1993</v>
      </c>
      <c r="O54" s="237">
        <v>18397</v>
      </c>
      <c r="P54" s="237">
        <v>0</v>
      </c>
      <c r="Q54" s="236">
        <v>0</v>
      </c>
      <c r="R54" s="237">
        <f t="shared" si="0"/>
        <v>31447</v>
      </c>
      <c r="S54" s="236"/>
      <c r="T54" s="237">
        <v>15203</v>
      </c>
      <c r="U54" s="238">
        <v>3445</v>
      </c>
      <c r="V54" s="238">
        <v>18647</v>
      </c>
    </row>
    <row r="55" spans="1:22">
      <c r="A55" s="231">
        <v>90621</v>
      </c>
      <c r="B55" s="232" t="s">
        <v>771</v>
      </c>
      <c r="C55" s="92">
        <v>8.2100000000000003E-5</v>
      </c>
      <c r="D55" s="92">
        <v>7.9400000000000006E-5</v>
      </c>
      <c r="E55" s="236">
        <v>28251.890000000003</v>
      </c>
      <c r="F55" s="236">
        <v>35634</v>
      </c>
      <c r="G55" s="236">
        <v>174244</v>
      </c>
      <c r="H55" s="236"/>
      <c r="I55" s="237">
        <v>3274</v>
      </c>
      <c r="J55" s="237">
        <v>152693</v>
      </c>
      <c r="K55" s="237">
        <v>11934</v>
      </c>
      <c r="L55" s="236">
        <v>1182</v>
      </c>
      <c r="M55" s="236"/>
      <c r="N55" s="237">
        <v>6106</v>
      </c>
      <c r="O55" s="237">
        <v>56358</v>
      </c>
      <c r="P55" s="237">
        <v>0</v>
      </c>
      <c r="Q55" s="236">
        <v>7913</v>
      </c>
      <c r="R55" s="237">
        <f t="shared" si="0"/>
        <v>96335</v>
      </c>
      <c r="S55" s="236"/>
      <c r="T55" s="237">
        <v>46573</v>
      </c>
      <c r="U55" s="238">
        <v>-1933</v>
      </c>
      <c r="V55" s="238">
        <v>44639</v>
      </c>
    </row>
    <row r="56" spans="1:22">
      <c r="A56" s="231">
        <v>90631</v>
      </c>
      <c r="B56" s="232" t="s">
        <v>772</v>
      </c>
      <c r="C56" s="92">
        <v>3.8000000000000002E-4</v>
      </c>
      <c r="D56" s="92">
        <v>3.4539999999999999E-4</v>
      </c>
      <c r="E56" s="236">
        <v>153531.72</v>
      </c>
      <c r="F56" s="236">
        <v>155013</v>
      </c>
      <c r="G56" s="236">
        <v>806487.3</v>
      </c>
      <c r="H56" s="236"/>
      <c r="I56" s="237">
        <v>15152.5</v>
      </c>
      <c r="J56" s="237">
        <v>706740</v>
      </c>
      <c r="K56" s="237">
        <v>55237.18</v>
      </c>
      <c r="L56" s="236">
        <v>16567</v>
      </c>
      <c r="M56" s="236"/>
      <c r="N56" s="237">
        <v>28260.22</v>
      </c>
      <c r="O56" s="237">
        <v>260854.04</v>
      </c>
      <c r="P56" s="237">
        <v>0</v>
      </c>
      <c r="Q56" s="236">
        <v>14381</v>
      </c>
      <c r="R56" s="237">
        <f t="shared" si="0"/>
        <v>445885.95999999996</v>
      </c>
      <c r="S56" s="236"/>
      <c r="T56" s="237">
        <v>215562.22</v>
      </c>
      <c r="U56" s="238">
        <v>-1856</v>
      </c>
      <c r="V56" s="238">
        <v>213706</v>
      </c>
    </row>
    <row r="57" spans="1:22">
      <c r="A57" s="231">
        <v>90641</v>
      </c>
      <c r="B57" s="232" t="s">
        <v>773</v>
      </c>
      <c r="C57" s="92">
        <v>1.4399999999999999E-5</v>
      </c>
      <c r="D57" s="92">
        <v>1.5400000000000002E-5</v>
      </c>
      <c r="E57" s="236">
        <v>5940.04</v>
      </c>
      <c r="F57" s="236">
        <v>6911</v>
      </c>
      <c r="G57" s="236">
        <v>30562</v>
      </c>
      <c r="H57" s="236"/>
      <c r="I57" s="237">
        <v>574</v>
      </c>
      <c r="J57" s="237">
        <v>26782</v>
      </c>
      <c r="K57" s="237">
        <v>2093</v>
      </c>
      <c r="L57" s="236">
        <v>340</v>
      </c>
      <c r="M57" s="236"/>
      <c r="N57" s="237">
        <v>1071</v>
      </c>
      <c r="O57" s="237">
        <v>9885</v>
      </c>
      <c r="P57" s="237">
        <v>0</v>
      </c>
      <c r="Q57" s="236">
        <v>782</v>
      </c>
      <c r="R57" s="237">
        <f t="shared" si="0"/>
        <v>16897</v>
      </c>
      <c r="S57" s="236"/>
      <c r="T57" s="237">
        <v>8169</v>
      </c>
      <c r="U57" s="238">
        <v>-144</v>
      </c>
      <c r="V57" s="238">
        <v>8025</v>
      </c>
    </row>
    <row r="58" spans="1:22">
      <c r="A58" s="231">
        <v>90651</v>
      </c>
      <c r="B58" s="232" t="s">
        <v>774</v>
      </c>
      <c r="C58" s="92">
        <v>1.108E-4</v>
      </c>
      <c r="D58" s="92">
        <v>1.042E-4</v>
      </c>
      <c r="E58" s="236">
        <v>96248</v>
      </c>
      <c r="F58" s="236">
        <v>46764</v>
      </c>
      <c r="G58" s="236">
        <v>235155</v>
      </c>
      <c r="H58" s="236"/>
      <c r="I58" s="237">
        <v>4418</v>
      </c>
      <c r="J58" s="237">
        <v>206070</v>
      </c>
      <c r="K58" s="237">
        <v>16106</v>
      </c>
      <c r="L58" s="236">
        <v>73167</v>
      </c>
      <c r="M58" s="236"/>
      <c r="N58" s="237">
        <v>8240</v>
      </c>
      <c r="O58" s="237">
        <v>76060</v>
      </c>
      <c r="P58" s="237">
        <v>0</v>
      </c>
      <c r="Q58" s="236">
        <v>9364.94</v>
      </c>
      <c r="R58" s="237">
        <f t="shared" si="0"/>
        <v>130010</v>
      </c>
      <c r="S58" s="236"/>
      <c r="T58" s="237">
        <v>62853</v>
      </c>
      <c r="U58" s="238">
        <v>17052</v>
      </c>
      <c r="V58" s="238">
        <v>79906</v>
      </c>
    </row>
    <row r="59" spans="1:22">
      <c r="A59" s="231">
        <v>90701</v>
      </c>
      <c r="B59" s="232" t="s">
        <v>1937</v>
      </c>
      <c r="C59" s="92">
        <v>2.3587E-3</v>
      </c>
      <c r="D59" s="92">
        <v>2.3326000000000002E-3</v>
      </c>
      <c r="E59" s="236">
        <v>908617.53</v>
      </c>
      <c r="F59" s="236">
        <v>1046857</v>
      </c>
      <c r="G59" s="236">
        <v>5005952</v>
      </c>
      <c r="H59" s="236"/>
      <c r="I59" s="237">
        <v>94053</v>
      </c>
      <c r="J59" s="237">
        <v>4386809</v>
      </c>
      <c r="K59" s="237">
        <v>342863</v>
      </c>
      <c r="L59" s="236">
        <v>35812.04</v>
      </c>
      <c r="M59" s="236"/>
      <c r="N59" s="237">
        <v>175414</v>
      </c>
      <c r="O59" s="237">
        <v>1619148</v>
      </c>
      <c r="P59" s="237">
        <v>0</v>
      </c>
      <c r="Q59" s="236">
        <v>44222</v>
      </c>
      <c r="R59" s="237">
        <f t="shared" si="0"/>
        <v>2767661</v>
      </c>
      <c r="S59" s="236"/>
      <c r="T59" s="237">
        <v>1338017</v>
      </c>
      <c r="U59" s="238">
        <v>5621</v>
      </c>
      <c r="V59" s="238">
        <v>1343639</v>
      </c>
    </row>
    <row r="60" spans="1:22">
      <c r="A60" s="231">
        <v>90704</v>
      </c>
      <c r="B60" s="232" t="s">
        <v>776</v>
      </c>
      <c r="C60" s="92">
        <v>3.4900000000000001E-5</v>
      </c>
      <c r="D60" s="92">
        <v>3.3300000000000003E-5</v>
      </c>
      <c r="E60" s="236">
        <v>22787.940000000006</v>
      </c>
      <c r="F60" s="236">
        <v>14945</v>
      </c>
      <c r="G60" s="236">
        <v>74069</v>
      </c>
      <c r="H60" s="236"/>
      <c r="I60" s="237">
        <v>1392</v>
      </c>
      <c r="J60" s="237">
        <v>64908</v>
      </c>
      <c r="K60" s="237">
        <v>5073</v>
      </c>
      <c r="L60" s="236">
        <v>13042</v>
      </c>
      <c r="M60" s="236"/>
      <c r="N60" s="237">
        <v>2595</v>
      </c>
      <c r="O60" s="237">
        <v>23957</v>
      </c>
      <c r="P60" s="237">
        <v>0</v>
      </c>
      <c r="Q60" s="236">
        <v>0</v>
      </c>
      <c r="R60" s="237">
        <f t="shared" si="0"/>
        <v>40951</v>
      </c>
      <c r="S60" s="236"/>
      <c r="T60" s="237">
        <v>19798</v>
      </c>
      <c r="U60" s="238">
        <v>4197</v>
      </c>
      <c r="V60" s="238">
        <v>23995</v>
      </c>
    </row>
    <row r="61" spans="1:22">
      <c r="A61" s="231">
        <v>90705</v>
      </c>
      <c r="B61" s="232" t="s">
        <v>777</v>
      </c>
      <c r="C61" s="92">
        <v>3.3899999999999997E-5</v>
      </c>
      <c r="D61" s="92">
        <v>3.0599999999999998E-5</v>
      </c>
      <c r="E61" s="236">
        <v>17670.240000000002</v>
      </c>
      <c r="F61" s="236">
        <v>13733</v>
      </c>
      <c r="G61" s="236">
        <v>71947</v>
      </c>
      <c r="H61" s="236"/>
      <c r="I61" s="237">
        <v>1352</v>
      </c>
      <c r="J61" s="237">
        <v>63049</v>
      </c>
      <c r="K61" s="237">
        <v>4928</v>
      </c>
      <c r="L61" s="236">
        <v>9785</v>
      </c>
      <c r="M61" s="236"/>
      <c r="N61" s="237">
        <v>2521</v>
      </c>
      <c r="O61" s="237">
        <v>23271</v>
      </c>
      <c r="P61" s="237">
        <v>0</v>
      </c>
      <c r="Q61" s="236">
        <v>0</v>
      </c>
      <c r="R61" s="237">
        <f t="shared" si="0"/>
        <v>39778</v>
      </c>
      <c r="S61" s="236"/>
      <c r="T61" s="237">
        <v>19230</v>
      </c>
      <c r="U61" s="238">
        <v>3239</v>
      </c>
      <c r="V61" s="238">
        <v>22470</v>
      </c>
    </row>
    <row r="62" spans="1:22">
      <c r="A62" s="231">
        <v>90709</v>
      </c>
      <c r="B62" s="232" t="s">
        <v>778</v>
      </c>
      <c r="C62" s="92">
        <v>1.4569999999999999E-4</v>
      </c>
      <c r="D62" s="92">
        <v>2.1790000000000001E-4</v>
      </c>
      <c r="E62" s="236">
        <v>59289.13</v>
      </c>
      <c r="F62" s="236">
        <v>97792</v>
      </c>
      <c r="G62" s="236">
        <v>309224</v>
      </c>
      <c r="H62" s="236"/>
      <c r="I62" s="237">
        <v>5810</v>
      </c>
      <c r="J62" s="237">
        <v>270979</v>
      </c>
      <c r="K62" s="237">
        <v>21179</v>
      </c>
      <c r="L62" s="236">
        <v>10221</v>
      </c>
      <c r="M62" s="236"/>
      <c r="N62" s="237">
        <v>10836</v>
      </c>
      <c r="O62" s="237">
        <v>100017</v>
      </c>
      <c r="P62" s="237">
        <v>0</v>
      </c>
      <c r="Q62" s="236">
        <v>44565</v>
      </c>
      <c r="R62" s="237">
        <f t="shared" si="0"/>
        <v>170962</v>
      </c>
      <c r="S62" s="236"/>
      <c r="T62" s="237">
        <v>82651</v>
      </c>
      <c r="U62" s="238">
        <v>-6883</v>
      </c>
      <c r="V62" s="238">
        <v>75769</v>
      </c>
    </row>
    <row r="63" spans="1:22">
      <c r="A63" s="231">
        <v>90711</v>
      </c>
      <c r="B63" s="232" t="s">
        <v>779</v>
      </c>
      <c r="C63" s="92">
        <v>1.7302000000000001E-3</v>
      </c>
      <c r="D63" s="92">
        <v>1.8802000000000001E-3</v>
      </c>
      <c r="E63" s="236">
        <v>667293.38</v>
      </c>
      <c r="F63" s="236">
        <v>843822</v>
      </c>
      <c r="G63" s="236">
        <v>3672064</v>
      </c>
      <c r="H63" s="236"/>
      <c r="I63" s="237">
        <v>68992</v>
      </c>
      <c r="J63" s="237">
        <v>3217899</v>
      </c>
      <c r="K63" s="237">
        <v>251504</v>
      </c>
      <c r="L63" s="236">
        <v>0</v>
      </c>
      <c r="M63" s="236"/>
      <c r="N63" s="237">
        <v>128673</v>
      </c>
      <c r="O63" s="237">
        <v>1187710</v>
      </c>
      <c r="P63" s="237">
        <v>0</v>
      </c>
      <c r="Q63" s="236">
        <v>193488</v>
      </c>
      <c r="R63" s="237">
        <f t="shared" si="0"/>
        <v>2030189</v>
      </c>
      <c r="S63" s="236"/>
      <c r="T63" s="237">
        <v>981489</v>
      </c>
      <c r="U63" s="238">
        <v>-61566</v>
      </c>
      <c r="V63" s="238">
        <v>919922</v>
      </c>
    </row>
    <row r="64" spans="1:22">
      <c r="A64" s="231">
        <v>90721</v>
      </c>
      <c r="B64" s="232" t="s">
        <v>780</v>
      </c>
      <c r="C64" s="92">
        <v>3.7299999999999999E-5</v>
      </c>
      <c r="D64" s="92">
        <v>3.82E-5</v>
      </c>
      <c r="E64" s="236">
        <v>14531.46</v>
      </c>
      <c r="F64" s="236">
        <v>17144</v>
      </c>
      <c r="G64" s="236">
        <v>79163</v>
      </c>
      <c r="H64" s="236"/>
      <c r="I64" s="237">
        <v>1487</v>
      </c>
      <c r="J64" s="237">
        <v>69372</v>
      </c>
      <c r="K64" s="237">
        <v>5422</v>
      </c>
      <c r="L64" s="236">
        <v>5347</v>
      </c>
      <c r="M64" s="236"/>
      <c r="N64" s="237">
        <v>2774</v>
      </c>
      <c r="O64" s="237">
        <v>25605</v>
      </c>
      <c r="P64" s="237">
        <v>0</v>
      </c>
      <c r="Q64" s="236">
        <v>1129</v>
      </c>
      <c r="R64" s="237">
        <f t="shared" si="0"/>
        <v>43767</v>
      </c>
      <c r="S64" s="236"/>
      <c r="T64" s="237">
        <v>21159</v>
      </c>
      <c r="U64" s="238">
        <v>2098</v>
      </c>
      <c r="V64" s="238">
        <v>23258</v>
      </c>
    </row>
    <row r="65" spans="1:22">
      <c r="A65" s="231">
        <v>90731</v>
      </c>
      <c r="B65" s="232" t="s">
        <v>781</v>
      </c>
      <c r="C65" s="92">
        <v>1.917E-4</v>
      </c>
      <c r="D65" s="92">
        <v>1.9459999999999999E-4</v>
      </c>
      <c r="E65" s="236">
        <v>77065.560000000012</v>
      </c>
      <c r="F65" s="236">
        <v>87335</v>
      </c>
      <c r="G65" s="236">
        <v>406852</v>
      </c>
      <c r="H65" s="236"/>
      <c r="I65" s="237">
        <v>7644</v>
      </c>
      <c r="J65" s="237">
        <v>356532</v>
      </c>
      <c r="K65" s="237">
        <v>27866</v>
      </c>
      <c r="L65" s="236">
        <v>0</v>
      </c>
      <c r="M65" s="236"/>
      <c r="N65" s="237">
        <v>14257</v>
      </c>
      <c r="O65" s="237">
        <v>131594</v>
      </c>
      <c r="P65" s="237">
        <v>0</v>
      </c>
      <c r="Q65" s="236">
        <v>10037</v>
      </c>
      <c r="R65" s="237">
        <f t="shared" si="0"/>
        <v>224938</v>
      </c>
      <c r="S65" s="236"/>
      <c r="T65" s="237">
        <v>108745</v>
      </c>
      <c r="U65" s="238">
        <v>-3998</v>
      </c>
      <c r="V65" s="238">
        <v>104747</v>
      </c>
    </row>
    <row r="66" spans="1:22">
      <c r="A66" s="231">
        <v>90741</v>
      </c>
      <c r="B66" s="232" t="s">
        <v>782</v>
      </c>
      <c r="C66" s="92">
        <v>1.2099999999999999E-5</v>
      </c>
      <c r="D66" s="92">
        <v>1.2799999999999999E-5</v>
      </c>
      <c r="E66" s="236">
        <v>6754.4100000000008</v>
      </c>
      <c r="F66" s="236">
        <v>5745</v>
      </c>
      <c r="G66" s="236">
        <v>25680</v>
      </c>
      <c r="H66" s="236"/>
      <c r="I66" s="237">
        <v>482</v>
      </c>
      <c r="J66" s="237">
        <v>22504</v>
      </c>
      <c r="K66" s="237">
        <v>1759</v>
      </c>
      <c r="L66" s="236">
        <v>3208</v>
      </c>
      <c r="M66" s="236"/>
      <c r="N66" s="237">
        <v>900</v>
      </c>
      <c r="O66" s="237">
        <v>8306</v>
      </c>
      <c r="P66" s="237">
        <v>0</v>
      </c>
      <c r="Q66" s="236">
        <v>1496</v>
      </c>
      <c r="R66" s="237">
        <f t="shared" si="0"/>
        <v>14198</v>
      </c>
      <c r="S66" s="236"/>
      <c r="T66" s="237">
        <v>6864</v>
      </c>
      <c r="U66" s="238">
        <v>287</v>
      </c>
      <c r="V66" s="238">
        <v>7151</v>
      </c>
    </row>
    <row r="67" spans="1:22">
      <c r="A67" s="231">
        <v>90751</v>
      </c>
      <c r="B67" s="232" t="s">
        <v>783</v>
      </c>
      <c r="C67" s="92">
        <v>6.5599999999999995E-5</v>
      </c>
      <c r="D67" s="92">
        <v>6.2000000000000003E-5</v>
      </c>
      <c r="E67" s="236">
        <v>24796.57</v>
      </c>
      <c r="F67" s="236">
        <v>27825</v>
      </c>
      <c r="G67" s="236">
        <v>139225</v>
      </c>
      <c r="H67" s="236"/>
      <c r="I67" s="237">
        <v>2616</v>
      </c>
      <c r="J67" s="237">
        <v>122006</v>
      </c>
      <c r="K67" s="237">
        <v>9536</v>
      </c>
      <c r="L67" s="236">
        <v>8610</v>
      </c>
      <c r="M67" s="236"/>
      <c r="N67" s="237">
        <v>4879</v>
      </c>
      <c r="O67" s="237">
        <v>45032</v>
      </c>
      <c r="P67" s="237">
        <v>0</v>
      </c>
      <c r="Q67" s="236">
        <v>0</v>
      </c>
      <c r="R67" s="237">
        <f t="shared" si="0"/>
        <v>76974</v>
      </c>
      <c r="S67" s="236"/>
      <c r="T67" s="237">
        <v>37213</v>
      </c>
      <c r="U67" s="238">
        <v>3670</v>
      </c>
      <c r="V67" s="238">
        <v>40883</v>
      </c>
    </row>
    <row r="68" spans="1:22">
      <c r="A68" s="231">
        <v>90801</v>
      </c>
      <c r="B68" s="232" t="s">
        <v>784</v>
      </c>
      <c r="C68" s="92">
        <v>1.1404E-3</v>
      </c>
      <c r="D68" s="92">
        <v>1.0472000000000001E-3</v>
      </c>
      <c r="E68" s="236">
        <v>442982.95</v>
      </c>
      <c r="F68" s="236">
        <v>469977</v>
      </c>
      <c r="G68" s="236">
        <v>2420311</v>
      </c>
      <c r="H68" s="236"/>
      <c r="I68" s="237">
        <v>45473.45</v>
      </c>
      <c r="J68" s="237">
        <v>2120964</v>
      </c>
      <c r="K68" s="237">
        <v>165770</v>
      </c>
      <c r="L68" s="236">
        <v>156481</v>
      </c>
      <c r="M68" s="236"/>
      <c r="N68" s="237">
        <v>84810</v>
      </c>
      <c r="O68" s="237">
        <v>782837</v>
      </c>
      <c r="P68" s="237">
        <v>0</v>
      </c>
      <c r="Q68" s="236">
        <v>0</v>
      </c>
      <c r="R68" s="237">
        <f t="shared" si="0"/>
        <v>1338127</v>
      </c>
      <c r="S68" s="236"/>
      <c r="T68" s="237">
        <v>646914</v>
      </c>
      <c r="U68" s="238">
        <v>53264</v>
      </c>
      <c r="V68" s="238">
        <v>700177</v>
      </c>
    </row>
    <row r="69" spans="1:22">
      <c r="A69" s="231">
        <v>90804</v>
      </c>
      <c r="B69" s="232" t="s">
        <v>785</v>
      </c>
      <c r="C69" s="92">
        <v>6.0000000000000002E-6</v>
      </c>
      <c r="D69" s="92">
        <v>4.6999999999999999E-6</v>
      </c>
      <c r="E69" s="236">
        <v>2490.12</v>
      </c>
      <c r="F69" s="236">
        <v>2109</v>
      </c>
      <c r="G69" s="236">
        <v>12734.01</v>
      </c>
      <c r="H69" s="236"/>
      <c r="I69" s="237">
        <v>239.25</v>
      </c>
      <c r="J69" s="237">
        <v>11159</v>
      </c>
      <c r="K69" s="237">
        <v>872</v>
      </c>
      <c r="L69" s="236">
        <v>2282</v>
      </c>
      <c r="M69" s="236"/>
      <c r="N69" s="237">
        <v>446</v>
      </c>
      <c r="O69" s="237">
        <v>4119</v>
      </c>
      <c r="P69" s="237">
        <v>0</v>
      </c>
      <c r="Q69" s="236">
        <v>0</v>
      </c>
      <c r="R69" s="237">
        <f t="shared" si="0"/>
        <v>7040</v>
      </c>
      <c r="S69" s="236"/>
      <c r="T69" s="237">
        <v>3404</v>
      </c>
      <c r="U69" s="238">
        <v>878</v>
      </c>
      <c r="V69" s="238">
        <v>4282</v>
      </c>
    </row>
    <row r="70" spans="1:22">
      <c r="A70" s="231">
        <v>90805</v>
      </c>
      <c r="B70" s="232" t="s">
        <v>786</v>
      </c>
      <c r="C70" s="92">
        <v>5.5099999999999998E-5</v>
      </c>
      <c r="D70" s="92">
        <v>5.2800000000000003E-5</v>
      </c>
      <c r="E70" s="236">
        <v>34302.799999999996</v>
      </c>
      <c r="F70" s="236">
        <v>23696</v>
      </c>
      <c r="G70" s="236">
        <v>116941</v>
      </c>
      <c r="H70" s="236"/>
      <c r="I70" s="237">
        <v>2197</v>
      </c>
      <c r="J70" s="237">
        <v>102477</v>
      </c>
      <c r="K70" s="237">
        <v>8009</v>
      </c>
      <c r="L70" s="236">
        <v>22372</v>
      </c>
      <c r="M70" s="236"/>
      <c r="N70" s="237">
        <v>4098</v>
      </c>
      <c r="O70" s="237">
        <v>37824</v>
      </c>
      <c r="P70" s="237">
        <v>0</v>
      </c>
      <c r="Q70" s="236">
        <v>0</v>
      </c>
      <c r="R70" s="237">
        <f t="shared" si="0"/>
        <v>64653</v>
      </c>
      <c r="S70" s="236"/>
      <c r="T70" s="237">
        <v>31257</v>
      </c>
      <c r="U70" s="238">
        <v>7625</v>
      </c>
      <c r="V70" s="238">
        <v>38881</v>
      </c>
    </row>
    <row r="71" spans="1:22">
      <c r="A71" s="231">
        <v>90808</v>
      </c>
      <c r="B71" s="232" t="s">
        <v>787</v>
      </c>
      <c r="C71" s="92">
        <v>1.109E-4</v>
      </c>
      <c r="D71" s="92">
        <v>1.176E-4</v>
      </c>
      <c r="E71" s="236">
        <v>47437.34</v>
      </c>
      <c r="F71" s="236">
        <v>52778</v>
      </c>
      <c r="G71" s="236">
        <v>235367</v>
      </c>
      <c r="H71" s="236"/>
      <c r="I71" s="237">
        <v>4422</v>
      </c>
      <c r="J71" s="237">
        <v>206256</v>
      </c>
      <c r="K71" s="237">
        <v>16121</v>
      </c>
      <c r="L71" s="236">
        <v>1422</v>
      </c>
      <c r="M71" s="236"/>
      <c r="N71" s="237">
        <v>8248</v>
      </c>
      <c r="O71" s="237">
        <v>76128</v>
      </c>
      <c r="P71" s="237">
        <v>0</v>
      </c>
      <c r="Q71" s="236">
        <v>2972</v>
      </c>
      <c r="R71" s="237">
        <f t="shared" si="0"/>
        <v>130128</v>
      </c>
      <c r="S71" s="236"/>
      <c r="T71" s="237">
        <v>62910</v>
      </c>
      <c r="U71" s="238">
        <v>-460</v>
      </c>
      <c r="V71" s="238">
        <v>62451</v>
      </c>
    </row>
    <row r="72" spans="1:22">
      <c r="A72" s="231">
        <v>90811</v>
      </c>
      <c r="B72" s="232" t="s">
        <v>788</v>
      </c>
      <c r="C72" s="92">
        <v>4.0000000000000003E-5</v>
      </c>
      <c r="D72" s="92">
        <v>3.6199999999999999E-5</v>
      </c>
      <c r="E72" s="236">
        <v>12069.34</v>
      </c>
      <c r="F72" s="236">
        <v>16246</v>
      </c>
      <c r="G72" s="236">
        <v>84893</v>
      </c>
      <c r="H72" s="236"/>
      <c r="I72" s="237">
        <v>1595</v>
      </c>
      <c r="J72" s="237">
        <v>74394</v>
      </c>
      <c r="K72" s="237">
        <v>5814</v>
      </c>
      <c r="L72" s="236">
        <v>947</v>
      </c>
      <c r="M72" s="236"/>
      <c r="N72" s="237">
        <v>2974.76</v>
      </c>
      <c r="O72" s="237">
        <v>27458</v>
      </c>
      <c r="P72" s="237">
        <v>0</v>
      </c>
      <c r="Q72" s="236">
        <v>2175</v>
      </c>
      <c r="R72" s="237">
        <f t="shared" si="0"/>
        <v>46936</v>
      </c>
      <c r="S72" s="236"/>
      <c r="T72" s="237">
        <v>22691</v>
      </c>
      <c r="U72" s="238">
        <v>-159</v>
      </c>
      <c r="V72" s="238">
        <v>22531</v>
      </c>
    </row>
    <row r="73" spans="1:22">
      <c r="A73" s="231">
        <v>90812</v>
      </c>
      <c r="B73" s="232" t="s">
        <v>789</v>
      </c>
      <c r="C73" s="92">
        <v>2.13E-4</v>
      </c>
      <c r="D73" s="92">
        <v>2.409E-4</v>
      </c>
      <c r="E73" s="236">
        <v>88699.09</v>
      </c>
      <c r="F73" s="236">
        <v>108114</v>
      </c>
      <c r="G73" s="236">
        <v>452057</v>
      </c>
      <c r="H73" s="236"/>
      <c r="I73" s="237">
        <v>8493.375</v>
      </c>
      <c r="J73" s="237">
        <v>396146</v>
      </c>
      <c r="K73" s="237">
        <v>30962</v>
      </c>
      <c r="L73" s="236">
        <v>8573</v>
      </c>
      <c r="M73" s="236"/>
      <c r="N73" s="237">
        <v>15841</v>
      </c>
      <c r="O73" s="237">
        <v>146216</v>
      </c>
      <c r="P73" s="237">
        <v>0</v>
      </c>
      <c r="Q73" s="236">
        <v>14237</v>
      </c>
      <c r="R73" s="237">
        <f t="shared" ref="R73:R136" si="1">IF(J73&gt;O73,J73-O73,O73-J73)</f>
        <v>249930</v>
      </c>
      <c r="S73" s="236"/>
      <c r="T73" s="237">
        <v>120828</v>
      </c>
      <c r="U73" s="238">
        <v>453</v>
      </c>
      <c r="V73" s="238">
        <v>121281</v>
      </c>
    </row>
    <row r="74" spans="1:22">
      <c r="A74" s="231">
        <v>90813</v>
      </c>
      <c r="B74" s="232" t="s">
        <v>790</v>
      </c>
      <c r="C74" s="92">
        <v>5.4999999999999999E-6</v>
      </c>
      <c r="D74" s="92">
        <v>5.4E-6</v>
      </c>
      <c r="E74" s="236">
        <v>1840.5500000000002</v>
      </c>
      <c r="F74" s="236">
        <v>2423</v>
      </c>
      <c r="G74" s="236">
        <v>11673</v>
      </c>
      <c r="H74" s="236"/>
      <c r="I74" s="237">
        <v>219.3125</v>
      </c>
      <c r="J74" s="237">
        <v>10229</v>
      </c>
      <c r="K74" s="237">
        <v>799</v>
      </c>
      <c r="L74" s="236">
        <v>0</v>
      </c>
      <c r="M74" s="236"/>
      <c r="N74" s="237">
        <v>409</v>
      </c>
      <c r="O74" s="237">
        <v>3776</v>
      </c>
      <c r="P74" s="237">
        <v>0</v>
      </c>
      <c r="Q74" s="236">
        <v>1089</v>
      </c>
      <c r="R74" s="237">
        <f t="shared" si="1"/>
        <v>6453</v>
      </c>
      <c r="S74" s="236"/>
      <c r="T74" s="237">
        <v>3120</v>
      </c>
      <c r="U74" s="238">
        <v>-397</v>
      </c>
      <c r="V74" s="238">
        <v>2723</v>
      </c>
    </row>
    <row r="75" spans="1:22">
      <c r="A75" s="231">
        <v>90861</v>
      </c>
      <c r="B75" s="232" t="s">
        <v>791</v>
      </c>
      <c r="C75" s="92">
        <v>4.7999999999999998E-6</v>
      </c>
      <c r="D75" s="92">
        <v>5.3000000000000001E-6</v>
      </c>
      <c r="E75" s="236">
        <v>3509.6600000000008</v>
      </c>
      <c r="F75" s="236">
        <v>2379</v>
      </c>
      <c r="G75" s="236">
        <v>10187</v>
      </c>
      <c r="H75" s="236"/>
      <c r="I75" s="237">
        <v>191</v>
      </c>
      <c r="J75" s="237">
        <v>8927</v>
      </c>
      <c r="K75" s="237">
        <v>698</v>
      </c>
      <c r="L75" s="236">
        <v>3258</v>
      </c>
      <c r="M75" s="236"/>
      <c r="N75" s="237">
        <v>357</v>
      </c>
      <c r="O75" s="237">
        <v>3295</v>
      </c>
      <c r="P75" s="237">
        <v>0</v>
      </c>
      <c r="Q75" s="236">
        <v>2245</v>
      </c>
      <c r="R75" s="237">
        <f t="shared" si="1"/>
        <v>5632</v>
      </c>
      <c r="S75" s="236"/>
      <c r="T75" s="237">
        <v>2723</v>
      </c>
      <c r="U75" s="238">
        <v>-63</v>
      </c>
      <c r="V75" s="238">
        <v>2659</v>
      </c>
    </row>
    <row r="76" spans="1:22">
      <c r="A76" s="231">
        <v>90901</v>
      </c>
      <c r="B76" s="232" t="s">
        <v>792</v>
      </c>
      <c r="C76" s="92">
        <v>2.1302999999999999E-3</v>
      </c>
      <c r="D76" s="92">
        <v>2.2187000000000001E-3</v>
      </c>
      <c r="E76" s="236">
        <v>886462.80000000016</v>
      </c>
      <c r="F76" s="236">
        <v>995739</v>
      </c>
      <c r="G76" s="236">
        <v>4521210</v>
      </c>
      <c r="H76" s="236"/>
      <c r="I76" s="237">
        <v>84946</v>
      </c>
      <c r="J76" s="237">
        <v>3962021</v>
      </c>
      <c r="K76" s="237">
        <v>309663</v>
      </c>
      <c r="L76" s="236">
        <v>9118.18</v>
      </c>
      <c r="M76" s="236"/>
      <c r="N76" s="237">
        <v>158428</v>
      </c>
      <c r="O76" s="237">
        <v>1462361</v>
      </c>
      <c r="P76" s="237">
        <v>0</v>
      </c>
      <c r="Q76" s="236">
        <v>53019</v>
      </c>
      <c r="R76" s="237">
        <f t="shared" si="1"/>
        <v>2499660</v>
      </c>
      <c r="S76" s="236"/>
      <c r="T76" s="237">
        <v>1208453</v>
      </c>
      <c r="U76" s="238">
        <v>-10432</v>
      </c>
      <c r="V76" s="238">
        <v>1198021</v>
      </c>
    </row>
    <row r="77" spans="1:22">
      <c r="A77" s="231">
        <v>90911</v>
      </c>
      <c r="B77" s="232" t="s">
        <v>793</v>
      </c>
      <c r="C77" s="92">
        <v>3.6010000000000003E-4</v>
      </c>
      <c r="D77" s="92">
        <v>3.6860000000000001E-4</v>
      </c>
      <c r="E77" s="236">
        <v>130625.3</v>
      </c>
      <c r="F77" s="236">
        <v>165425</v>
      </c>
      <c r="G77" s="236">
        <v>764253</v>
      </c>
      <c r="H77" s="236"/>
      <c r="I77" s="237">
        <v>14359</v>
      </c>
      <c r="J77" s="237">
        <v>669729</v>
      </c>
      <c r="K77" s="237">
        <v>52344</v>
      </c>
      <c r="L77" s="236">
        <v>0</v>
      </c>
      <c r="M77" s="236"/>
      <c r="N77" s="237">
        <v>26780</v>
      </c>
      <c r="O77" s="237">
        <v>247194</v>
      </c>
      <c r="P77" s="237">
        <v>0</v>
      </c>
      <c r="Q77" s="236">
        <v>51509</v>
      </c>
      <c r="R77" s="237">
        <f t="shared" si="1"/>
        <v>422535</v>
      </c>
      <c r="S77" s="236"/>
      <c r="T77" s="237">
        <v>204274</v>
      </c>
      <c r="U77" s="238">
        <v>-20027</v>
      </c>
      <c r="V77" s="238">
        <v>184246</v>
      </c>
    </row>
    <row r="78" spans="1:22">
      <c r="A78" s="231">
        <v>90917</v>
      </c>
      <c r="B78" s="232" t="s">
        <v>794</v>
      </c>
      <c r="C78" s="92">
        <v>1.42E-5</v>
      </c>
      <c r="D78" s="92">
        <v>1.01E-5</v>
      </c>
      <c r="E78" s="236">
        <v>5168.6200000000008</v>
      </c>
      <c r="F78" s="236">
        <v>4533</v>
      </c>
      <c r="G78" s="236">
        <v>30137</v>
      </c>
      <c r="H78" s="236"/>
      <c r="I78" s="237">
        <v>566.22500000000002</v>
      </c>
      <c r="J78" s="237">
        <v>26410</v>
      </c>
      <c r="K78" s="237">
        <v>2064</v>
      </c>
      <c r="L78" s="236">
        <v>2014</v>
      </c>
      <c r="M78" s="236"/>
      <c r="N78" s="237">
        <v>1056</v>
      </c>
      <c r="O78" s="237">
        <v>9748</v>
      </c>
      <c r="P78" s="237">
        <v>0</v>
      </c>
      <c r="Q78" s="236">
        <v>881.57</v>
      </c>
      <c r="R78" s="237">
        <f t="shared" si="1"/>
        <v>16662</v>
      </c>
      <c r="S78" s="236"/>
      <c r="T78" s="237">
        <v>8055</v>
      </c>
      <c r="U78" s="238">
        <v>110</v>
      </c>
      <c r="V78" s="238">
        <v>8165</v>
      </c>
    </row>
    <row r="79" spans="1:22">
      <c r="A79" s="231">
        <v>90918</v>
      </c>
      <c r="B79" s="232" t="s">
        <v>795</v>
      </c>
      <c r="C79" s="92">
        <v>1.24E-5</v>
      </c>
      <c r="D79" s="92">
        <v>1.3499999999999999E-5</v>
      </c>
      <c r="E79" s="236">
        <v>4291.66</v>
      </c>
      <c r="F79" s="236">
        <v>6059</v>
      </c>
      <c r="G79" s="236">
        <v>26317</v>
      </c>
      <c r="H79" s="236"/>
      <c r="I79" s="237">
        <v>494.45</v>
      </c>
      <c r="J79" s="237">
        <v>23062</v>
      </c>
      <c r="K79" s="237">
        <v>1802</v>
      </c>
      <c r="L79" s="236">
        <v>0</v>
      </c>
      <c r="M79" s="236"/>
      <c r="N79" s="237">
        <v>922</v>
      </c>
      <c r="O79" s="237">
        <v>8512</v>
      </c>
      <c r="P79" s="237">
        <v>0</v>
      </c>
      <c r="Q79" s="236">
        <v>2531</v>
      </c>
      <c r="R79" s="237">
        <f t="shared" si="1"/>
        <v>14550</v>
      </c>
      <c r="S79" s="236"/>
      <c r="T79" s="237">
        <v>7034</v>
      </c>
      <c r="U79" s="238">
        <v>-865</v>
      </c>
      <c r="V79" s="238">
        <v>6169</v>
      </c>
    </row>
    <row r="80" spans="1:22">
      <c r="A80" s="231">
        <v>90921</v>
      </c>
      <c r="B80" s="232" t="s">
        <v>796</v>
      </c>
      <c r="C80" s="92">
        <v>8.7399999999999997E-5</v>
      </c>
      <c r="D80" s="92">
        <v>1.149E-4</v>
      </c>
      <c r="E80" s="236">
        <v>45670.59</v>
      </c>
      <c r="F80" s="236">
        <v>51566</v>
      </c>
      <c r="G80" s="236">
        <v>185492</v>
      </c>
      <c r="H80" s="236"/>
      <c r="I80" s="237">
        <v>3485</v>
      </c>
      <c r="J80" s="237">
        <v>162550</v>
      </c>
      <c r="K80" s="237">
        <v>12705</v>
      </c>
      <c r="L80" s="236">
        <v>4488</v>
      </c>
      <c r="M80" s="236"/>
      <c r="N80" s="237">
        <v>6500</v>
      </c>
      <c r="O80" s="237">
        <v>59996</v>
      </c>
      <c r="P80" s="237">
        <v>0</v>
      </c>
      <c r="Q80" s="236">
        <v>10576</v>
      </c>
      <c r="R80" s="237">
        <f t="shared" si="1"/>
        <v>102554</v>
      </c>
      <c r="S80" s="236"/>
      <c r="T80" s="237">
        <v>49579</v>
      </c>
      <c r="U80" s="238">
        <v>-1977</v>
      </c>
      <c r="V80" s="238">
        <v>47602</v>
      </c>
    </row>
    <row r="81" spans="1:22">
      <c r="A81" s="231">
        <v>90931</v>
      </c>
      <c r="B81" s="232" t="s">
        <v>797</v>
      </c>
      <c r="C81" s="92">
        <v>5.1900000000000001E-5</v>
      </c>
      <c r="D81" s="92">
        <v>6.2700000000000006E-5</v>
      </c>
      <c r="E81" s="236">
        <v>20869.29</v>
      </c>
      <c r="F81" s="236">
        <v>28139</v>
      </c>
      <c r="G81" s="236">
        <v>110149</v>
      </c>
      <c r="H81" s="236"/>
      <c r="I81" s="237">
        <v>2070</v>
      </c>
      <c r="J81" s="237">
        <v>96526</v>
      </c>
      <c r="K81" s="237">
        <v>7544</v>
      </c>
      <c r="L81" s="236">
        <v>6439</v>
      </c>
      <c r="M81" s="236"/>
      <c r="N81" s="237">
        <v>3860</v>
      </c>
      <c r="O81" s="237">
        <v>35627</v>
      </c>
      <c r="P81" s="237">
        <v>0</v>
      </c>
      <c r="Q81" s="236">
        <v>6227</v>
      </c>
      <c r="R81" s="237">
        <f t="shared" si="1"/>
        <v>60899</v>
      </c>
      <c r="S81" s="236"/>
      <c r="T81" s="237">
        <v>29441</v>
      </c>
      <c r="U81" s="238">
        <v>1082</v>
      </c>
      <c r="V81" s="238">
        <v>30524</v>
      </c>
    </row>
    <row r="82" spans="1:22">
      <c r="A82" s="231">
        <v>90941</v>
      </c>
      <c r="B82" s="232" t="s">
        <v>798</v>
      </c>
      <c r="C82" s="92">
        <v>9.0799999999999998E-5</v>
      </c>
      <c r="D82" s="92">
        <v>8.1199999999999995E-5</v>
      </c>
      <c r="E82" s="236">
        <v>33657.32</v>
      </c>
      <c r="F82" s="236">
        <v>36442</v>
      </c>
      <c r="G82" s="236">
        <v>192708</v>
      </c>
      <c r="H82" s="236"/>
      <c r="I82" s="237">
        <v>3620.65</v>
      </c>
      <c r="J82" s="237">
        <v>168874</v>
      </c>
      <c r="K82" s="237">
        <v>13199</v>
      </c>
      <c r="L82" s="236">
        <v>2275</v>
      </c>
      <c r="M82" s="236"/>
      <c r="N82" s="237">
        <v>6753</v>
      </c>
      <c r="O82" s="237">
        <v>62330</v>
      </c>
      <c r="P82" s="237">
        <v>0</v>
      </c>
      <c r="Q82" s="236">
        <v>7609</v>
      </c>
      <c r="R82" s="237">
        <f t="shared" si="1"/>
        <v>106544</v>
      </c>
      <c r="S82" s="236"/>
      <c r="T82" s="237">
        <v>51508</v>
      </c>
      <c r="U82" s="238">
        <v>-2188</v>
      </c>
      <c r="V82" s="238">
        <v>49320</v>
      </c>
    </row>
    <row r="83" spans="1:22">
      <c r="A83" s="231">
        <v>91001</v>
      </c>
      <c r="B83" s="232" t="s">
        <v>799</v>
      </c>
      <c r="C83" s="92">
        <v>6.6189999999999999E-3</v>
      </c>
      <c r="D83" s="92">
        <v>6.5719999999999997E-3</v>
      </c>
      <c r="E83" s="236">
        <v>2476167.31</v>
      </c>
      <c r="F83" s="236">
        <v>2949474</v>
      </c>
      <c r="G83" s="236">
        <v>14047735</v>
      </c>
      <c r="H83" s="236"/>
      <c r="I83" s="237">
        <v>263933</v>
      </c>
      <c r="J83" s="237">
        <v>12310294</v>
      </c>
      <c r="K83" s="237">
        <v>962144</v>
      </c>
      <c r="L83" s="236">
        <v>72024</v>
      </c>
      <c r="M83" s="236"/>
      <c r="N83" s="237">
        <v>492248</v>
      </c>
      <c r="O83" s="237">
        <v>4543666</v>
      </c>
      <c r="P83" s="237">
        <v>0</v>
      </c>
      <c r="Q83" s="236">
        <v>203248</v>
      </c>
      <c r="R83" s="237">
        <f t="shared" si="1"/>
        <v>7766628</v>
      </c>
      <c r="S83" s="236"/>
      <c r="T83" s="237">
        <v>3754754</v>
      </c>
      <c r="U83" s="238">
        <v>-19657</v>
      </c>
      <c r="V83" s="238">
        <v>3735096</v>
      </c>
    </row>
    <row r="84" spans="1:22">
      <c r="A84" s="231">
        <v>91002</v>
      </c>
      <c r="B84" s="232" t="s">
        <v>800</v>
      </c>
      <c r="C84" s="92">
        <v>5.6360000000000004E-4</v>
      </c>
      <c r="D84" s="92">
        <v>5.8929999999999996E-4</v>
      </c>
      <c r="E84" s="236">
        <v>198213.95</v>
      </c>
      <c r="F84" s="236">
        <v>264474</v>
      </c>
      <c r="G84" s="236">
        <v>1196148</v>
      </c>
      <c r="H84" s="236"/>
      <c r="I84" s="237">
        <v>22474</v>
      </c>
      <c r="J84" s="237">
        <v>1048207</v>
      </c>
      <c r="K84" s="237">
        <v>81925</v>
      </c>
      <c r="L84" s="236">
        <v>5287.43</v>
      </c>
      <c r="M84" s="236"/>
      <c r="N84" s="237">
        <v>41914</v>
      </c>
      <c r="O84" s="237">
        <v>386888</v>
      </c>
      <c r="P84" s="237">
        <v>0</v>
      </c>
      <c r="Q84" s="236">
        <v>69296</v>
      </c>
      <c r="R84" s="237">
        <f t="shared" si="1"/>
        <v>661319</v>
      </c>
      <c r="S84" s="236"/>
      <c r="T84" s="237">
        <v>319713</v>
      </c>
      <c r="U84" s="238">
        <v>-18039</v>
      </c>
      <c r="V84" s="238">
        <v>301674</v>
      </c>
    </row>
    <row r="85" spans="1:22">
      <c r="A85" s="231">
        <v>91003</v>
      </c>
      <c r="B85" s="232" t="s">
        <v>801</v>
      </c>
      <c r="C85" s="92">
        <v>5.6550000000000003E-4</v>
      </c>
      <c r="D85" s="92">
        <v>6.4320000000000002E-4</v>
      </c>
      <c r="E85" s="236">
        <v>237082.57000000004</v>
      </c>
      <c r="F85" s="236">
        <v>288664</v>
      </c>
      <c r="G85" s="236">
        <v>1200180</v>
      </c>
      <c r="H85" s="236"/>
      <c r="I85" s="237">
        <v>22549.3125</v>
      </c>
      <c r="J85" s="237">
        <v>1051741</v>
      </c>
      <c r="K85" s="237">
        <v>82202</v>
      </c>
      <c r="L85" s="236">
        <v>33107</v>
      </c>
      <c r="M85" s="236"/>
      <c r="N85" s="237">
        <v>42056</v>
      </c>
      <c r="O85" s="237">
        <v>388192</v>
      </c>
      <c r="P85" s="237">
        <v>0</v>
      </c>
      <c r="Q85" s="236">
        <v>38498</v>
      </c>
      <c r="R85" s="237">
        <f t="shared" si="1"/>
        <v>663549</v>
      </c>
      <c r="S85" s="236"/>
      <c r="T85" s="237">
        <v>320791</v>
      </c>
      <c r="U85" s="238">
        <v>4893</v>
      </c>
      <c r="V85" s="238">
        <v>325683</v>
      </c>
    </row>
    <row r="86" spans="1:22">
      <c r="A86" s="231">
        <v>91004</v>
      </c>
      <c r="B86" s="232" t="s">
        <v>802</v>
      </c>
      <c r="C86" s="92">
        <v>1.7499999999999998E-5</v>
      </c>
      <c r="D86" s="92">
        <v>1.8199999999999999E-5</v>
      </c>
      <c r="E86" s="236">
        <v>9479.5499999999993</v>
      </c>
      <c r="F86" s="236">
        <v>8168</v>
      </c>
      <c r="G86" s="236">
        <v>37141</v>
      </c>
      <c r="H86" s="236"/>
      <c r="I86" s="237">
        <v>698</v>
      </c>
      <c r="J86" s="237">
        <v>32547</v>
      </c>
      <c r="K86" s="237">
        <v>2544</v>
      </c>
      <c r="L86" s="236">
        <v>7859</v>
      </c>
      <c r="M86" s="236"/>
      <c r="N86" s="237">
        <v>1301.4575</v>
      </c>
      <c r="O86" s="237">
        <v>12013</v>
      </c>
      <c r="P86" s="237">
        <v>0</v>
      </c>
      <c r="Q86" s="236">
        <v>217</v>
      </c>
      <c r="R86" s="237">
        <f t="shared" si="1"/>
        <v>20534</v>
      </c>
      <c r="S86" s="236"/>
      <c r="T86" s="237">
        <v>9927</v>
      </c>
      <c r="U86" s="238">
        <v>2541</v>
      </c>
      <c r="V86" s="238">
        <v>12468</v>
      </c>
    </row>
    <row r="87" spans="1:22">
      <c r="A87" s="231">
        <v>91006</v>
      </c>
      <c r="B87" s="232" t="s">
        <v>803</v>
      </c>
      <c r="C87" s="92">
        <v>1.0096E-3</v>
      </c>
      <c r="D87" s="92">
        <v>1.0097000000000001E-3</v>
      </c>
      <c r="E87" s="236">
        <v>387783.48000000004</v>
      </c>
      <c r="F87" s="236">
        <v>453147</v>
      </c>
      <c r="G87" s="236">
        <v>2142709</v>
      </c>
      <c r="H87" s="236"/>
      <c r="I87" s="237">
        <v>40258</v>
      </c>
      <c r="J87" s="237">
        <v>1877696</v>
      </c>
      <c r="K87" s="237">
        <v>146756</v>
      </c>
      <c r="L87" s="236">
        <v>28780</v>
      </c>
      <c r="M87" s="236"/>
      <c r="N87" s="237">
        <v>75083</v>
      </c>
      <c r="O87" s="237">
        <v>693048</v>
      </c>
      <c r="P87" s="237">
        <v>0</v>
      </c>
      <c r="Q87" s="236">
        <v>21822</v>
      </c>
      <c r="R87" s="237">
        <f t="shared" si="1"/>
        <v>1184648</v>
      </c>
      <c r="S87" s="236"/>
      <c r="T87" s="237">
        <v>572715</v>
      </c>
      <c r="U87" s="238">
        <v>4927</v>
      </c>
      <c r="V87" s="238">
        <v>577642</v>
      </c>
    </row>
    <row r="88" spans="1:22">
      <c r="A88" s="231">
        <v>91007</v>
      </c>
      <c r="B88" s="232" t="s">
        <v>804</v>
      </c>
      <c r="C88" s="92">
        <v>1.2500000000000001E-5</v>
      </c>
      <c r="D88" s="92">
        <v>9.5999999999999996E-6</v>
      </c>
      <c r="E88" s="236">
        <v>10106.58</v>
      </c>
      <c r="F88" s="236">
        <v>4308</v>
      </c>
      <c r="G88" s="236">
        <v>26529.1875</v>
      </c>
      <c r="H88" s="236"/>
      <c r="I88" s="237">
        <v>498.4375</v>
      </c>
      <c r="J88" s="237">
        <v>23248</v>
      </c>
      <c r="K88" s="237">
        <v>1817</v>
      </c>
      <c r="L88" s="236">
        <v>7512</v>
      </c>
      <c r="M88" s="236"/>
      <c r="N88" s="237">
        <v>930</v>
      </c>
      <c r="O88" s="237">
        <v>8581</v>
      </c>
      <c r="P88" s="237">
        <v>0</v>
      </c>
      <c r="Q88" s="236">
        <v>1019</v>
      </c>
      <c r="R88" s="237">
        <f t="shared" si="1"/>
        <v>14667</v>
      </c>
      <c r="S88" s="236"/>
      <c r="T88" s="237">
        <v>7091</v>
      </c>
      <c r="U88" s="238">
        <v>1625</v>
      </c>
      <c r="V88" s="238">
        <v>8716</v>
      </c>
    </row>
    <row r="89" spans="1:22">
      <c r="A89" s="231">
        <v>91008</v>
      </c>
      <c r="B89" s="232" t="s">
        <v>805</v>
      </c>
      <c r="C89" s="92">
        <v>1.273E-4</v>
      </c>
      <c r="D89" s="92">
        <v>1.1629999999999999E-4</v>
      </c>
      <c r="E89" s="236">
        <v>64142.909999999996</v>
      </c>
      <c r="F89" s="236">
        <v>52195</v>
      </c>
      <c r="G89" s="236">
        <v>270173</v>
      </c>
      <c r="H89" s="236"/>
      <c r="I89" s="237">
        <v>5076</v>
      </c>
      <c r="J89" s="237">
        <v>236758</v>
      </c>
      <c r="K89" s="237">
        <v>18504</v>
      </c>
      <c r="L89" s="236">
        <v>45460</v>
      </c>
      <c r="M89" s="236"/>
      <c r="N89" s="237">
        <v>9467</v>
      </c>
      <c r="O89" s="237">
        <v>87386</v>
      </c>
      <c r="P89" s="237">
        <v>0</v>
      </c>
      <c r="Q89" s="236">
        <v>0</v>
      </c>
      <c r="R89" s="237">
        <f t="shared" si="1"/>
        <v>149372</v>
      </c>
      <c r="S89" s="236"/>
      <c r="T89" s="237">
        <v>72213</v>
      </c>
      <c r="U89" s="238">
        <v>15722</v>
      </c>
      <c r="V89" s="238">
        <v>87935</v>
      </c>
    </row>
    <row r="90" spans="1:22">
      <c r="A90" s="231">
        <v>91009</v>
      </c>
      <c r="B90" s="232" t="s">
        <v>806</v>
      </c>
      <c r="C90" s="92">
        <v>1.8700000000000001E-5</v>
      </c>
      <c r="D90" s="92">
        <v>1.5099999999999999E-5</v>
      </c>
      <c r="E90" s="236">
        <v>10450.36</v>
      </c>
      <c r="F90" s="236">
        <v>6777</v>
      </c>
      <c r="G90" s="236">
        <v>39688</v>
      </c>
      <c r="H90" s="236"/>
      <c r="I90" s="237">
        <v>745.66250000000002</v>
      </c>
      <c r="J90" s="237">
        <v>34779</v>
      </c>
      <c r="K90" s="237">
        <v>2718</v>
      </c>
      <c r="L90" s="236">
        <v>4142</v>
      </c>
      <c r="M90" s="236"/>
      <c r="N90" s="237">
        <v>1391</v>
      </c>
      <c r="O90" s="237">
        <v>12837</v>
      </c>
      <c r="P90" s="237">
        <v>0</v>
      </c>
      <c r="Q90" s="236">
        <v>3815</v>
      </c>
      <c r="R90" s="237">
        <f t="shared" si="1"/>
        <v>21942</v>
      </c>
      <c r="S90" s="236"/>
      <c r="T90" s="237">
        <v>10608</v>
      </c>
      <c r="U90" s="238">
        <v>-284</v>
      </c>
      <c r="V90" s="238">
        <v>10324</v>
      </c>
    </row>
    <row r="91" spans="1:22">
      <c r="A91" s="231">
        <v>91010</v>
      </c>
      <c r="B91" s="232" t="s">
        <v>807</v>
      </c>
      <c r="C91" s="92">
        <v>6.8399999999999996E-5</v>
      </c>
      <c r="D91" s="92">
        <v>7.08E-5</v>
      </c>
      <c r="E91" s="236">
        <v>29262.219999999998</v>
      </c>
      <c r="F91" s="236">
        <v>31775</v>
      </c>
      <c r="G91" s="236">
        <v>145168</v>
      </c>
      <c r="H91" s="236"/>
      <c r="I91" s="237">
        <v>2727.45</v>
      </c>
      <c r="J91" s="237">
        <v>127213</v>
      </c>
      <c r="K91" s="237">
        <v>9943</v>
      </c>
      <c r="L91" s="236">
        <v>10683</v>
      </c>
      <c r="M91" s="236"/>
      <c r="N91" s="237">
        <v>5087</v>
      </c>
      <c r="O91" s="237">
        <v>46954</v>
      </c>
      <c r="P91" s="237">
        <v>0</v>
      </c>
      <c r="Q91" s="236">
        <v>400</v>
      </c>
      <c r="R91" s="237">
        <f t="shared" si="1"/>
        <v>80259</v>
      </c>
      <c r="S91" s="236"/>
      <c r="T91" s="237">
        <v>38801</v>
      </c>
      <c r="U91" s="238">
        <v>4384</v>
      </c>
      <c r="V91" s="238">
        <v>43185</v>
      </c>
    </row>
    <row r="92" spans="1:22">
      <c r="A92" s="231">
        <v>91011</v>
      </c>
      <c r="B92" s="232" t="s">
        <v>808</v>
      </c>
      <c r="C92" s="92">
        <v>3.1789999999999998E-4</v>
      </c>
      <c r="D92" s="92">
        <v>3.0249999999999998E-4</v>
      </c>
      <c r="E92" s="236">
        <v>134881.49</v>
      </c>
      <c r="F92" s="236">
        <v>135760</v>
      </c>
      <c r="G92" s="236">
        <v>674690</v>
      </c>
      <c r="H92" s="236"/>
      <c r="I92" s="237">
        <v>12676</v>
      </c>
      <c r="J92" s="237">
        <v>591244</v>
      </c>
      <c r="K92" s="237">
        <v>46210</v>
      </c>
      <c r="L92" s="236">
        <v>30818</v>
      </c>
      <c r="M92" s="236"/>
      <c r="N92" s="237">
        <v>23642</v>
      </c>
      <c r="O92" s="237">
        <v>218225</v>
      </c>
      <c r="P92" s="237">
        <v>0</v>
      </c>
      <c r="Q92" s="236">
        <v>0</v>
      </c>
      <c r="R92" s="237">
        <f t="shared" si="1"/>
        <v>373019</v>
      </c>
      <c r="S92" s="236"/>
      <c r="T92" s="237">
        <v>180335</v>
      </c>
      <c r="U92" s="238">
        <v>10335</v>
      </c>
      <c r="V92" s="238">
        <v>190670</v>
      </c>
    </row>
    <row r="93" spans="1:22">
      <c r="A93" s="231">
        <v>91012</v>
      </c>
      <c r="B93" s="232" t="s">
        <v>809</v>
      </c>
      <c r="C93" s="92">
        <v>1.49E-5</v>
      </c>
      <c r="D93" s="92">
        <v>1.08E-5</v>
      </c>
      <c r="E93" s="236">
        <v>7817.43</v>
      </c>
      <c r="F93" s="236">
        <v>4847</v>
      </c>
      <c r="G93" s="236">
        <v>31623</v>
      </c>
      <c r="H93" s="236"/>
      <c r="I93" s="237">
        <v>594</v>
      </c>
      <c r="J93" s="237">
        <v>27712</v>
      </c>
      <c r="K93" s="237">
        <v>2166</v>
      </c>
      <c r="L93" s="236">
        <v>3563</v>
      </c>
      <c r="M93" s="236"/>
      <c r="N93" s="237">
        <v>1108</v>
      </c>
      <c r="O93" s="237">
        <v>10228</v>
      </c>
      <c r="P93" s="237">
        <v>0</v>
      </c>
      <c r="Q93" s="236">
        <v>4733</v>
      </c>
      <c r="R93" s="237">
        <f t="shared" si="1"/>
        <v>17484</v>
      </c>
      <c r="S93" s="236"/>
      <c r="T93" s="237">
        <v>8452</v>
      </c>
      <c r="U93" s="238">
        <v>-1352</v>
      </c>
      <c r="V93" s="238">
        <v>7100</v>
      </c>
    </row>
    <row r="94" spans="1:22">
      <c r="A94" s="231">
        <v>91013</v>
      </c>
      <c r="B94" s="232" t="s">
        <v>810</v>
      </c>
      <c r="C94" s="92">
        <v>2.1800000000000001E-5</v>
      </c>
      <c r="D94" s="92">
        <v>0</v>
      </c>
      <c r="E94" s="236">
        <v>20992.21</v>
      </c>
      <c r="F94" s="236">
        <v>0</v>
      </c>
      <c r="G94" s="236">
        <v>46267</v>
      </c>
      <c r="H94" s="236"/>
      <c r="I94" s="237">
        <v>869</v>
      </c>
      <c r="J94" s="237">
        <v>40545</v>
      </c>
      <c r="K94" s="237">
        <v>3169</v>
      </c>
      <c r="L94" s="236">
        <v>21362</v>
      </c>
      <c r="M94" s="236"/>
      <c r="N94" s="237">
        <v>1621</v>
      </c>
      <c r="O94" s="237">
        <v>14965</v>
      </c>
      <c r="P94" s="237">
        <v>0</v>
      </c>
      <c r="Q94" s="236">
        <v>0</v>
      </c>
      <c r="R94" s="237">
        <f t="shared" si="1"/>
        <v>25580</v>
      </c>
      <c r="S94" s="236"/>
      <c r="T94" s="237">
        <v>12366</v>
      </c>
      <c r="U94" s="238">
        <v>5534</v>
      </c>
      <c r="V94" s="238">
        <v>17901</v>
      </c>
    </row>
    <row r="95" spans="1:22">
      <c r="A95" s="231">
        <v>91014</v>
      </c>
      <c r="B95" s="232" t="s">
        <v>811</v>
      </c>
      <c r="C95" s="92">
        <v>2.1499999999999999E-4</v>
      </c>
      <c r="D95" s="92">
        <v>2.241E-4</v>
      </c>
      <c r="E95" s="236">
        <v>84391.47</v>
      </c>
      <c r="F95" s="236">
        <v>100575</v>
      </c>
      <c r="G95" s="236">
        <v>456302</v>
      </c>
      <c r="H95" s="236"/>
      <c r="I95" s="237">
        <v>8573.125</v>
      </c>
      <c r="J95" s="237">
        <v>399866</v>
      </c>
      <c r="K95" s="237">
        <v>31253</v>
      </c>
      <c r="L95" s="236">
        <v>0</v>
      </c>
      <c r="M95" s="236"/>
      <c r="N95" s="237">
        <v>15989</v>
      </c>
      <c r="O95" s="237">
        <v>147588.47</v>
      </c>
      <c r="P95" s="237">
        <v>0</v>
      </c>
      <c r="Q95" s="236">
        <v>17744</v>
      </c>
      <c r="R95" s="237">
        <f t="shared" si="1"/>
        <v>252277.53</v>
      </c>
      <c r="S95" s="236"/>
      <c r="T95" s="237">
        <v>121963</v>
      </c>
      <c r="U95" s="238">
        <v>-6457</v>
      </c>
      <c r="V95" s="238">
        <v>115506</v>
      </c>
    </row>
    <row r="96" spans="1:22">
      <c r="A96" s="231">
        <v>91017</v>
      </c>
      <c r="B96" s="232" t="s">
        <v>812</v>
      </c>
      <c r="C96" s="92">
        <v>2.3E-5</v>
      </c>
      <c r="D96" s="92">
        <v>1.01E-5</v>
      </c>
      <c r="E96" s="236">
        <v>10837.78</v>
      </c>
      <c r="F96" s="236">
        <v>4533</v>
      </c>
      <c r="G96" s="236">
        <v>48814</v>
      </c>
      <c r="H96" s="236"/>
      <c r="I96" s="237">
        <v>917.125</v>
      </c>
      <c r="J96" s="237">
        <v>42776</v>
      </c>
      <c r="K96" s="237">
        <v>3343</v>
      </c>
      <c r="L96" s="236">
        <v>11872</v>
      </c>
      <c r="M96" s="236"/>
      <c r="N96" s="237">
        <v>1710</v>
      </c>
      <c r="O96" s="237">
        <v>15789</v>
      </c>
      <c r="P96" s="237">
        <v>0</v>
      </c>
      <c r="Q96" s="236">
        <v>0</v>
      </c>
      <c r="R96" s="237">
        <f t="shared" si="1"/>
        <v>26987</v>
      </c>
      <c r="S96" s="236"/>
      <c r="T96" s="237">
        <v>13047</v>
      </c>
      <c r="U96" s="238">
        <v>3546</v>
      </c>
      <c r="V96" s="238">
        <v>16593</v>
      </c>
    </row>
    <row r="97" spans="1:22">
      <c r="A97" s="231">
        <v>91020</v>
      </c>
      <c r="B97" s="232" t="s">
        <v>813</v>
      </c>
      <c r="C97" s="92">
        <v>1.9899999999999999E-5</v>
      </c>
      <c r="D97" s="92">
        <v>1.7E-5</v>
      </c>
      <c r="E97" s="236">
        <v>8500.07</v>
      </c>
      <c r="F97" s="236">
        <v>7629</v>
      </c>
      <c r="G97" s="236">
        <v>42234</v>
      </c>
      <c r="H97" s="236"/>
      <c r="I97" s="237">
        <v>794</v>
      </c>
      <c r="J97" s="237">
        <v>37011</v>
      </c>
      <c r="K97" s="237">
        <v>2893</v>
      </c>
      <c r="L97" s="236">
        <v>2656</v>
      </c>
      <c r="M97" s="236"/>
      <c r="N97" s="237">
        <v>1480</v>
      </c>
      <c r="O97" s="237">
        <v>13661</v>
      </c>
      <c r="P97" s="237">
        <v>0</v>
      </c>
      <c r="Q97" s="236">
        <v>582</v>
      </c>
      <c r="R97" s="237">
        <f t="shared" si="1"/>
        <v>23350</v>
      </c>
      <c r="S97" s="236"/>
      <c r="T97" s="237">
        <v>11289</v>
      </c>
      <c r="U97" s="238">
        <v>685</v>
      </c>
      <c r="V97" s="238">
        <v>11973</v>
      </c>
    </row>
    <row r="98" spans="1:22">
      <c r="A98" s="231">
        <v>91021</v>
      </c>
      <c r="B98" s="232" t="s">
        <v>814</v>
      </c>
      <c r="C98" s="92">
        <v>8.6989999999999995E-4</v>
      </c>
      <c r="D98" s="92">
        <v>9.4979999999999999E-4</v>
      </c>
      <c r="E98" s="236">
        <v>366474.75</v>
      </c>
      <c r="F98" s="236">
        <v>426265</v>
      </c>
      <c r="G98" s="236">
        <v>1846219</v>
      </c>
      <c r="H98" s="236"/>
      <c r="I98" s="237">
        <v>34687</v>
      </c>
      <c r="J98" s="237">
        <v>1617877</v>
      </c>
      <c r="K98" s="237">
        <v>126450</v>
      </c>
      <c r="L98" s="236">
        <v>0</v>
      </c>
      <c r="M98" s="236"/>
      <c r="N98" s="237">
        <v>64694</v>
      </c>
      <c r="O98" s="237">
        <v>597150</v>
      </c>
      <c r="P98" s="237">
        <v>0</v>
      </c>
      <c r="Q98" s="236">
        <v>117733</v>
      </c>
      <c r="R98" s="237">
        <f t="shared" si="1"/>
        <v>1020727</v>
      </c>
      <c r="S98" s="236"/>
      <c r="T98" s="237">
        <v>493467</v>
      </c>
      <c r="U98" s="238">
        <v>-45954</v>
      </c>
      <c r="V98" s="238">
        <v>447513</v>
      </c>
    </row>
    <row r="99" spans="1:22">
      <c r="A99" s="231">
        <v>91024</v>
      </c>
      <c r="B99" s="232" t="s">
        <v>815</v>
      </c>
      <c r="C99" s="92">
        <v>6.6299999999999999E-5</v>
      </c>
      <c r="D99" s="92">
        <v>4.3800000000000001E-5</v>
      </c>
      <c r="E99" s="236">
        <v>26295.57</v>
      </c>
      <c r="F99" s="236">
        <v>19657</v>
      </c>
      <c r="G99" s="236">
        <v>140711</v>
      </c>
      <c r="H99" s="236"/>
      <c r="I99" s="237">
        <v>2644</v>
      </c>
      <c r="J99" s="237">
        <v>123308</v>
      </c>
      <c r="K99" s="237">
        <v>9637</v>
      </c>
      <c r="L99" s="236">
        <v>28363</v>
      </c>
      <c r="M99" s="236"/>
      <c r="N99" s="237">
        <v>4931</v>
      </c>
      <c r="O99" s="237">
        <v>45512</v>
      </c>
      <c r="P99" s="237">
        <v>0</v>
      </c>
      <c r="Q99" s="236">
        <v>0</v>
      </c>
      <c r="R99" s="237">
        <f t="shared" si="1"/>
        <v>77796</v>
      </c>
      <c r="S99" s="236"/>
      <c r="T99" s="237">
        <v>37610</v>
      </c>
      <c r="U99" s="238">
        <v>9531</v>
      </c>
      <c r="V99" s="238">
        <v>47141</v>
      </c>
    </row>
    <row r="100" spans="1:22">
      <c r="A100" s="231">
        <v>91026</v>
      </c>
      <c r="B100" s="232" t="s">
        <v>43</v>
      </c>
      <c r="C100" s="92">
        <v>6.0900000000000003E-5</v>
      </c>
      <c r="D100" s="92">
        <v>5.4700000000000001E-5</v>
      </c>
      <c r="E100" s="236">
        <v>45660.320000000007</v>
      </c>
      <c r="F100" s="236">
        <v>24549</v>
      </c>
      <c r="G100" s="236">
        <v>129250</v>
      </c>
      <c r="H100" s="236"/>
      <c r="I100" s="237">
        <v>2428</v>
      </c>
      <c r="J100" s="237">
        <v>113264</v>
      </c>
      <c r="K100" s="237">
        <v>8852</v>
      </c>
      <c r="L100" s="236">
        <v>43564</v>
      </c>
      <c r="M100" s="236"/>
      <c r="N100" s="237">
        <v>4529</v>
      </c>
      <c r="O100" s="237">
        <v>41805</v>
      </c>
      <c r="P100" s="237">
        <v>0</v>
      </c>
      <c r="Q100" s="236">
        <v>6237</v>
      </c>
      <c r="R100" s="237">
        <f t="shared" si="1"/>
        <v>71459</v>
      </c>
      <c r="S100" s="236"/>
      <c r="T100" s="237">
        <v>34547</v>
      </c>
      <c r="U100" s="238">
        <v>10429</v>
      </c>
      <c r="V100" s="238">
        <v>44976</v>
      </c>
    </row>
    <row r="101" spans="1:22">
      <c r="A101" s="231">
        <v>91027</v>
      </c>
      <c r="B101" s="232" t="s">
        <v>816</v>
      </c>
      <c r="C101" s="92">
        <v>1.6099999999999998E-5</v>
      </c>
      <c r="D101" s="92">
        <v>1.6099999999999998E-5</v>
      </c>
      <c r="E101" s="236">
        <v>15581.259999999998</v>
      </c>
      <c r="F101" s="236">
        <v>7226</v>
      </c>
      <c r="G101" s="236">
        <v>34170</v>
      </c>
      <c r="H101" s="236"/>
      <c r="I101" s="237">
        <v>642</v>
      </c>
      <c r="J101" s="237">
        <v>29943</v>
      </c>
      <c r="K101" s="237">
        <v>2340</v>
      </c>
      <c r="L101" s="236">
        <v>15162</v>
      </c>
      <c r="M101" s="236"/>
      <c r="N101" s="237">
        <v>1197</v>
      </c>
      <c r="O101" s="237">
        <v>11052</v>
      </c>
      <c r="P101" s="237">
        <v>0</v>
      </c>
      <c r="Q101" s="236">
        <v>0</v>
      </c>
      <c r="R101" s="237">
        <f t="shared" si="1"/>
        <v>18891</v>
      </c>
      <c r="S101" s="236"/>
      <c r="T101" s="237">
        <v>9133</v>
      </c>
      <c r="U101" s="238">
        <v>5044</v>
      </c>
      <c r="V101" s="238">
        <v>14177</v>
      </c>
    </row>
    <row r="102" spans="1:22">
      <c r="A102" s="231">
        <v>91032</v>
      </c>
      <c r="B102" s="232" t="s">
        <v>817</v>
      </c>
      <c r="C102" s="92">
        <v>1.8600000000000001E-5</v>
      </c>
      <c r="D102" s="92">
        <v>2.12E-5</v>
      </c>
      <c r="E102" s="236">
        <v>14204.55</v>
      </c>
      <c r="F102" s="236">
        <v>9514</v>
      </c>
      <c r="G102" s="236">
        <v>39475</v>
      </c>
      <c r="H102" s="236"/>
      <c r="I102" s="237">
        <v>742</v>
      </c>
      <c r="J102" s="237">
        <v>34593</v>
      </c>
      <c r="K102" s="237">
        <v>2704</v>
      </c>
      <c r="L102" s="236">
        <v>14052</v>
      </c>
      <c r="M102" s="236"/>
      <c r="N102" s="237">
        <v>1383</v>
      </c>
      <c r="O102" s="237">
        <v>12768</v>
      </c>
      <c r="P102" s="237">
        <v>0</v>
      </c>
      <c r="Q102" s="236">
        <v>0</v>
      </c>
      <c r="R102" s="237">
        <f t="shared" si="1"/>
        <v>21825</v>
      </c>
      <c r="S102" s="236"/>
      <c r="T102" s="237">
        <v>10551</v>
      </c>
      <c r="U102" s="238">
        <v>4978</v>
      </c>
      <c r="V102" s="238">
        <v>15529</v>
      </c>
    </row>
    <row r="103" spans="1:22">
      <c r="A103" s="231">
        <v>91041</v>
      </c>
      <c r="B103" s="232" t="s">
        <v>818</v>
      </c>
      <c r="C103" s="92">
        <v>4.3609999999999998E-4</v>
      </c>
      <c r="D103" s="92">
        <v>4.8910000000000002E-4</v>
      </c>
      <c r="E103" s="236">
        <v>143841.5</v>
      </c>
      <c r="F103" s="236">
        <v>219505</v>
      </c>
      <c r="G103" s="236">
        <v>925550</v>
      </c>
      <c r="H103" s="236"/>
      <c r="I103" s="237">
        <v>17389</v>
      </c>
      <c r="J103" s="237">
        <v>811077</v>
      </c>
      <c r="K103" s="237">
        <v>63392</v>
      </c>
      <c r="L103" s="236">
        <v>0</v>
      </c>
      <c r="M103" s="236"/>
      <c r="N103" s="237">
        <v>32432</v>
      </c>
      <c r="O103" s="237">
        <v>299364</v>
      </c>
      <c r="P103" s="237">
        <v>0</v>
      </c>
      <c r="Q103" s="236">
        <v>93669</v>
      </c>
      <c r="R103" s="237">
        <f t="shared" si="1"/>
        <v>511713</v>
      </c>
      <c r="S103" s="236"/>
      <c r="T103" s="237">
        <v>247386</v>
      </c>
      <c r="U103" s="238">
        <v>-28115</v>
      </c>
      <c r="V103" s="238">
        <v>219271</v>
      </c>
    </row>
    <row r="104" spans="1:22">
      <c r="A104" s="231">
        <v>91042</v>
      </c>
      <c r="B104" s="232" t="s">
        <v>819</v>
      </c>
      <c r="C104" s="92">
        <v>2.062E-4</v>
      </c>
      <c r="D104" s="92">
        <v>2.1579999999999999E-4</v>
      </c>
      <c r="E104" s="236">
        <v>79476.37000000001</v>
      </c>
      <c r="F104" s="236">
        <v>96850</v>
      </c>
      <c r="G104" s="236">
        <v>437625</v>
      </c>
      <c r="H104" s="236"/>
      <c r="I104" s="237">
        <v>8222</v>
      </c>
      <c r="J104" s="237">
        <v>383499</v>
      </c>
      <c r="K104" s="237">
        <v>29973</v>
      </c>
      <c r="L104" s="236">
        <v>241</v>
      </c>
      <c r="M104" s="236"/>
      <c r="N104" s="237">
        <v>15335</v>
      </c>
      <c r="O104" s="237">
        <v>141548</v>
      </c>
      <c r="P104" s="237">
        <v>0</v>
      </c>
      <c r="Q104" s="236">
        <v>9427</v>
      </c>
      <c r="R104" s="237">
        <f t="shared" si="1"/>
        <v>241951</v>
      </c>
      <c r="S104" s="236"/>
      <c r="T104" s="237">
        <v>116971</v>
      </c>
      <c r="U104" s="238">
        <v>-2338</v>
      </c>
      <c r="V104" s="238">
        <v>114633</v>
      </c>
    </row>
    <row r="105" spans="1:22">
      <c r="A105" s="231">
        <v>91047</v>
      </c>
      <c r="B105" s="232" t="s">
        <v>820</v>
      </c>
      <c r="C105" s="92">
        <v>1.3200000000000001E-5</v>
      </c>
      <c r="D105" s="92">
        <v>1.29E-5</v>
      </c>
      <c r="E105" s="236">
        <v>17711.78</v>
      </c>
      <c r="F105" s="236">
        <v>5789</v>
      </c>
      <c r="G105" s="236">
        <v>28015</v>
      </c>
      <c r="H105" s="236"/>
      <c r="I105" s="237">
        <v>526.35</v>
      </c>
      <c r="J105" s="237">
        <v>24550</v>
      </c>
      <c r="K105" s="237">
        <v>1919</v>
      </c>
      <c r="L105" s="236">
        <v>17767</v>
      </c>
      <c r="M105" s="236"/>
      <c r="N105" s="237">
        <v>982</v>
      </c>
      <c r="O105" s="237">
        <v>9061</v>
      </c>
      <c r="P105" s="237">
        <v>0</v>
      </c>
      <c r="Q105" s="236">
        <v>0</v>
      </c>
      <c r="R105" s="237">
        <f t="shared" si="1"/>
        <v>15489</v>
      </c>
      <c r="S105" s="236"/>
      <c r="T105" s="237">
        <v>7488</v>
      </c>
      <c r="U105" s="238">
        <v>5499</v>
      </c>
      <c r="V105" s="238">
        <v>12987</v>
      </c>
    </row>
    <row r="106" spans="1:22">
      <c r="A106" s="231">
        <v>91051</v>
      </c>
      <c r="B106" s="232" t="s">
        <v>821</v>
      </c>
      <c r="C106" s="92">
        <v>7.6600000000000005E-5</v>
      </c>
      <c r="D106" s="92">
        <v>8.14E-5</v>
      </c>
      <c r="E106" s="236">
        <v>31832.510000000002</v>
      </c>
      <c r="F106" s="236">
        <v>36532</v>
      </c>
      <c r="G106" s="236">
        <v>162571</v>
      </c>
      <c r="H106" s="236"/>
      <c r="I106" s="237">
        <v>3054</v>
      </c>
      <c r="J106" s="237">
        <v>142464</v>
      </c>
      <c r="K106" s="237">
        <v>11135</v>
      </c>
      <c r="L106" s="236">
        <v>2509</v>
      </c>
      <c r="M106" s="236"/>
      <c r="N106" s="237">
        <v>5697</v>
      </c>
      <c r="O106" s="237">
        <v>52583</v>
      </c>
      <c r="P106" s="237">
        <v>0</v>
      </c>
      <c r="Q106" s="236">
        <v>2829</v>
      </c>
      <c r="R106" s="237">
        <f t="shared" si="1"/>
        <v>89881</v>
      </c>
      <c r="S106" s="236"/>
      <c r="T106" s="237">
        <v>43453</v>
      </c>
      <c r="U106" s="238">
        <v>37</v>
      </c>
      <c r="V106" s="238">
        <v>43490</v>
      </c>
    </row>
    <row r="107" spans="1:22">
      <c r="A107" s="231">
        <v>91057</v>
      </c>
      <c r="B107" s="232" t="s">
        <v>822</v>
      </c>
      <c r="C107" s="92">
        <v>1.5E-5</v>
      </c>
      <c r="D107" s="92">
        <v>1.49E-5</v>
      </c>
      <c r="E107" s="236">
        <v>9524.76</v>
      </c>
      <c r="F107" s="236">
        <v>6687</v>
      </c>
      <c r="G107" s="236">
        <v>31835</v>
      </c>
      <c r="H107" s="236"/>
      <c r="I107" s="237">
        <v>598.125</v>
      </c>
      <c r="J107" s="237">
        <v>27897.63</v>
      </c>
      <c r="K107" s="237">
        <v>2180.415</v>
      </c>
      <c r="L107" s="236">
        <v>5494</v>
      </c>
      <c r="M107" s="236"/>
      <c r="N107" s="237">
        <v>1116</v>
      </c>
      <c r="O107" s="237">
        <v>10297</v>
      </c>
      <c r="P107" s="237">
        <v>0</v>
      </c>
      <c r="Q107" s="236">
        <v>0</v>
      </c>
      <c r="R107" s="237">
        <f t="shared" si="1"/>
        <v>17600.63</v>
      </c>
      <c r="S107" s="236"/>
      <c r="T107" s="237">
        <v>8509</v>
      </c>
      <c r="U107" s="238">
        <v>1691</v>
      </c>
      <c r="V107" s="238">
        <v>10200</v>
      </c>
    </row>
    <row r="108" spans="1:22">
      <c r="A108" s="231">
        <v>91061</v>
      </c>
      <c r="B108" s="232" t="s">
        <v>823</v>
      </c>
      <c r="C108" s="92">
        <v>3.7730000000000001E-4</v>
      </c>
      <c r="D108" s="92">
        <v>3.322E-4</v>
      </c>
      <c r="E108" s="236">
        <v>141049.84</v>
      </c>
      <c r="F108" s="236">
        <v>149089</v>
      </c>
      <c r="G108" s="236">
        <v>800757</v>
      </c>
      <c r="H108" s="236"/>
      <c r="I108" s="237">
        <v>15045</v>
      </c>
      <c r="J108" s="237">
        <v>701718</v>
      </c>
      <c r="K108" s="237">
        <v>54845</v>
      </c>
      <c r="L108" s="236">
        <v>13223</v>
      </c>
      <c r="M108" s="236"/>
      <c r="N108" s="237">
        <v>28059</v>
      </c>
      <c r="O108" s="237">
        <v>259001</v>
      </c>
      <c r="P108" s="237">
        <v>0</v>
      </c>
      <c r="Q108" s="236">
        <v>46977</v>
      </c>
      <c r="R108" s="237">
        <f t="shared" si="1"/>
        <v>442717</v>
      </c>
      <c r="S108" s="236"/>
      <c r="T108" s="237">
        <v>214031</v>
      </c>
      <c r="U108" s="238">
        <v>-15751</v>
      </c>
      <c r="V108" s="238">
        <v>198279</v>
      </c>
    </row>
    <row r="109" spans="1:22">
      <c r="A109" s="231">
        <v>91067</v>
      </c>
      <c r="B109" s="232" t="s">
        <v>824</v>
      </c>
      <c r="C109" s="92">
        <v>1.8499999999999999E-5</v>
      </c>
      <c r="D109" s="92">
        <v>1.7099999999999999E-5</v>
      </c>
      <c r="E109" s="236">
        <v>8476.0800000000017</v>
      </c>
      <c r="F109" s="236">
        <v>7674</v>
      </c>
      <c r="G109" s="236">
        <v>39263</v>
      </c>
      <c r="H109" s="236"/>
      <c r="I109" s="237">
        <v>737.6875</v>
      </c>
      <c r="J109" s="237">
        <v>34407</v>
      </c>
      <c r="K109" s="237">
        <v>2689</v>
      </c>
      <c r="L109" s="236">
        <v>3670</v>
      </c>
      <c r="M109" s="236"/>
      <c r="N109" s="237">
        <v>1376</v>
      </c>
      <c r="O109" s="237">
        <v>12699</v>
      </c>
      <c r="P109" s="237">
        <v>0</v>
      </c>
      <c r="Q109" s="236">
        <v>0</v>
      </c>
      <c r="R109" s="237">
        <f t="shared" si="1"/>
        <v>21708</v>
      </c>
      <c r="S109" s="236"/>
      <c r="T109" s="237">
        <v>10494</v>
      </c>
      <c r="U109" s="238">
        <v>1258</v>
      </c>
      <c r="V109" s="238">
        <v>11752</v>
      </c>
    </row>
    <row r="110" spans="1:22">
      <c r="A110" s="231">
        <v>91071</v>
      </c>
      <c r="B110" s="232" t="s">
        <v>825</v>
      </c>
      <c r="C110" s="92">
        <v>2.4379999999999999E-4</v>
      </c>
      <c r="D110" s="92">
        <v>2.321E-4</v>
      </c>
      <c r="E110" s="236">
        <v>89647.999999999985</v>
      </c>
      <c r="F110" s="236">
        <v>104165</v>
      </c>
      <c r="G110" s="236">
        <v>517425</v>
      </c>
      <c r="H110" s="236"/>
      <c r="I110" s="237">
        <v>9722</v>
      </c>
      <c r="J110" s="237">
        <v>453429</v>
      </c>
      <c r="K110" s="237">
        <v>35439</v>
      </c>
      <c r="L110" s="236">
        <v>16829.43</v>
      </c>
      <c r="M110" s="236"/>
      <c r="N110" s="237">
        <v>18131</v>
      </c>
      <c r="O110" s="237">
        <v>167358</v>
      </c>
      <c r="P110" s="237">
        <v>0</v>
      </c>
      <c r="Q110" s="236">
        <v>3799</v>
      </c>
      <c r="R110" s="237">
        <f t="shared" si="1"/>
        <v>286071</v>
      </c>
      <c r="S110" s="236"/>
      <c r="T110" s="237">
        <v>138300</v>
      </c>
      <c r="U110" s="238">
        <v>7310</v>
      </c>
      <c r="V110" s="238">
        <v>145610</v>
      </c>
    </row>
    <row r="111" spans="1:22">
      <c r="A111" s="231">
        <v>91077</v>
      </c>
      <c r="B111" s="232" t="s">
        <v>826</v>
      </c>
      <c r="C111" s="92">
        <v>3.9999999999999998E-6</v>
      </c>
      <c r="D111" s="92">
        <v>4.7999999999999998E-6</v>
      </c>
      <c r="E111" s="236">
        <v>2964.42</v>
      </c>
      <c r="F111" s="236">
        <v>2154</v>
      </c>
      <c r="G111" s="236">
        <v>8489.34</v>
      </c>
      <c r="H111" s="236"/>
      <c r="I111" s="237">
        <v>159.5</v>
      </c>
      <c r="J111" s="237">
        <v>7439</v>
      </c>
      <c r="K111" s="237">
        <v>581</v>
      </c>
      <c r="L111" s="236">
        <v>1140</v>
      </c>
      <c r="M111" s="236"/>
      <c r="N111" s="237">
        <v>297</v>
      </c>
      <c r="O111" s="237">
        <v>2746</v>
      </c>
      <c r="P111" s="237">
        <v>0</v>
      </c>
      <c r="Q111" s="236">
        <v>103</v>
      </c>
      <c r="R111" s="237">
        <f t="shared" si="1"/>
        <v>4693</v>
      </c>
      <c r="S111" s="236"/>
      <c r="T111" s="237">
        <v>2269</v>
      </c>
      <c r="U111" s="238">
        <v>294</v>
      </c>
      <c r="V111" s="238">
        <v>2563</v>
      </c>
    </row>
    <row r="112" spans="1:22">
      <c r="A112" s="231">
        <v>91081</v>
      </c>
      <c r="B112" s="232" t="s">
        <v>827</v>
      </c>
      <c r="C112" s="92">
        <v>3.6499999999999998E-4</v>
      </c>
      <c r="D112" s="92">
        <v>3.5750000000000002E-4</v>
      </c>
      <c r="E112" s="236">
        <v>146435.68000000002</v>
      </c>
      <c r="F112" s="236">
        <v>160444</v>
      </c>
      <c r="G112" s="236">
        <v>774652</v>
      </c>
      <c r="H112" s="236"/>
      <c r="I112" s="237">
        <v>14554.375</v>
      </c>
      <c r="J112" s="237">
        <v>678842.33</v>
      </c>
      <c r="K112" s="237">
        <v>53057</v>
      </c>
      <c r="L112" s="236">
        <v>1642</v>
      </c>
      <c r="M112" s="236"/>
      <c r="N112" s="237">
        <v>27145</v>
      </c>
      <c r="O112" s="237">
        <v>250557</v>
      </c>
      <c r="P112" s="237">
        <v>0</v>
      </c>
      <c r="Q112" s="236">
        <v>27235</v>
      </c>
      <c r="R112" s="237">
        <f t="shared" si="1"/>
        <v>428285.32999999996</v>
      </c>
      <c r="S112" s="236"/>
      <c r="T112" s="237">
        <v>207053</v>
      </c>
      <c r="U112" s="238">
        <v>-13214</v>
      </c>
      <c r="V112" s="238">
        <v>193840</v>
      </c>
    </row>
    <row r="113" spans="1:22">
      <c r="A113" s="231">
        <v>91091</v>
      </c>
      <c r="B113" s="232" t="s">
        <v>828</v>
      </c>
      <c r="C113" s="92">
        <v>5.6380000000000004E-4</v>
      </c>
      <c r="D113" s="92">
        <v>5.3359999999999996E-4</v>
      </c>
      <c r="E113" s="236">
        <v>203382.8</v>
      </c>
      <c r="F113" s="236">
        <v>239476</v>
      </c>
      <c r="G113" s="236">
        <v>1196572</v>
      </c>
      <c r="H113" s="236"/>
      <c r="I113" s="237">
        <v>22482</v>
      </c>
      <c r="J113" s="237">
        <v>1048579</v>
      </c>
      <c r="K113" s="237">
        <v>81955</v>
      </c>
      <c r="L113" s="236">
        <v>0</v>
      </c>
      <c r="M113" s="236"/>
      <c r="N113" s="237">
        <v>41929</v>
      </c>
      <c r="O113" s="237">
        <v>387025</v>
      </c>
      <c r="P113" s="237">
        <v>0</v>
      </c>
      <c r="Q113" s="236">
        <v>54149</v>
      </c>
      <c r="R113" s="237">
        <f t="shared" si="1"/>
        <v>661554</v>
      </c>
      <c r="S113" s="236"/>
      <c r="T113" s="237">
        <v>319826</v>
      </c>
      <c r="U113" s="238">
        <v>-22256</v>
      </c>
      <c r="V113" s="238">
        <v>297571</v>
      </c>
    </row>
    <row r="114" spans="1:22">
      <c r="A114" s="231">
        <v>91101</v>
      </c>
      <c r="B114" s="232" t="s">
        <v>829</v>
      </c>
      <c r="C114" s="92">
        <v>1.36685E-2</v>
      </c>
      <c r="D114" s="92">
        <v>1.3700499999999999E-2</v>
      </c>
      <c r="E114" s="236">
        <v>5218348.8699999992</v>
      </c>
      <c r="F114" s="236">
        <v>6148702</v>
      </c>
      <c r="G114" s="236">
        <v>29009136</v>
      </c>
      <c r="H114" s="236"/>
      <c r="I114" s="237">
        <v>545031</v>
      </c>
      <c r="J114" s="237">
        <v>25421250</v>
      </c>
      <c r="K114" s="237">
        <v>1986867</v>
      </c>
      <c r="L114" s="236">
        <v>791280</v>
      </c>
      <c r="M114" s="236"/>
      <c r="N114" s="237">
        <v>1016513</v>
      </c>
      <c r="O114" s="237">
        <v>9382851</v>
      </c>
      <c r="P114" s="237">
        <v>0</v>
      </c>
      <c r="Q114" s="236">
        <v>337196</v>
      </c>
      <c r="R114" s="237">
        <f t="shared" si="1"/>
        <v>16038399</v>
      </c>
      <c r="S114" s="236"/>
      <c r="T114" s="237">
        <v>7753716</v>
      </c>
      <c r="U114" s="238">
        <v>232315</v>
      </c>
      <c r="V114" s="238">
        <v>7986031</v>
      </c>
    </row>
    <row r="115" spans="1:22">
      <c r="A115" s="231">
        <v>91102</v>
      </c>
      <c r="B115" s="232" t="s">
        <v>830</v>
      </c>
      <c r="C115" s="92">
        <v>3.034E-4</v>
      </c>
      <c r="D115" s="92">
        <v>2.834E-4</v>
      </c>
      <c r="E115" s="236">
        <v>133771.11000000002</v>
      </c>
      <c r="F115" s="236">
        <v>127188</v>
      </c>
      <c r="G115" s="236">
        <v>643916</v>
      </c>
      <c r="H115" s="236"/>
      <c r="I115" s="237">
        <v>12098</v>
      </c>
      <c r="J115" s="237">
        <v>564276</v>
      </c>
      <c r="K115" s="237">
        <v>44103</v>
      </c>
      <c r="L115" s="236">
        <v>18534</v>
      </c>
      <c r="M115" s="236"/>
      <c r="N115" s="237">
        <v>22564</v>
      </c>
      <c r="O115" s="237">
        <v>208271</v>
      </c>
      <c r="P115" s="237">
        <v>0</v>
      </c>
      <c r="Q115" s="236">
        <v>52648</v>
      </c>
      <c r="R115" s="237">
        <f t="shared" si="1"/>
        <v>356005</v>
      </c>
      <c r="S115" s="236"/>
      <c r="T115" s="237">
        <v>172109</v>
      </c>
      <c r="U115" s="238">
        <v>-13734</v>
      </c>
      <c r="V115" s="238">
        <v>158376</v>
      </c>
    </row>
    <row r="116" spans="1:22">
      <c r="A116" s="231">
        <v>91104</v>
      </c>
      <c r="B116" s="232" t="s">
        <v>831</v>
      </c>
      <c r="C116" s="92">
        <v>8.1999999999999994E-6</v>
      </c>
      <c r="D116" s="92">
        <v>9.2E-6</v>
      </c>
      <c r="E116" s="236">
        <v>5034.29</v>
      </c>
      <c r="F116" s="236">
        <v>4129</v>
      </c>
      <c r="G116" s="236">
        <v>17403</v>
      </c>
      <c r="H116" s="236"/>
      <c r="I116" s="237">
        <v>327</v>
      </c>
      <c r="J116" s="237">
        <v>15251</v>
      </c>
      <c r="K116" s="237">
        <v>1192</v>
      </c>
      <c r="L116" s="236">
        <v>993</v>
      </c>
      <c r="M116" s="236"/>
      <c r="N116" s="237">
        <v>610</v>
      </c>
      <c r="O116" s="237">
        <v>5629</v>
      </c>
      <c r="P116" s="237">
        <v>0</v>
      </c>
      <c r="Q116" s="236">
        <v>78</v>
      </c>
      <c r="R116" s="237">
        <f t="shared" si="1"/>
        <v>9622</v>
      </c>
      <c r="S116" s="236"/>
      <c r="T116" s="237">
        <v>4652</v>
      </c>
      <c r="U116" s="238">
        <v>239</v>
      </c>
      <c r="V116" s="238">
        <v>4890</v>
      </c>
    </row>
    <row r="117" spans="1:22">
      <c r="A117" s="231">
        <v>91107</v>
      </c>
      <c r="B117" s="232" t="s">
        <v>1938</v>
      </c>
      <c r="C117" s="92">
        <v>6.7899999999999997E-5</v>
      </c>
      <c r="D117" s="92">
        <v>6.3999999999999997E-5</v>
      </c>
      <c r="E117" s="236">
        <v>34872.559999999998</v>
      </c>
      <c r="F117" s="236">
        <v>28723</v>
      </c>
      <c r="G117" s="236">
        <v>144107</v>
      </c>
      <c r="H117" s="236"/>
      <c r="I117" s="237">
        <v>2708</v>
      </c>
      <c r="J117" s="237">
        <v>126283</v>
      </c>
      <c r="K117" s="237">
        <v>9870</v>
      </c>
      <c r="L117" s="236">
        <v>11761</v>
      </c>
      <c r="M117" s="236"/>
      <c r="N117" s="237">
        <v>5050</v>
      </c>
      <c r="O117" s="237">
        <v>46610</v>
      </c>
      <c r="P117" s="237">
        <v>0</v>
      </c>
      <c r="Q117" s="236">
        <v>0</v>
      </c>
      <c r="R117" s="237">
        <f t="shared" si="1"/>
        <v>79673</v>
      </c>
      <c r="S117" s="236"/>
      <c r="T117" s="237">
        <v>38518</v>
      </c>
      <c r="U117" s="238">
        <v>3853</v>
      </c>
      <c r="V117" s="238">
        <v>42371</v>
      </c>
    </row>
    <row r="118" spans="1:22">
      <c r="A118" s="231">
        <v>91108</v>
      </c>
      <c r="B118" s="232" t="s">
        <v>833</v>
      </c>
      <c r="C118" s="92">
        <v>1.2622E-3</v>
      </c>
      <c r="D118" s="92">
        <v>1.2565E-3</v>
      </c>
      <c r="E118" s="236">
        <v>552346.72</v>
      </c>
      <c r="F118" s="236">
        <v>563910</v>
      </c>
      <c r="G118" s="236">
        <v>2678811</v>
      </c>
      <c r="H118" s="236"/>
      <c r="I118" s="237">
        <v>50330</v>
      </c>
      <c r="J118" s="237">
        <v>2347493</v>
      </c>
      <c r="K118" s="237">
        <v>183475</v>
      </c>
      <c r="L118" s="236">
        <v>83626</v>
      </c>
      <c r="M118" s="236"/>
      <c r="N118" s="237">
        <v>93869</v>
      </c>
      <c r="O118" s="237">
        <v>866447</v>
      </c>
      <c r="P118" s="237">
        <v>0</v>
      </c>
      <c r="Q118" s="236">
        <v>0</v>
      </c>
      <c r="R118" s="237">
        <f t="shared" si="1"/>
        <v>1481046</v>
      </c>
      <c r="S118" s="236"/>
      <c r="T118" s="237">
        <v>716007</v>
      </c>
      <c r="U118" s="238">
        <v>29649</v>
      </c>
      <c r="V118" s="238">
        <v>745656</v>
      </c>
    </row>
    <row r="119" spans="1:22">
      <c r="A119" s="231">
        <v>91109</v>
      </c>
      <c r="B119" s="232" t="s">
        <v>834</v>
      </c>
      <c r="C119" s="92">
        <v>9.2100000000000003E-5</v>
      </c>
      <c r="D119" s="92">
        <v>9.6600000000000003E-5</v>
      </c>
      <c r="E119" s="236">
        <v>40329.650000000009</v>
      </c>
      <c r="F119" s="236">
        <v>43354</v>
      </c>
      <c r="G119" s="236">
        <v>195467</v>
      </c>
      <c r="H119" s="236"/>
      <c r="I119" s="237">
        <v>3672</v>
      </c>
      <c r="J119" s="237">
        <v>171291</v>
      </c>
      <c r="K119" s="237">
        <v>13388</v>
      </c>
      <c r="L119" s="236">
        <v>2200</v>
      </c>
      <c r="M119" s="236"/>
      <c r="N119" s="237">
        <v>6849</v>
      </c>
      <c r="O119" s="237">
        <v>63223</v>
      </c>
      <c r="P119" s="237">
        <v>0</v>
      </c>
      <c r="Q119" s="236">
        <v>1611</v>
      </c>
      <c r="R119" s="237">
        <f t="shared" si="1"/>
        <v>108068</v>
      </c>
      <c r="S119" s="236"/>
      <c r="T119" s="237">
        <v>52245</v>
      </c>
      <c r="U119" s="238">
        <v>89</v>
      </c>
      <c r="V119" s="238">
        <v>52335</v>
      </c>
    </row>
    <row r="120" spans="1:22">
      <c r="A120" s="231">
        <v>91111</v>
      </c>
      <c r="B120" s="232" t="s">
        <v>835</v>
      </c>
      <c r="C120" s="92">
        <v>2.2359999999999999E-4</v>
      </c>
      <c r="D120" s="92">
        <v>2.2049999999999999E-4</v>
      </c>
      <c r="E120" s="236">
        <v>98685.249999999985</v>
      </c>
      <c r="F120" s="236">
        <v>98959</v>
      </c>
      <c r="G120" s="236">
        <v>474554</v>
      </c>
      <c r="H120" s="236"/>
      <c r="I120" s="237">
        <v>8916</v>
      </c>
      <c r="J120" s="237">
        <v>415861</v>
      </c>
      <c r="K120" s="237">
        <v>32503</v>
      </c>
      <c r="L120" s="236">
        <v>26669</v>
      </c>
      <c r="M120" s="236"/>
      <c r="N120" s="237">
        <v>16629</v>
      </c>
      <c r="O120" s="237">
        <v>153492</v>
      </c>
      <c r="P120" s="237">
        <v>0</v>
      </c>
      <c r="Q120" s="236">
        <v>0</v>
      </c>
      <c r="R120" s="237">
        <f t="shared" si="1"/>
        <v>262369</v>
      </c>
      <c r="S120" s="236"/>
      <c r="T120" s="237">
        <v>126841</v>
      </c>
      <c r="U120" s="238">
        <v>8870</v>
      </c>
      <c r="V120" s="238">
        <v>135711</v>
      </c>
    </row>
    <row r="121" spans="1:22">
      <c r="A121" s="231">
        <v>91119</v>
      </c>
      <c r="B121" s="232" t="s">
        <v>48</v>
      </c>
      <c r="C121" s="92">
        <v>0</v>
      </c>
      <c r="D121" s="92">
        <v>0</v>
      </c>
      <c r="E121" s="236">
        <v>0</v>
      </c>
      <c r="F121" s="236">
        <v>0</v>
      </c>
      <c r="G121" s="236">
        <v>0</v>
      </c>
      <c r="H121" s="236"/>
      <c r="I121" s="237">
        <v>0</v>
      </c>
      <c r="J121" s="237">
        <v>0</v>
      </c>
      <c r="K121" s="237">
        <v>0</v>
      </c>
      <c r="L121" s="236">
        <v>0</v>
      </c>
      <c r="M121" s="236"/>
      <c r="N121" s="237">
        <v>0</v>
      </c>
      <c r="O121" s="237">
        <v>0</v>
      </c>
      <c r="P121" s="237">
        <v>0</v>
      </c>
      <c r="Q121" s="236">
        <v>645424.66</v>
      </c>
      <c r="R121" s="237">
        <f t="shared" si="1"/>
        <v>0</v>
      </c>
      <c r="S121" s="236"/>
      <c r="T121" s="237">
        <v>0</v>
      </c>
      <c r="U121" s="238">
        <v>-324334</v>
      </c>
      <c r="V121" s="238">
        <v>-324334</v>
      </c>
    </row>
    <row r="122" spans="1:22">
      <c r="A122" s="231">
        <v>91120</v>
      </c>
      <c r="B122" s="232" t="s">
        <v>836</v>
      </c>
      <c r="C122" s="92">
        <v>1.184E-4</v>
      </c>
      <c r="D122" s="92">
        <v>1.161E-4</v>
      </c>
      <c r="E122" s="236">
        <v>42592.1</v>
      </c>
      <c r="F122" s="236">
        <v>52105</v>
      </c>
      <c r="G122" s="236">
        <v>251284</v>
      </c>
      <c r="H122" s="236"/>
      <c r="I122" s="237">
        <v>4721.2</v>
      </c>
      <c r="J122" s="237">
        <v>220205</v>
      </c>
      <c r="K122" s="237">
        <v>17211</v>
      </c>
      <c r="L122" s="236">
        <v>0</v>
      </c>
      <c r="M122" s="236"/>
      <c r="N122" s="237">
        <v>8805</v>
      </c>
      <c r="O122" s="237">
        <v>81277</v>
      </c>
      <c r="P122" s="237">
        <v>0</v>
      </c>
      <c r="Q122" s="236">
        <v>29635</v>
      </c>
      <c r="R122" s="237">
        <f t="shared" si="1"/>
        <v>138928</v>
      </c>
      <c r="S122" s="236"/>
      <c r="T122" s="237">
        <v>67165</v>
      </c>
      <c r="U122" s="238">
        <v>-11244</v>
      </c>
      <c r="V122" s="238">
        <v>55921</v>
      </c>
    </row>
    <row r="123" spans="1:22">
      <c r="A123" s="231">
        <v>91121</v>
      </c>
      <c r="B123" s="232" t="s">
        <v>837</v>
      </c>
      <c r="C123" s="92">
        <v>9.7842999999999992E-3</v>
      </c>
      <c r="D123" s="92">
        <v>1.0167600000000001E-2</v>
      </c>
      <c r="E123" s="236">
        <v>3705845.4499999997</v>
      </c>
      <c r="F123" s="236">
        <v>4563158</v>
      </c>
      <c r="G123" s="236">
        <v>20765562</v>
      </c>
      <c r="H123" s="236"/>
      <c r="I123" s="237">
        <v>390149</v>
      </c>
      <c r="J123" s="237">
        <v>18197252</v>
      </c>
      <c r="K123" s="237">
        <v>1422256</v>
      </c>
      <c r="L123" s="236">
        <v>0</v>
      </c>
      <c r="M123" s="236"/>
      <c r="N123" s="237">
        <v>727649</v>
      </c>
      <c r="O123" s="237">
        <v>6716511</v>
      </c>
      <c r="P123" s="237">
        <v>0</v>
      </c>
      <c r="Q123" s="236">
        <v>834506</v>
      </c>
      <c r="R123" s="237">
        <f t="shared" si="1"/>
        <v>11480741</v>
      </c>
      <c r="S123" s="236"/>
      <c r="T123" s="237">
        <v>5550330</v>
      </c>
      <c r="U123" s="238">
        <v>-296106</v>
      </c>
      <c r="V123" s="238">
        <v>5254224</v>
      </c>
    </row>
    <row r="124" spans="1:22">
      <c r="A124" s="231">
        <v>91127</v>
      </c>
      <c r="B124" s="232" t="s">
        <v>838</v>
      </c>
      <c r="C124" s="92">
        <v>2.8229999999999998E-4</v>
      </c>
      <c r="D124" s="92">
        <v>2.7680000000000001E-4</v>
      </c>
      <c r="E124" s="236">
        <v>136472.58999999997</v>
      </c>
      <c r="F124" s="236">
        <v>124226</v>
      </c>
      <c r="G124" s="236">
        <v>599135</v>
      </c>
      <c r="H124" s="236"/>
      <c r="I124" s="237">
        <v>11257</v>
      </c>
      <c r="J124" s="237">
        <v>525033</v>
      </c>
      <c r="K124" s="237">
        <v>41035</v>
      </c>
      <c r="L124" s="236">
        <v>59704</v>
      </c>
      <c r="M124" s="236"/>
      <c r="N124" s="237">
        <v>20994</v>
      </c>
      <c r="O124" s="237">
        <v>193787</v>
      </c>
      <c r="P124" s="237">
        <v>0</v>
      </c>
      <c r="Q124" s="236">
        <v>0</v>
      </c>
      <c r="R124" s="237">
        <f t="shared" si="1"/>
        <v>331246</v>
      </c>
      <c r="S124" s="236"/>
      <c r="T124" s="237">
        <v>160140</v>
      </c>
      <c r="U124" s="238">
        <v>22617</v>
      </c>
      <c r="V124" s="238">
        <v>182757</v>
      </c>
    </row>
    <row r="125" spans="1:22">
      <c r="A125" s="231">
        <v>91128</v>
      </c>
      <c r="B125" s="232" t="s">
        <v>839</v>
      </c>
      <c r="C125" s="92">
        <v>5.0929999999999997E-4</v>
      </c>
      <c r="D125" s="92">
        <v>5.042E-4</v>
      </c>
      <c r="E125" s="236">
        <v>208473.93999999997</v>
      </c>
      <c r="F125" s="236">
        <v>226282</v>
      </c>
      <c r="G125" s="236">
        <v>1080905</v>
      </c>
      <c r="H125" s="236"/>
      <c r="I125" s="237">
        <v>20308</v>
      </c>
      <c r="J125" s="237">
        <v>947218</v>
      </c>
      <c r="K125" s="237">
        <v>74032</v>
      </c>
      <c r="L125" s="236">
        <v>10827</v>
      </c>
      <c r="M125" s="236"/>
      <c r="N125" s="237">
        <v>37876</v>
      </c>
      <c r="O125" s="237">
        <v>349613</v>
      </c>
      <c r="P125" s="237">
        <v>0</v>
      </c>
      <c r="Q125" s="236">
        <v>12589</v>
      </c>
      <c r="R125" s="237">
        <f t="shared" si="1"/>
        <v>597605</v>
      </c>
      <c r="S125" s="236"/>
      <c r="T125" s="237">
        <v>288910</v>
      </c>
      <c r="U125" s="238">
        <v>-2677</v>
      </c>
      <c r="V125" s="238">
        <v>286233</v>
      </c>
    </row>
    <row r="126" spans="1:22">
      <c r="A126" s="231">
        <v>91138</v>
      </c>
      <c r="B126" s="232" t="s">
        <v>840</v>
      </c>
      <c r="C126" s="92">
        <v>6.2350000000000003E-4</v>
      </c>
      <c r="D126" s="92">
        <v>6.6279999999999996E-4</v>
      </c>
      <c r="E126" s="236">
        <v>190650.29999999996</v>
      </c>
      <c r="F126" s="236">
        <v>297461</v>
      </c>
      <c r="G126" s="236">
        <v>1323276</v>
      </c>
      <c r="H126" s="236"/>
      <c r="I126" s="237">
        <v>24862.0625</v>
      </c>
      <c r="J126" s="237">
        <v>1159611</v>
      </c>
      <c r="K126" s="237">
        <v>90633</v>
      </c>
      <c r="L126" s="236">
        <v>0</v>
      </c>
      <c r="M126" s="236"/>
      <c r="N126" s="237">
        <v>46369</v>
      </c>
      <c r="O126" s="237">
        <v>428007</v>
      </c>
      <c r="P126" s="237">
        <v>0</v>
      </c>
      <c r="Q126" s="236">
        <v>111983</v>
      </c>
      <c r="R126" s="237">
        <f t="shared" si="1"/>
        <v>731604</v>
      </c>
      <c r="S126" s="236"/>
      <c r="T126" s="237">
        <v>353692</v>
      </c>
      <c r="U126" s="238">
        <v>-35624</v>
      </c>
      <c r="V126" s="238">
        <v>318068</v>
      </c>
    </row>
    <row r="127" spans="1:22">
      <c r="A127" s="231">
        <v>91141</v>
      </c>
      <c r="B127" s="232" t="s">
        <v>841</v>
      </c>
      <c r="C127" s="92">
        <v>5.5679999999999998E-4</v>
      </c>
      <c r="D127" s="92">
        <v>6.2560000000000003E-4</v>
      </c>
      <c r="E127" s="236">
        <v>214309.96</v>
      </c>
      <c r="F127" s="236">
        <v>280766</v>
      </c>
      <c r="G127" s="236">
        <v>1181716</v>
      </c>
      <c r="H127" s="236"/>
      <c r="I127" s="237">
        <v>22202</v>
      </c>
      <c r="J127" s="237">
        <v>1035560</v>
      </c>
      <c r="K127" s="237">
        <v>80937</v>
      </c>
      <c r="L127" s="236">
        <v>0</v>
      </c>
      <c r="M127" s="236"/>
      <c r="N127" s="237">
        <v>41409</v>
      </c>
      <c r="O127" s="237">
        <v>382220</v>
      </c>
      <c r="P127" s="237">
        <v>0</v>
      </c>
      <c r="Q127" s="236">
        <v>106380</v>
      </c>
      <c r="R127" s="237">
        <f t="shared" si="1"/>
        <v>653340</v>
      </c>
      <c r="S127" s="236"/>
      <c r="T127" s="237">
        <v>315855</v>
      </c>
      <c r="U127" s="238">
        <v>-35698</v>
      </c>
      <c r="V127" s="238">
        <v>280157</v>
      </c>
    </row>
    <row r="128" spans="1:22">
      <c r="A128" s="231">
        <v>91147</v>
      </c>
      <c r="B128" s="232" t="s">
        <v>842</v>
      </c>
      <c r="C128" s="92">
        <v>2.4199999999999999E-5</v>
      </c>
      <c r="D128" s="92">
        <v>2.1399999999999998E-5</v>
      </c>
      <c r="E128" s="236">
        <v>10370.969999999999</v>
      </c>
      <c r="F128" s="236">
        <v>9604</v>
      </c>
      <c r="G128" s="236">
        <v>51361</v>
      </c>
      <c r="H128" s="236"/>
      <c r="I128" s="237">
        <v>965</v>
      </c>
      <c r="J128" s="237">
        <v>45008</v>
      </c>
      <c r="K128" s="237">
        <v>3518</v>
      </c>
      <c r="L128" s="236">
        <v>10859</v>
      </c>
      <c r="M128" s="236"/>
      <c r="N128" s="237">
        <v>1800</v>
      </c>
      <c r="O128" s="237">
        <v>16612</v>
      </c>
      <c r="P128" s="237">
        <v>0</v>
      </c>
      <c r="Q128" s="236">
        <v>0</v>
      </c>
      <c r="R128" s="237">
        <f t="shared" si="1"/>
        <v>28396</v>
      </c>
      <c r="S128" s="236"/>
      <c r="T128" s="237">
        <v>13728</v>
      </c>
      <c r="U128" s="238">
        <v>3941</v>
      </c>
      <c r="V128" s="238">
        <v>17669</v>
      </c>
    </row>
    <row r="129" spans="1:22">
      <c r="A129" s="231">
        <v>91151</v>
      </c>
      <c r="B129" s="232" t="s">
        <v>843</v>
      </c>
      <c r="C129" s="92">
        <v>6.1180000000000002E-4</v>
      </c>
      <c r="D129" s="92">
        <v>6.4479999999999995E-4</v>
      </c>
      <c r="E129" s="236">
        <v>222681.43</v>
      </c>
      <c r="F129" s="236">
        <v>289382</v>
      </c>
      <c r="G129" s="236">
        <v>1298445</v>
      </c>
      <c r="H129" s="236"/>
      <c r="I129" s="237">
        <v>24396</v>
      </c>
      <c r="J129" s="237">
        <v>1137851</v>
      </c>
      <c r="K129" s="237">
        <v>88932</v>
      </c>
      <c r="L129" s="236">
        <v>10702</v>
      </c>
      <c r="M129" s="236"/>
      <c r="N129" s="237">
        <v>45499</v>
      </c>
      <c r="O129" s="237">
        <v>419975</v>
      </c>
      <c r="P129" s="237">
        <v>0</v>
      </c>
      <c r="Q129" s="236">
        <v>50740</v>
      </c>
      <c r="R129" s="237">
        <f t="shared" si="1"/>
        <v>717876</v>
      </c>
      <c r="S129" s="236"/>
      <c r="T129" s="237">
        <v>347055</v>
      </c>
      <c r="U129" s="238">
        <v>-11759</v>
      </c>
      <c r="V129" s="238">
        <v>335296</v>
      </c>
    </row>
    <row r="130" spans="1:22">
      <c r="A130" s="231">
        <v>91154</v>
      </c>
      <c r="B130" s="232" t="s">
        <v>844</v>
      </c>
      <c r="C130" s="92">
        <v>1.9599999999999999E-5</v>
      </c>
      <c r="D130" s="92">
        <v>1.59E-5</v>
      </c>
      <c r="E130" s="236">
        <v>8048.64</v>
      </c>
      <c r="F130" s="236">
        <v>7136</v>
      </c>
      <c r="G130" s="236">
        <v>41598</v>
      </c>
      <c r="H130" s="236"/>
      <c r="I130" s="237">
        <v>781.55</v>
      </c>
      <c r="J130" s="237">
        <v>36453</v>
      </c>
      <c r="K130" s="237">
        <v>2849</v>
      </c>
      <c r="L130" s="236">
        <v>5846</v>
      </c>
      <c r="M130" s="236"/>
      <c r="N130" s="237">
        <v>1458</v>
      </c>
      <c r="O130" s="237">
        <v>13455</v>
      </c>
      <c r="P130" s="237">
        <v>0</v>
      </c>
      <c r="Q130" s="236">
        <v>0</v>
      </c>
      <c r="R130" s="237">
        <f t="shared" si="1"/>
        <v>22998</v>
      </c>
      <c r="S130" s="236"/>
      <c r="T130" s="237">
        <v>11118</v>
      </c>
      <c r="U130" s="238">
        <v>2074</v>
      </c>
      <c r="V130" s="238">
        <v>13192</v>
      </c>
    </row>
    <row r="131" spans="1:22">
      <c r="A131" s="231">
        <v>91161</v>
      </c>
      <c r="B131" s="232" t="s">
        <v>845</v>
      </c>
      <c r="C131" s="92">
        <v>9.4599999999999996E-5</v>
      </c>
      <c r="D131" s="92">
        <v>1.0670000000000001E-4</v>
      </c>
      <c r="E131" s="236">
        <v>44113.630000000005</v>
      </c>
      <c r="F131" s="236">
        <v>47886</v>
      </c>
      <c r="G131" s="236">
        <v>200773</v>
      </c>
      <c r="H131" s="236"/>
      <c r="I131" s="237">
        <v>3772</v>
      </c>
      <c r="J131" s="237">
        <v>175941</v>
      </c>
      <c r="K131" s="237">
        <v>13751</v>
      </c>
      <c r="L131" s="236">
        <v>7920</v>
      </c>
      <c r="M131" s="236"/>
      <c r="N131" s="237">
        <v>7035</v>
      </c>
      <c r="O131" s="237">
        <v>64939</v>
      </c>
      <c r="P131" s="237">
        <v>0</v>
      </c>
      <c r="Q131" s="236">
        <v>5006</v>
      </c>
      <c r="R131" s="237">
        <f t="shared" si="1"/>
        <v>111002</v>
      </c>
      <c r="S131" s="236"/>
      <c r="T131" s="237">
        <v>53664</v>
      </c>
      <c r="U131" s="238">
        <v>881</v>
      </c>
      <c r="V131" s="238">
        <v>54545</v>
      </c>
    </row>
    <row r="132" spans="1:22">
      <c r="A132" s="231">
        <v>91171</v>
      </c>
      <c r="B132" s="232" t="s">
        <v>846</v>
      </c>
      <c r="C132" s="92">
        <v>2.5589999999999999E-4</v>
      </c>
      <c r="D132" s="92">
        <v>2.5240000000000001E-4</v>
      </c>
      <c r="E132" s="236">
        <v>90093.88</v>
      </c>
      <c r="F132" s="236">
        <v>113276</v>
      </c>
      <c r="G132" s="236">
        <v>543106</v>
      </c>
      <c r="H132" s="236"/>
      <c r="I132" s="237">
        <v>10204</v>
      </c>
      <c r="J132" s="237">
        <v>475934</v>
      </c>
      <c r="K132" s="237">
        <v>37198</v>
      </c>
      <c r="L132" s="236">
        <v>0</v>
      </c>
      <c r="M132" s="236"/>
      <c r="N132" s="237">
        <v>19031</v>
      </c>
      <c r="O132" s="237">
        <v>175665</v>
      </c>
      <c r="P132" s="237">
        <v>0</v>
      </c>
      <c r="Q132" s="236">
        <v>32510</v>
      </c>
      <c r="R132" s="237">
        <f t="shared" si="1"/>
        <v>300269</v>
      </c>
      <c r="S132" s="236"/>
      <c r="T132" s="237">
        <v>145164</v>
      </c>
      <c r="U132" s="238">
        <v>-12018</v>
      </c>
      <c r="V132" s="238">
        <v>133146</v>
      </c>
    </row>
    <row r="133" spans="1:22">
      <c r="A133" s="231">
        <v>91201</v>
      </c>
      <c r="B133" s="232" t="s">
        <v>847</v>
      </c>
      <c r="C133" s="92">
        <v>2.3127999999999998E-3</v>
      </c>
      <c r="D133" s="92">
        <v>2.2309000000000001E-3</v>
      </c>
      <c r="E133" s="236">
        <v>868643.54000000015</v>
      </c>
      <c r="F133" s="236">
        <v>1001215</v>
      </c>
      <c r="G133" s="236">
        <v>4908536</v>
      </c>
      <c r="H133" s="236"/>
      <c r="I133" s="237">
        <v>92222.9</v>
      </c>
      <c r="J133" s="237">
        <v>4301443</v>
      </c>
      <c r="K133" s="237">
        <v>336191</v>
      </c>
      <c r="L133" s="236">
        <v>65448</v>
      </c>
      <c r="M133" s="236"/>
      <c r="N133" s="237">
        <v>172001</v>
      </c>
      <c r="O133" s="237">
        <v>1587640</v>
      </c>
      <c r="P133" s="237">
        <v>0</v>
      </c>
      <c r="Q133" s="236">
        <v>21142</v>
      </c>
      <c r="R133" s="237">
        <f t="shared" si="1"/>
        <v>2713803</v>
      </c>
      <c r="S133" s="236"/>
      <c r="T133" s="237">
        <v>1311980</v>
      </c>
      <c r="U133" s="238">
        <v>19623</v>
      </c>
      <c r="V133" s="238">
        <v>1331603</v>
      </c>
    </row>
    <row r="134" spans="1:22">
      <c r="A134" s="231">
        <v>91202</v>
      </c>
      <c r="B134" s="232" t="s">
        <v>848</v>
      </c>
      <c r="C134" s="92">
        <v>1.897E-4</v>
      </c>
      <c r="D134" s="92">
        <v>1.7560000000000001E-4</v>
      </c>
      <c r="E134" s="236">
        <v>85259.9</v>
      </c>
      <c r="F134" s="236">
        <v>78808</v>
      </c>
      <c r="G134" s="236">
        <v>402607</v>
      </c>
      <c r="H134" s="236"/>
      <c r="I134" s="237">
        <v>7564</v>
      </c>
      <c r="J134" s="237">
        <v>352812</v>
      </c>
      <c r="K134" s="237">
        <v>27575</v>
      </c>
      <c r="L134" s="236">
        <v>29505</v>
      </c>
      <c r="M134" s="236"/>
      <c r="N134" s="237">
        <v>14108</v>
      </c>
      <c r="O134" s="237">
        <v>130221</v>
      </c>
      <c r="P134" s="237">
        <v>0</v>
      </c>
      <c r="Q134" s="236">
        <v>0</v>
      </c>
      <c r="R134" s="237">
        <f t="shared" si="1"/>
        <v>222591</v>
      </c>
      <c r="S134" s="236"/>
      <c r="T134" s="237">
        <v>107611</v>
      </c>
      <c r="U134" s="238">
        <v>10216</v>
      </c>
      <c r="V134" s="238">
        <v>117827</v>
      </c>
    </row>
    <row r="135" spans="1:22">
      <c r="A135" s="231">
        <v>91203</v>
      </c>
      <c r="B135" s="232" t="s">
        <v>849</v>
      </c>
      <c r="C135" s="92">
        <v>2.4479999999999999E-4</v>
      </c>
      <c r="D135" s="92">
        <v>2.4909999999999998E-4</v>
      </c>
      <c r="E135" s="236">
        <v>123805.24999999999</v>
      </c>
      <c r="F135" s="236">
        <v>111795</v>
      </c>
      <c r="G135" s="236">
        <v>519548</v>
      </c>
      <c r="H135" s="236"/>
      <c r="I135" s="237">
        <v>9761.4</v>
      </c>
      <c r="J135" s="237">
        <v>455289</v>
      </c>
      <c r="K135" s="237">
        <v>35584</v>
      </c>
      <c r="L135" s="236">
        <v>32505</v>
      </c>
      <c r="M135" s="236"/>
      <c r="N135" s="237">
        <v>18206</v>
      </c>
      <c r="O135" s="237">
        <v>168045</v>
      </c>
      <c r="P135" s="237">
        <v>0</v>
      </c>
      <c r="Q135" s="236">
        <v>0</v>
      </c>
      <c r="R135" s="237">
        <f t="shared" si="1"/>
        <v>287244</v>
      </c>
      <c r="S135" s="236"/>
      <c r="T135" s="237">
        <v>138867</v>
      </c>
      <c r="U135" s="238">
        <v>11460</v>
      </c>
      <c r="V135" s="238">
        <v>150327</v>
      </c>
    </row>
    <row r="136" spans="1:22">
      <c r="A136" s="231">
        <v>91206</v>
      </c>
      <c r="B136" s="232" t="s">
        <v>850</v>
      </c>
      <c r="C136" s="92">
        <v>8.2129999999999996E-4</v>
      </c>
      <c r="D136" s="92">
        <v>8.1959999999999997E-4</v>
      </c>
      <c r="E136" s="236">
        <v>334673.01</v>
      </c>
      <c r="F136" s="236">
        <v>367832</v>
      </c>
      <c r="G136" s="236">
        <v>1743074</v>
      </c>
      <c r="H136" s="236"/>
      <c r="I136" s="237">
        <v>32749</v>
      </c>
      <c r="J136" s="237">
        <v>1527488</v>
      </c>
      <c r="K136" s="237">
        <v>119385</v>
      </c>
      <c r="L136" s="236">
        <v>21519</v>
      </c>
      <c r="M136" s="236"/>
      <c r="N136" s="237">
        <v>61079</v>
      </c>
      <c r="O136" s="237">
        <v>563788</v>
      </c>
      <c r="P136" s="237">
        <v>0</v>
      </c>
      <c r="Q136" s="236">
        <v>1526</v>
      </c>
      <c r="R136" s="237">
        <f t="shared" si="1"/>
        <v>963700</v>
      </c>
      <c r="S136" s="236"/>
      <c r="T136" s="237">
        <v>465898</v>
      </c>
      <c r="U136" s="238">
        <v>10203</v>
      </c>
      <c r="V136" s="238">
        <v>476101</v>
      </c>
    </row>
    <row r="137" spans="1:22">
      <c r="A137" s="231">
        <v>91208</v>
      </c>
      <c r="B137" s="232" t="s">
        <v>851</v>
      </c>
      <c r="C137" s="92">
        <v>1.3699999999999999E-5</v>
      </c>
      <c r="D137" s="92">
        <v>1.2999999999999999E-5</v>
      </c>
      <c r="E137" s="236">
        <v>5593.1099999999988</v>
      </c>
      <c r="F137" s="236">
        <v>5834</v>
      </c>
      <c r="G137" s="236">
        <v>29076</v>
      </c>
      <c r="H137" s="236"/>
      <c r="I137" s="237">
        <v>546.28750000000002</v>
      </c>
      <c r="J137" s="237">
        <v>25480</v>
      </c>
      <c r="K137" s="237">
        <v>1991</v>
      </c>
      <c r="L137" s="236">
        <v>7123</v>
      </c>
      <c r="M137" s="236"/>
      <c r="N137" s="237">
        <v>1019</v>
      </c>
      <c r="O137" s="237">
        <v>9404</v>
      </c>
      <c r="P137" s="237">
        <v>0</v>
      </c>
      <c r="Q137" s="236">
        <v>0</v>
      </c>
      <c r="R137" s="237">
        <f t="shared" ref="R137:R200" si="2">IF(J137&gt;O137,J137-O137,O137-J137)</f>
        <v>16076</v>
      </c>
      <c r="S137" s="236"/>
      <c r="T137" s="237">
        <v>7772</v>
      </c>
      <c r="U137" s="238">
        <v>3401</v>
      </c>
      <c r="V137" s="238">
        <v>11172</v>
      </c>
    </row>
    <row r="138" spans="1:22">
      <c r="A138" s="231">
        <v>91211</v>
      </c>
      <c r="B138" s="232" t="s">
        <v>852</v>
      </c>
      <c r="C138" s="92">
        <v>4.6789999999999999E-4</v>
      </c>
      <c r="D138" s="92">
        <v>4.6260000000000002E-4</v>
      </c>
      <c r="E138" s="236">
        <v>192012.00000000003</v>
      </c>
      <c r="F138" s="236">
        <v>207612</v>
      </c>
      <c r="G138" s="236">
        <v>993041</v>
      </c>
      <c r="H138" s="236"/>
      <c r="I138" s="237">
        <v>18658</v>
      </c>
      <c r="J138" s="237">
        <v>870220</v>
      </c>
      <c r="K138" s="237">
        <v>68014</v>
      </c>
      <c r="L138" s="236">
        <v>5989</v>
      </c>
      <c r="M138" s="236"/>
      <c r="N138" s="237">
        <v>34797</v>
      </c>
      <c r="O138" s="237">
        <v>321194</v>
      </c>
      <c r="P138" s="237">
        <v>0</v>
      </c>
      <c r="Q138" s="236">
        <v>5137</v>
      </c>
      <c r="R138" s="237">
        <f t="shared" si="2"/>
        <v>549026</v>
      </c>
      <c r="S138" s="236"/>
      <c r="T138" s="237">
        <v>265425</v>
      </c>
      <c r="U138" s="238">
        <v>568</v>
      </c>
      <c r="V138" s="238">
        <v>265993</v>
      </c>
    </row>
    <row r="139" spans="1:22">
      <c r="A139" s="231">
        <v>91213</v>
      </c>
      <c r="B139" s="232" t="s">
        <v>853</v>
      </c>
      <c r="C139" s="92">
        <v>3.57E-5</v>
      </c>
      <c r="D139" s="92">
        <v>3.5500000000000002E-5</v>
      </c>
      <c r="E139" s="236">
        <v>11312.460000000003</v>
      </c>
      <c r="F139" s="236">
        <v>15932</v>
      </c>
      <c r="G139" s="236">
        <v>75767</v>
      </c>
      <c r="H139" s="236"/>
      <c r="I139" s="237">
        <v>1424</v>
      </c>
      <c r="J139" s="237">
        <v>66396</v>
      </c>
      <c r="K139" s="237">
        <v>5189</v>
      </c>
      <c r="L139" s="236">
        <v>0</v>
      </c>
      <c r="M139" s="236"/>
      <c r="N139" s="237">
        <v>2655</v>
      </c>
      <c r="O139" s="237">
        <v>24507</v>
      </c>
      <c r="P139" s="237">
        <v>0</v>
      </c>
      <c r="Q139" s="236">
        <v>4828</v>
      </c>
      <c r="R139" s="237">
        <f t="shared" si="2"/>
        <v>41889</v>
      </c>
      <c r="S139" s="236"/>
      <c r="T139" s="237">
        <v>20252</v>
      </c>
      <c r="U139" s="238">
        <v>-1558</v>
      </c>
      <c r="V139" s="238">
        <v>18694</v>
      </c>
    </row>
    <row r="140" spans="1:22">
      <c r="A140" s="231">
        <v>91214</v>
      </c>
      <c r="B140" s="232" t="s">
        <v>854</v>
      </c>
      <c r="C140" s="92">
        <v>2.8200000000000001E-5</v>
      </c>
      <c r="D140" s="92">
        <v>2.6800000000000001E-5</v>
      </c>
      <c r="E140" s="236">
        <v>8296.9500000000007</v>
      </c>
      <c r="F140" s="236">
        <v>12028</v>
      </c>
      <c r="G140" s="236">
        <v>59850</v>
      </c>
      <c r="H140" s="236"/>
      <c r="I140" s="237">
        <v>1124</v>
      </c>
      <c r="J140" s="237">
        <v>52448</v>
      </c>
      <c r="K140" s="237">
        <v>4099</v>
      </c>
      <c r="L140" s="236">
        <v>2071</v>
      </c>
      <c r="M140" s="236"/>
      <c r="N140" s="237">
        <v>2097</v>
      </c>
      <c r="O140" s="237">
        <v>19358</v>
      </c>
      <c r="P140" s="237">
        <v>0</v>
      </c>
      <c r="Q140" s="236">
        <v>1863</v>
      </c>
      <c r="R140" s="237">
        <f t="shared" si="2"/>
        <v>33090</v>
      </c>
      <c r="S140" s="236"/>
      <c r="T140" s="237">
        <v>15997</v>
      </c>
      <c r="U140" s="238">
        <v>289</v>
      </c>
      <c r="V140" s="238">
        <v>16286</v>
      </c>
    </row>
    <row r="141" spans="1:22">
      <c r="A141" s="231">
        <v>91217</v>
      </c>
      <c r="B141" s="232" t="s">
        <v>855</v>
      </c>
      <c r="C141" s="92">
        <v>2.6699999999999998E-5</v>
      </c>
      <c r="D141" s="92">
        <v>1.8700000000000001E-5</v>
      </c>
      <c r="E141" s="236">
        <v>15053.92</v>
      </c>
      <c r="F141" s="236">
        <v>8392</v>
      </c>
      <c r="G141" s="236">
        <v>56666</v>
      </c>
      <c r="H141" s="236"/>
      <c r="I141" s="237">
        <v>1065</v>
      </c>
      <c r="J141" s="237">
        <v>49658</v>
      </c>
      <c r="K141" s="237">
        <v>3881</v>
      </c>
      <c r="L141" s="236">
        <v>11622</v>
      </c>
      <c r="M141" s="236"/>
      <c r="N141" s="237">
        <v>1986</v>
      </c>
      <c r="O141" s="237">
        <v>18328</v>
      </c>
      <c r="P141" s="237">
        <v>0</v>
      </c>
      <c r="Q141" s="236">
        <v>0</v>
      </c>
      <c r="R141" s="237">
        <f t="shared" si="2"/>
        <v>31330</v>
      </c>
      <c r="S141" s="236"/>
      <c r="T141" s="237">
        <v>15146</v>
      </c>
      <c r="U141" s="238">
        <v>3617</v>
      </c>
      <c r="V141" s="238">
        <v>18763</v>
      </c>
    </row>
    <row r="142" spans="1:22">
      <c r="A142" s="231">
        <v>91221</v>
      </c>
      <c r="B142" s="232" t="s">
        <v>856</v>
      </c>
      <c r="C142" s="92">
        <v>1.294E-4</v>
      </c>
      <c r="D142" s="92">
        <v>1.404E-4</v>
      </c>
      <c r="E142" s="236">
        <v>50416</v>
      </c>
      <c r="F142" s="236">
        <v>63011</v>
      </c>
      <c r="G142" s="236">
        <v>274630</v>
      </c>
      <c r="H142" s="236"/>
      <c r="I142" s="237">
        <v>5160</v>
      </c>
      <c r="J142" s="237">
        <v>240664</v>
      </c>
      <c r="K142" s="237">
        <v>18810</v>
      </c>
      <c r="L142" s="236">
        <v>7496</v>
      </c>
      <c r="M142" s="236"/>
      <c r="N142" s="237">
        <v>9623</v>
      </c>
      <c r="O142" s="237">
        <v>88828</v>
      </c>
      <c r="P142" s="237">
        <v>0</v>
      </c>
      <c r="Q142" s="236">
        <v>9810</v>
      </c>
      <c r="R142" s="237">
        <f t="shared" si="2"/>
        <v>151836</v>
      </c>
      <c r="S142" s="236"/>
      <c r="T142" s="237">
        <v>73405</v>
      </c>
      <c r="U142" s="238">
        <v>1070</v>
      </c>
      <c r="V142" s="238">
        <v>74475</v>
      </c>
    </row>
    <row r="143" spans="1:22">
      <c r="A143" s="231">
        <v>91231</v>
      </c>
      <c r="B143" s="232" t="s">
        <v>857</v>
      </c>
      <c r="C143" s="92">
        <v>1.9957E-3</v>
      </c>
      <c r="D143" s="92">
        <v>2.0203999999999999E-3</v>
      </c>
      <c r="E143" s="236">
        <v>763104.33</v>
      </c>
      <c r="F143" s="236">
        <v>906743</v>
      </c>
      <c r="G143" s="236">
        <v>4235544</v>
      </c>
      <c r="H143" s="236"/>
      <c r="I143" s="237">
        <v>79579</v>
      </c>
      <c r="J143" s="237">
        <v>3711687</v>
      </c>
      <c r="K143" s="237">
        <v>290097</v>
      </c>
      <c r="L143" s="236">
        <v>21281.06</v>
      </c>
      <c r="M143" s="236"/>
      <c r="N143" s="237">
        <v>148418</v>
      </c>
      <c r="O143" s="237">
        <v>1369964</v>
      </c>
      <c r="P143" s="237">
        <v>0</v>
      </c>
      <c r="Q143" s="236">
        <v>85796</v>
      </c>
      <c r="R143" s="237">
        <f t="shared" si="2"/>
        <v>2341723</v>
      </c>
      <c r="S143" s="236"/>
      <c r="T143" s="237">
        <v>1132099</v>
      </c>
      <c r="U143" s="238">
        <v>-14080</v>
      </c>
      <c r="V143" s="238">
        <v>1118019</v>
      </c>
    </row>
    <row r="144" spans="1:22">
      <c r="A144" s="231">
        <v>91233</v>
      </c>
      <c r="B144" s="232" t="s">
        <v>858</v>
      </c>
      <c r="C144" s="92">
        <v>4.5599999999999997E-5</v>
      </c>
      <c r="D144" s="92">
        <v>4.3399999999999998E-5</v>
      </c>
      <c r="E144" s="236">
        <v>17052.530000000002</v>
      </c>
      <c r="F144" s="236">
        <v>19478</v>
      </c>
      <c r="G144" s="236">
        <v>96778</v>
      </c>
      <c r="H144" s="236"/>
      <c r="I144" s="237">
        <v>1818.3</v>
      </c>
      <c r="J144" s="237">
        <v>84809</v>
      </c>
      <c r="K144" s="237">
        <v>6628</v>
      </c>
      <c r="L144" s="236">
        <v>8243</v>
      </c>
      <c r="M144" s="236"/>
      <c r="N144" s="237">
        <v>3391</v>
      </c>
      <c r="O144" s="237">
        <v>31302</v>
      </c>
      <c r="P144" s="237">
        <v>0</v>
      </c>
      <c r="Q144" s="236">
        <v>159</v>
      </c>
      <c r="R144" s="237">
        <f t="shared" si="2"/>
        <v>53507</v>
      </c>
      <c r="S144" s="236"/>
      <c r="T144" s="237">
        <v>25867</v>
      </c>
      <c r="U144" s="238">
        <v>3163</v>
      </c>
      <c r="V144" s="238">
        <v>29031</v>
      </c>
    </row>
    <row r="145" spans="1:22">
      <c r="A145" s="231">
        <v>91241</v>
      </c>
      <c r="B145" s="232" t="s">
        <v>859</v>
      </c>
      <c r="C145" s="92">
        <v>3.68E-5</v>
      </c>
      <c r="D145" s="92">
        <v>4.0800000000000002E-5</v>
      </c>
      <c r="E145" s="236">
        <v>13967.480000000001</v>
      </c>
      <c r="F145" s="236">
        <v>18311</v>
      </c>
      <c r="G145" s="236">
        <v>78102</v>
      </c>
      <c r="H145" s="236"/>
      <c r="I145" s="237">
        <v>1467.4</v>
      </c>
      <c r="J145" s="237">
        <v>68442</v>
      </c>
      <c r="K145" s="237">
        <v>5349</v>
      </c>
      <c r="L145" s="236">
        <v>0</v>
      </c>
      <c r="M145" s="236"/>
      <c r="N145" s="237">
        <v>2737</v>
      </c>
      <c r="O145" s="237">
        <v>25262</v>
      </c>
      <c r="P145" s="237">
        <v>0</v>
      </c>
      <c r="Q145" s="236">
        <v>6784</v>
      </c>
      <c r="R145" s="237">
        <f t="shared" si="2"/>
        <v>43180</v>
      </c>
      <c r="S145" s="236"/>
      <c r="T145" s="237">
        <v>20875</v>
      </c>
      <c r="U145" s="238">
        <v>-2529</v>
      </c>
      <c r="V145" s="238">
        <v>18346</v>
      </c>
    </row>
    <row r="146" spans="1:22">
      <c r="A146" s="231">
        <v>91251</v>
      </c>
      <c r="B146" s="232" t="s">
        <v>860</v>
      </c>
      <c r="C146" s="92">
        <v>2.65E-5</v>
      </c>
      <c r="D146" s="92">
        <v>2.6699999999999998E-5</v>
      </c>
      <c r="E146" s="236">
        <v>9988.5700000000015</v>
      </c>
      <c r="F146" s="236">
        <v>11983</v>
      </c>
      <c r="G146" s="236">
        <v>56242</v>
      </c>
      <c r="H146" s="236"/>
      <c r="I146" s="237">
        <v>1056.6875</v>
      </c>
      <c r="J146" s="237">
        <v>49286</v>
      </c>
      <c r="K146" s="237">
        <v>3852</v>
      </c>
      <c r="L146" s="236">
        <v>4706</v>
      </c>
      <c r="M146" s="236"/>
      <c r="N146" s="237">
        <v>1971</v>
      </c>
      <c r="O146" s="237">
        <v>18191</v>
      </c>
      <c r="P146" s="237">
        <v>0</v>
      </c>
      <c r="Q146" s="236">
        <v>1236</v>
      </c>
      <c r="R146" s="237">
        <f t="shared" si="2"/>
        <v>31095</v>
      </c>
      <c r="S146" s="236"/>
      <c r="T146" s="237">
        <v>15033</v>
      </c>
      <c r="U146" s="238">
        <v>2006</v>
      </c>
      <c r="V146" s="238">
        <v>17039</v>
      </c>
    </row>
    <row r="147" spans="1:22">
      <c r="A147" s="231">
        <v>91261</v>
      </c>
      <c r="B147" s="232" t="s">
        <v>861</v>
      </c>
      <c r="C147" s="92">
        <v>9.5000000000000005E-6</v>
      </c>
      <c r="D147" s="92">
        <v>8.8000000000000004E-6</v>
      </c>
      <c r="E147" s="236">
        <v>4130.1899999999996</v>
      </c>
      <c r="F147" s="236">
        <v>3949</v>
      </c>
      <c r="G147" s="236">
        <v>20162</v>
      </c>
      <c r="H147" s="236"/>
      <c r="I147" s="237">
        <v>378.8125</v>
      </c>
      <c r="J147" s="237">
        <v>17668</v>
      </c>
      <c r="K147" s="237">
        <v>1381</v>
      </c>
      <c r="L147" s="236">
        <v>2027</v>
      </c>
      <c r="M147" s="236"/>
      <c r="N147" s="237">
        <v>707</v>
      </c>
      <c r="O147" s="237">
        <v>6521</v>
      </c>
      <c r="P147" s="237">
        <v>0</v>
      </c>
      <c r="Q147" s="236">
        <v>0</v>
      </c>
      <c r="R147" s="237">
        <f t="shared" si="2"/>
        <v>11147</v>
      </c>
      <c r="S147" s="236"/>
      <c r="T147" s="237">
        <v>5389</v>
      </c>
      <c r="U147" s="238">
        <v>729</v>
      </c>
      <c r="V147" s="238">
        <v>6118</v>
      </c>
    </row>
    <row r="148" spans="1:22">
      <c r="A148" s="53">
        <v>91301</v>
      </c>
      <c r="B148" s="232" t="s">
        <v>862</v>
      </c>
      <c r="C148" s="92">
        <v>7.7765000000000004E-3</v>
      </c>
      <c r="D148" s="92">
        <v>7.2360999999999997E-3</v>
      </c>
      <c r="E148" s="236">
        <v>2863288.1999999997</v>
      </c>
      <c r="F148" s="236">
        <v>3247518</v>
      </c>
      <c r="G148" s="236">
        <v>16504338</v>
      </c>
      <c r="H148" s="236"/>
      <c r="I148" s="237">
        <v>310088</v>
      </c>
      <c r="J148" s="237">
        <v>14463061</v>
      </c>
      <c r="K148" s="237">
        <v>1130400</v>
      </c>
      <c r="L148" s="236">
        <v>26878</v>
      </c>
      <c r="M148" s="236"/>
      <c r="N148" s="237">
        <v>578331</v>
      </c>
      <c r="O148" s="237">
        <v>5338241</v>
      </c>
      <c r="P148" s="237">
        <v>0</v>
      </c>
      <c r="Q148" s="236">
        <v>184573</v>
      </c>
      <c r="R148" s="237">
        <f t="shared" si="2"/>
        <v>9124820</v>
      </c>
      <c r="S148" s="236"/>
      <c r="T148" s="237">
        <v>4411367</v>
      </c>
      <c r="U148" s="238">
        <v>-64544</v>
      </c>
      <c r="V148" s="238">
        <v>4346824</v>
      </c>
    </row>
    <row r="149" spans="1:22">
      <c r="A149" s="53">
        <v>91302</v>
      </c>
      <c r="B149" s="232" t="s">
        <v>1939</v>
      </c>
      <c r="C149" s="92">
        <v>5.9190000000000002E-4</v>
      </c>
      <c r="D149" s="92">
        <v>5.8169999999999999E-4</v>
      </c>
      <c r="E149" s="236">
        <v>242052.32</v>
      </c>
      <c r="F149" s="236">
        <v>261063</v>
      </c>
      <c r="G149" s="236">
        <v>1256210</v>
      </c>
      <c r="H149" s="236"/>
      <c r="I149" s="237">
        <v>23602</v>
      </c>
      <c r="J149" s="237">
        <v>1100840</v>
      </c>
      <c r="K149" s="237">
        <v>86039</v>
      </c>
      <c r="L149" s="236">
        <v>53000</v>
      </c>
      <c r="M149" s="236"/>
      <c r="N149" s="237">
        <v>44019</v>
      </c>
      <c r="O149" s="237">
        <v>406314</v>
      </c>
      <c r="P149" s="237">
        <v>0</v>
      </c>
      <c r="Q149" s="236">
        <v>0</v>
      </c>
      <c r="R149" s="237">
        <f t="shared" si="2"/>
        <v>694526</v>
      </c>
      <c r="S149" s="236"/>
      <c r="T149" s="237">
        <v>335767</v>
      </c>
      <c r="U149" s="238">
        <v>20102</v>
      </c>
      <c r="V149" s="238">
        <v>355869</v>
      </c>
    </row>
    <row r="150" spans="1:22">
      <c r="A150" s="53">
        <v>91306</v>
      </c>
      <c r="B150" s="232" t="s">
        <v>864</v>
      </c>
      <c r="C150" s="92">
        <v>1.6676E-3</v>
      </c>
      <c r="D150" s="92">
        <v>1.5539E-3</v>
      </c>
      <c r="E150" s="236">
        <v>693270.79999999993</v>
      </c>
      <c r="F150" s="236">
        <v>697381</v>
      </c>
      <c r="G150" s="236">
        <v>3539206</v>
      </c>
      <c r="H150" s="236"/>
      <c r="I150" s="237">
        <v>66495.55</v>
      </c>
      <c r="J150" s="237">
        <v>3101473</v>
      </c>
      <c r="K150" s="237">
        <v>242404</v>
      </c>
      <c r="L150" s="236">
        <v>174697</v>
      </c>
      <c r="M150" s="236"/>
      <c r="N150" s="237">
        <v>124018</v>
      </c>
      <c r="O150" s="237">
        <v>1144737</v>
      </c>
      <c r="P150" s="237">
        <v>0</v>
      </c>
      <c r="Q150" s="236">
        <v>0</v>
      </c>
      <c r="R150" s="237">
        <f t="shared" si="2"/>
        <v>1956736</v>
      </c>
      <c r="S150" s="236"/>
      <c r="T150" s="237">
        <v>945978</v>
      </c>
      <c r="U150" s="238">
        <v>60990</v>
      </c>
      <c r="V150" s="238">
        <v>1006968</v>
      </c>
    </row>
    <row r="151" spans="1:22">
      <c r="A151" s="231">
        <v>91308</v>
      </c>
      <c r="B151" s="232" t="s">
        <v>865</v>
      </c>
      <c r="C151" s="92">
        <v>2.05E-4</v>
      </c>
      <c r="D151" s="92">
        <v>1.8650000000000001E-4</v>
      </c>
      <c r="E151" s="236">
        <v>71992.33</v>
      </c>
      <c r="F151" s="236">
        <v>83700</v>
      </c>
      <c r="G151" s="236">
        <v>435079</v>
      </c>
      <c r="H151" s="236"/>
      <c r="I151" s="237">
        <v>8174.375</v>
      </c>
      <c r="J151" s="237">
        <v>381267.61</v>
      </c>
      <c r="K151" s="237">
        <v>29799</v>
      </c>
      <c r="L151" s="236">
        <v>4790</v>
      </c>
      <c r="M151" s="236"/>
      <c r="N151" s="237">
        <v>15246</v>
      </c>
      <c r="O151" s="237">
        <v>140724</v>
      </c>
      <c r="P151" s="237">
        <v>0</v>
      </c>
      <c r="Q151" s="236">
        <v>3858</v>
      </c>
      <c r="R151" s="237">
        <f t="shared" si="2"/>
        <v>240543.61</v>
      </c>
      <c r="S151" s="236"/>
      <c r="T151" s="237">
        <v>116290</v>
      </c>
      <c r="U151" s="238">
        <v>980</v>
      </c>
      <c r="V151" s="238">
        <v>117270</v>
      </c>
    </row>
    <row r="152" spans="1:22">
      <c r="A152" s="231">
        <v>91311</v>
      </c>
      <c r="B152" s="232" t="s">
        <v>866</v>
      </c>
      <c r="C152" s="92">
        <v>7.6649999999999999E-3</v>
      </c>
      <c r="D152" s="92">
        <v>7.9313999999999999E-3</v>
      </c>
      <c r="E152" s="236">
        <v>2915494.2899999996</v>
      </c>
      <c r="F152" s="236">
        <v>3559565</v>
      </c>
      <c r="G152" s="236">
        <v>16267698</v>
      </c>
      <c r="H152" s="236"/>
      <c r="I152" s="237">
        <v>305642</v>
      </c>
      <c r="J152" s="237">
        <v>14255689</v>
      </c>
      <c r="K152" s="237">
        <v>1114192</v>
      </c>
      <c r="L152" s="236">
        <v>121391</v>
      </c>
      <c r="M152" s="236"/>
      <c r="N152" s="237">
        <v>570038</v>
      </c>
      <c r="O152" s="237">
        <v>5261700.57</v>
      </c>
      <c r="P152" s="237">
        <v>0</v>
      </c>
      <c r="Q152" s="236">
        <v>535505</v>
      </c>
      <c r="R152" s="237">
        <f t="shared" si="2"/>
        <v>8993988.4299999997</v>
      </c>
      <c r="S152" s="236"/>
      <c r="T152" s="237">
        <v>4348117</v>
      </c>
      <c r="U152" s="238">
        <v>-145156</v>
      </c>
      <c r="V152" s="238">
        <v>4202961</v>
      </c>
    </row>
    <row r="153" spans="1:22">
      <c r="A153" s="231">
        <v>91317</v>
      </c>
      <c r="B153" s="232" t="s">
        <v>867</v>
      </c>
      <c r="C153" s="92">
        <v>9.0500000000000004E-5</v>
      </c>
      <c r="D153" s="92">
        <v>9.59E-5</v>
      </c>
      <c r="E153" s="236">
        <v>39328.85</v>
      </c>
      <c r="F153" s="236">
        <v>43039</v>
      </c>
      <c r="G153" s="236">
        <v>192071</v>
      </c>
      <c r="H153" s="236"/>
      <c r="I153" s="237">
        <v>3608.6875</v>
      </c>
      <c r="J153" s="237">
        <v>168316</v>
      </c>
      <c r="K153" s="237">
        <v>13155</v>
      </c>
      <c r="L153" s="236">
        <v>3623</v>
      </c>
      <c r="M153" s="236"/>
      <c r="N153" s="237">
        <v>6730</v>
      </c>
      <c r="O153" s="237">
        <v>62124</v>
      </c>
      <c r="P153" s="237">
        <v>0</v>
      </c>
      <c r="Q153" s="236">
        <v>2926</v>
      </c>
      <c r="R153" s="237">
        <f t="shared" si="2"/>
        <v>106192</v>
      </c>
      <c r="S153" s="236"/>
      <c r="T153" s="237">
        <v>51338</v>
      </c>
      <c r="U153" s="238">
        <v>118</v>
      </c>
      <c r="V153" s="238">
        <v>51456</v>
      </c>
    </row>
    <row r="154" spans="1:22">
      <c r="A154" s="231">
        <v>91321</v>
      </c>
      <c r="B154" s="232" t="s">
        <v>868</v>
      </c>
      <c r="C154" s="92">
        <v>4.1999999999999998E-5</v>
      </c>
      <c r="D154" s="92">
        <v>3.1999999999999999E-5</v>
      </c>
      <c r="E154" s="236">
        <v>17122.889999999996</v>
      </c>
      <c r="F154" s="236">
        <v>14361</v>
      </c>
      <c r="G154" s="236">
        <v>89138</v>
      </c>
      <c r="H154" s="236"/>
      <c r="I154" s="237">
        <v>1674.75</v>
      </c>
      <c r="J154" s="237">
        <v>78113</v>
      </c>
      <c r="K154" s="237">
        <v>6105</v>
      </c>
      <c r="L154" s="236">
        <v>6260</v>
      </c>
      <c r="M154" s="236"/>
      <c r="N154" s="237">
        <v>3123</v>
      </c>
      <c r="O154" s="237">
        <v>28831</v>
      </c>
      <c r="P154" s="237">
        <v>0</v>
      </c>
      <c r="Q154" s="236">
        <v>5826</v>
      </c>
      <c r="R154" s="237">
        <f t="shared" si="2"/>
        <v>49282</v>
      </c>
      <c r="S154" s="236"/>
      <c r="T154" s="237">
        <v>23825</v>
      </c>
      <c r="U154" s="238">
        <v>-210</v>
      </c>
      <c r="V154" s="238">
        <v>23615</v>
      </c>
    </row>
    <row r="155" spans="1:22">
      <c r="A155" s="231">
        <v>91327</v>
      </c>
      <c r="B155" s="232" t="s">
        <v>869</v>
      </c>
      <c r="C155" s="92">
        <v>1.03E-5</v>
      </c>
      <c r="D155" s="92">
        <v>1.13E-5</v>
      </c>
      <c r="E155" s="236">
        <v>4111.5200000000004</v>
      </c>
      <c r="F155" s="236">
        <v>5071</v>
      </c>
      <c r="G155" s="236">
        <v>21860</v>
      </c>
      <c r="H155" s="236"/>
      <c r="I155" s="237">
        <v>410.71249999999998</v>
      </c>
      <c r="J155" s="237">
        <v>19156</v>
      </c>
      <c r="K155" s="237">
        <v>1497</v>
      </c>
      <c r="L155" s="236">
        <v>72</v>
      </c>
      <c r="M155" s="236"/>
      <c r="N155" s="237">
        <v>766</v>
      </c>
      <c r="O155" s="237">
        <v>7071</v>
      </c>
      <c r="P155" s="237">
        <v>0</v>
      </c>
      <c r="Q155" s="236">
        <v>1050</v>
      </c>
      <c r="R155" s="237">
        <f t="shared" si="2"/>
        <v>12085</v>
      </c>
      <c r="S155" s="236"/>
      <c r="T155" s="237">
        <v>5843</v>
      </c>
      <c r="U155" s="238">
        <v>-275</v>
      </c>
      <c r="V155" s="238">
        <v>5568</v>
      </c>
    </row>
    <row r="156" spans="1:22">
      <c r="A156" s="231">
        <v>91331</v>
      </c>
      <c r="B156" s="232" t="s">
        <v>870</v>
      </c>
      <c r="C156" s="92">
        <v>2.8509999999999998E-3</v>
      </c>
      <c r="D156" s="92">
        <v>3.0317E-3</v>
      </c>
      <c r="E156" s="236">
        <v>1040695.76</v>
      </c>
      <c r="F156" s="236">
        <v>1360609</v>
      </c>
      <c r="G156" s="236">
        <v>6050777</v>
      </c>
      <c r="H156" s="236"/>
      <c r="I156" s="237">
        <v>113684</v>
      </c>
      <c r="J156" s="237">
        <v>5302410</v>
      </c>
      <c r="K156" s="237">
        <v>414424</v>
      </c>
      <c r="L156" s="236">
        <v>0</v>
      </c>
      <c r="M156" s="236"/>
      <c r="N156" s="237">
        <v>212026</v>
      </c>
      <c r="O156" s="237">
        <v>1957092</v>
      </c>
      <c r="P156" s="237">
        <v>0</v>
      </c>
      <c r="Q156" s="236">
        <v>459221</v>
      </c>
      <c r="R156" s="237">
        <f t="shared" si="2"/>
        <v>3345318</v>
      </c>
      <c r="S156" s="236"/>
      <c r="T156" s="237">
        <v>1617284</v>
      </c>
      <c r="U156" s="238">
        <v>-164462</v>
      </c>
      <c r="V156" s="238">
        <v>1452822</v>
      </c>
    </row>
    <row r="157" spans="1:22">
      <c r="A157" s="231">
        <v>91341</v>
      </c>
      <c r="B157" s="232" t="s">
        <v>871</v>
      </c>
      <c r="C157" s="92">
        <v>1.4399999999999999E-5</v>
      </c>
      <c r="D157" s="92">
        <v>2.1299999999999999E-5</v>
      </c>
      <c r="E157" s="236">
        <v>7639.09</v>
      </c>
      <c r="F157" s="236">
        <v>9559</v>
      </c>
      <c r="G157" s="236">
        <v>30562</v>
      </c>
      <c r="H157" s="236"/>
      <c r="I157" s="237">
        <v>574</v>
      </c>
      <c r="J157" s="237">
        <v>26782</v>
      </c>
      <c r="K157" s="237">
        <v>2093</v>
      </c>
      <c r="L157" s="236">
        <v>514</v>
      </c>
      <c r="M157" s="236"/>
      <c r="N157" s="237">
        <v>1071</v>
      </c>
      <c r="O157" s="237">
        <v>9885</v>
      </c>
      <c r="P157" s="237">
        <v>0</v>
      </c>
      <c r="Q157" s="236">
        <v>2374</v>
      </c>
      <c r="R157" s="237">
        <f t="shared" si="2"/>
        <v>16897</v>
      </c>
      <c r="S157" s="236"/>
      <c r="T157" s="237">
        <v>8169</v>
      </c>
      <c r="U157" s="238">
        <v>-382</v>
      </c>
      <c r="V157" s="238">
        <v>7786</v>
      </c>
    </row>
    <row r="158" spans="1:22">
      <c r="A158" s="231">
        <v>91401</v>
      </c>
      <c r="B158" s="232" t="s">
        <v>872</v>
      </c>
      <c r="C158" s="92">
        <v>3.6841E-3</v>
      </c>
      <c r="D158" s="92">
        <v>3.5414999999999999E-3</v>
      </c>
      <c r="E158" s="236">
        <v>1403464.74</v>
      </c>
      <c r="F158" s="236">
        <v>1589404</v>
      </c>
      <c r="G158" s="236">
        <v>7818894</v>
      </c>
      <c r="H158" s="236"/>
      <c r="I158" s="237">
        <v>146903</v>
      </c>
      <c r="J158" s="237">
        <v>6851844</v>
      </c>
      <c r="K158" s="237">
        <v>535524</v>
      </c>
      <c r="L158" s="236">
        <v>30858</v>
      </c>
      <c r="M158" s="236"/>
      <c r="N158" s="237">
        <v>273983</v>
      </c>
      <c r="O158" s="237">
        <v>2528980</v>
      </c>
      <c r="P158" s="237">
        <v>0</v>
      </c>
      <c r="Q158" s="236">
        <v>11385</v>
      </c>
      <c r="R158" s="237">
        <f t="shared" si="2"/>
        <v>4322864</v>
      </c>
      <c r="S158" s="236"/>
      <c r="T158" s="237">
        <v>2089876</v>
      </c>
      <c r="U158" s="238">
        <v>10463</v>
      </c>
      <c r="V158" s="238">
        <v>2100338</v>
      </c>
    </row>
    <row r="159" spans="1:22">
      <c r="A159" s="231">
        <v>91411</v>
      </c>
      <c r="B159" s="232" t="s">
        <v>873</v>
      </c>
      <c r="C159" s="92">
        <v>3.5379999999999998E-4</v>
      </c>
      <c r="D159" s="92">
        <v>3.1189999999999999E-4</v>
      </c>
      <c r="E159" s="236">
        <v>141435.49</v>
      </c>
      <c r="F159" s="236">
        <v>139979</v>
      </c>
      <c r="G159" s="236">
        <v>750882</v>
      </c>
      <c r="H159" s="236"/>
      <c r="I159" s="237">
        <v>14108</v>
      </c>
      <c r="J159" s="237">
        <v>658012</v>
      </c>
      <c r="K159" s="237">
        <v>51429</v>
      </c>
      <c r="L159" s="236">
        <v>22528</v>
      </c>
      <c r="M159" s="236"/>
      <c r="N159" s="237">
        <v>26312</v>
      </c>
      <c r="O159" s="237">
        <v>242869</v>
      </c>
      <c r="P159" s="237">
        <v>0</v>
      </c>
      <c r="Q159" s="236">
        <v>2801.92</v>
      </c>
      <c r="R159" s="237">
        <f t="shared" si="2"/>
        <v>415143</v>
      </c>
      <c r="S159" s="236"/>
      <c r="T159" s="237">
        <v>200700</v>
      </c>
      <c r="U159" s="238">
        <v>4720</v>
      </c>
      <c r="V159" s="238">
        <v>205420</v>
      </c>
    </row>
    <row r="160" spans="1:22">
      <c r="A160" s="231">
        <v>91417</v>
      </c>
      <c r="B160" s="232" t="s">
        <v>874</v>
      </c>
      <c r="C160" s="92">
        <v>9.9000000000000001E-6</v>
      </c>
      <c r="D160" s="92">
        <v>1.04E-5</v>
      </c>
      <c r="E160" s="236">
        <v>4800.1900000000005</v>
      </c>
      <c r="F160" s="236">
        <v>4667</v>
      </c>
      <c r="G160" s="236">
        <v>21011</v>
      </c>
      <c r="H160" s="236"/>
      <c r="I160" s="237">
        <v>394.76249999999999</v>
      </c>
      <c r="J160" s="237">
        <v>18412</v>
      </c>
      <c r="K160" s="237">
        <v>1439</v>
      </c>
      <c r="L160" s="236">
        <v>3686</v>
      </c>
      <c r="M160" s="236"/>
      <c r="N160" s="237">
        <v>736</v>
      </c>
      <c r="O160" s="237">
        <v>6796</v>
      </c>
      <c r="P160" s="237">
        <v>0</v>
      </c>
      <c r="Q160" s="236">
        <v>0</v>
      </c>
      <c r="R160" s="237">
        <f t="shared" si="2"/>
        <v>11616</v>
      </c>
      <c r="S160" s="236"/>
      <c r="T160" s="237">
        <v>5616</v>
      </c>
      <c r="U160" s="238">
        <v>1711</v>
      </c>
      <c r="V160" s="238">
        <v>7327</v>
      </c>
    </row>
    <row r="161" spans="1:22">
      <c r="A161" s="231">
        <v>91421</v>
      </c>
      <c r="B161" s="232" t="s">
        <v>875</v>
      </c>
      <c r="C161" s="92">
        <v>7.0400000000000004E-5</v>
      </c>
      <c r="D161" s="92">
        <v>7.3399999999999995E-5</v>
      </c>
      <c r="E161" s="236">
        <v>30682.670000000006</v>
      </c>
      <c r="F161" s="236">
        <v>32941</v>
      </c>
      <c r="G161" s="236">
        <v>149412</v>
      </c>
      <c r="H161" s="236"/>
      <c r="I161" s="237">
        <v>2807</v>
      </c>
      <c r="J161" s="237">
        <v>130933</v>
      </c>
      <c r="K161" s="237">
        <v>10233</v>
      </c>
      <c r="L161" s="236">
        <v>2567</v>
      </c>
      <c r="M161" s="236"/>
      <c r="N161" s="237">
        <v>5236</v>
      </c>
      <c r="O161" s="237">
        <v>48327</v>
      </c>
      <c r="P161" s="237">
        <v>0</v>
      </c>
      <c r="Q161" s="236">
        <v>4833</v>
      </c>
      <c r="R161" s="237">
        <f t="shared" si="2"/>
        <v>82606</v>
      </c>
      <c r="S161" s="236"/>
      <c r="T161" s="237">
        <v>39936</v>
      </c>
      <c r="U161" s="238">
        <v>-400</v>
      </c>
      <c r="V161" s="238">
        <v>39536</v>
      </c>
    </row>
    <row r="162" spans="1:22">
      <c r="A162" s="231">
        <v>91423</v>
      </c>
      <c r="B162" s="232" t="s">
        <v>876</v>
      </c>
      <c r="C162" s="92">
        <v>3.8699999999999999E-5</v>
      </c>
      <c r="D162" s="92">
        <v>3.9499999999999998E-5</v>
      </c>
      <c r="E162" s="236">
        <v>17177.96</v>
      </c>
      <c r="F162" s="236">
        <v>17727</v>
      </c>
      <c r="G162" s="236">
        <v>82134</v>
      </c>
      <c r="H162" s="236"/>
      <c r="I162" s="237">
        <v>1543</v>
      </c>
      <c r="J162" s="237">
        <v>71976</v>
      </c>
      <c r="K162" s="237">
        <v>5625</v>
      </c>
      <c r="L162" s="236">
        <v>10132</v>
      </c>
      <c r="M162" s="236"/>
      <c r="N162" s="237">
        <v>2878</v>
      </c>
      <c r="O162" s="237">
        <v>26566</v>
      </c>
      <c r="P162" s="237">
        <v>0</v>
      </c>
      <c r="Q162" s="236">
        <v>4072</v>
      </c>
      <c r="R162" s="237">
        <f t="shared" si="2"/>
        <v>45410</v>
      </c>
      <c r="S162" s="236"/>
      <c r="T162" s="237">
        <v>21953</v>
      </c>
      <c r="U162" s="238">
        <v>1493</v>
      </c>
      <c r="V162" s="238">
        <v>23446</v>
      </c>
    </row>
    <row r="163" spans="1:22">
      <c r="A163" s="231">
        <v>91431</v>
      </c>
      <c r="B163" s="232" t="s">
        <v>877</v>
      </c>
      <c r="C163" s="92">
        <v>1.417E-4</v>
      </c>
      <c r="D163" s="92">
        <v>1.606E-4</v>
      </c>
      <c r="E163" s="236">
        <v>68459.420000000013</v>
      </c>
      <c r="F163" s="236">
        <v>72076</v>
      </c>
      <c r="G163" s="236">
        <v>300735</v>
      </c>
      <c r="H163" s="236"/>
      <c r="I163" s="237">
        <v>5650</v>
      </c>
      <c r="J163" s="237">
        <v>263540</v>
      </c>
      <c r="K163" s="237">
        <v>20598</v>
      </c>
      <c r="L163" s="236">
        <v>1741</v>
      </c>
      <c r="M163" s="236"/>
      <c r="N163" s="237">
        <v>10538</v>
      </c>
      <c r="O163" s="237">
        <v>97271</v>
      </c>
      <c r="P163" s="237">
        <v>0</v>
      </c>
      <c r="Q163" s="236">
        <v>2500</v>
      </c>
      <c r="R163" s="237">
        <f t="shared" si="2"/>
        <v>166269</v>
      </c>
      <c r="S163" s="236"/>
      <c r="T163" s="237">
        <v>80382</v>
      </c>
      <c r="U163" s="238">
        <v>-116</v>
      </c>
      <c r="V163" s="238">
        <v>80266</v>
      </c>
    </row>
    <row r="164" spans="1:22">
      <c r="A164" s="231">
        <v>91441</v>
      </c>
      <c r="B164" s="232" t="s">
        <v>878</v>
      </c>
      <c r="C164" s="92">
        <v>7.3800000000000005E-4</v>
      </c>
      <c r="D164" s="92">
        <v>8.0199999999999998E-4</v>
      </c>
      <c r="E164" s="236">
        <v>243177.92</v>
      </c>
      <c r="F164" s="236">
        <v>359933</v>
      </c>
      <c r="G164" s="236">
        <v>1566283</v>
      </c>
      <c r="H164" s="236"/>
      <c r="I164" s="237">
        <v>29428</v>
      </c>
      <c r="J164" s="237">
        <v>1372563</v>
      </c>
      <c r="K164" s="237">
        <v>107276</v>
      </c>
      <c r="L164" s="236">
        <v>0</v>
      </c>
      <c r="M164" s="236"/>
      <c r="N164" s="237">
        <v>54884</v>
      </c>
      <c r="O164" s="237">
        <v>506606</v>
      </c>
      <c r="P164" s="237">
        <v>0</v>
      </c>
      <c r="Q164" s="236">
        <v>154968</v>
      </c>
      <c r="R164" s="237">
        <f t="shared" si="2"/>
        <v>865957</v>
      </c>
      <c r="S164" s="236"/>
      <c r="T164" s="237">
        <v>418645</v>
      </c>
      <c r="U164" s="238">
        <v>-51667</v>
      </c>
      <c r="V164" s="238">
        <v>366977</v>
      </c>
    </row>
    <row r="165" spans="1:22">
      <c r="A165" s="231">
        <v>91451</v>
      </c>
      <c r="B165" s="232" t="s">
        <v>879</v>
      </c>
      <c r="C165" s="92">
        <v>1.5629000000000001E-3</v>
      </c>
      <c r="D165" s="92">
        <v>1.7028E-3</v>
      </c>
      <c r="E165" s="236">
        <v>596684.65999999992</v>
      </c>
      <c r="F165" s="236">
        <v>764206</v>
      </c>
      <c r="G165" s="236">
        <v>3316997</v>
      </c>
      <c r="H165" s="236"/>
      <c r="I165" s="237">
        <v>62321</v>
      </c>
      <c r="J165" s="237">
        <v>2906747</v>
      </c>
      <c r="K165" s="237">
        <v>227185</v>
      </c>
      <c r="L165" s="236">
        <v>0</v>
      </c>
      <c r="M165" s="236"/>
      <c r="N165" s="237">
        <v>116231</v>
      </c>
      <c r="O165" s="237">
        <v>1072865</v>
      </c>
      <c r="P165" s="237">
        <v>0</v>
      </c>
      <c r="Q165" s="236">
        <v>204791</v>
      </c>
      <c r="R165" s="237">
        <f t="shared" si="2"/>
        <v>1833882</v>
      </c>
      <c r="S165" s="236"/>
      <c r="T165" s="237">
        <v>886585</v>
      </c>
      <c r="U165" s="238">
        <v>-69029</v>
      </c>
      <c r="V165" s="238">
        <v>817556</v>
      </c>
    </row>
    <row r="166" spans="1:22">
      <c r="A166" s="231">
        <v>91457</v>
      </c>
      <c r="B166" s="232" t="s">
        <v>880</v>
      </c>
      <c r="C166" s="92">
        <v>2.58E-5</v>
      </c>
      <c r="D166" s="92">
        <v>2.7500000000000001E-5</v>
      </c>
      <c r="E166" s="236">
        <v>28420.840000000004</v>
      </c>
      <c r="F166" s="236">
        <v>12342</v>
      </c>
      <c r="G166" s="236">
        <v>54756</v>
      </c>
      <c r="H166" s="236"/>
      <c r="I166" s="237">
        <v>1029</v>
      </c>
      <c r="J166" s="237">
        <v>47984</v>
      </c>
      <c r="K166" s="237">
        <v>3750</v>
      </c>
      <c r="L166" s="236">
        <v>24288</v>
      </c>
      <c r="M166" s="236"/>
      <c r="N166" s="237">
        <v>1919</v>
      </c>
      <c r="O166" s="237">
        <v>17711</v>
      </c>
      <c r="P166" s="237">
        <v>0</v>
      </c>
      <c r="Q166" s="236">
        <v>0</v>
      </c>
      <c r="R166" s="237">
        <f t="shared" si="2"/>
        <v>30273</v>
      </c>
      <c r="S166" s="236"/>
      <c r="T166" s="237">
        <v>14636</v>
      </c>
      <c r="U166" s="238">
        <v>7429</v>
      </c>
      <c r="V166" s="238">
        <v>22065</v>
      </c>
    </row>
    <row r="167" spans="1:22">
      <c r="A167" s="231">
        <v>91461</v>
      </c>
      <c r="B167" s="232" t="s">
        <v>881</v>
      </c>
      <c r="C167" s="92">
        <v>8.6999999999999997E-6</v>
      </c>
      <c r="D167" s="92">
        <v>6.3999999999999997E-6</v>
      </c>
      <c r="E167" s="236">
        <v>2697.2400000000002</v>
      </c>
      <c r="F167" s="236">
        <v>2872</v>
      </c>
      <c r="G167" s="236">
        <v>18464</v>
      </c>
      <c r="H167" s="236"/>
      <c r="I167" s="237">
        <v>347</v>
      </c>
      <c r="J167" s="237">
        <v>16181</v>
      </c>
      <c r="K167" s="237">
        <v>1265</v>
      </c>
      <c r="L167" s="236">
        <v>3156</v>
      </c>
      <c r="M167" s="236"/>
      <c r="N167" s="237">
        <v>647</v>
      </c>
      <c r="O167" s="237">
        <v>5972</v>
      </c>
      <c r="P167" s="237">
        <v>0</v>
      </c>
      <c r="Q167" s="236">
        <v>0</v>
      </c>
      <c r="R167" s="237">
        <f t="shared" si="2"/>
        <v>10209</v>
      </c>
      <c r="S167" s="236"/>
      <c r="T167" s="237">
        <v>4935</v>
      </c>
      <c r="U167" s="238">
        <v>1104</v>
      </c>
      <c r="V167" s="238">
        <v>6039</v>
      </c>
    </row>
    <row r="168" spans="1:22">
      <c r="A168" s="231">
        <v>91501</v>
      </c>
      <c r="B168" s="232" t="s">
        <v>882</v>
      </c>
      <c r="C168" s="92">
        <v>5.1099999999999995E-4</v>
      </c>
      <c r="D168" s="92">
        <v>4.8660000000000001E-4</v>
      </c>
      <c r="E168" s="236">
        <v>207395.53999999998</v>
      </c>
      <c r="F168" s="236">
        <v>218383</v>
      </c>
      <c r="G168" s="236">
        <v>1084513</v>
      </c>
      <c r="H168" s="236"/>
      <c r="I168" s="237">
        <v>20376</v>
      </c>
      <c r="J168" s="237">
        <v>950379</v>
      </c>
      <c r="K168" s="237">
        <v>74279</v>
      </c>
      <c r="L168" s="236">
        <v>41752</v>
      </c>
      <c r="M168" s="236"/>
      <c r="N168" s="237">
        <v>38003</v>
      </c>
      <c r="O168" s="237">
        <v>350780</v>
      </c>
      <c r="P168" s="237">
        <v>0</v>
      </c>
      <c r="Q168" s="236">
        <v>0</v>
      </c>
      <c r="R168" s="237">
        <f t="shared" si="2"/>
        <v>599599</v>
      </c>
      <c r="S168" s="236"/>
      <c r="T168" s="237">
        <v>289874</v>
      </c>
      <c r="U168" s="238">
        <v>17322</v>
      </c>
      <c r="V168" s="238">
        <v>307197</v>
      </c>
    </row>
    <row r="169" spans="1:22">
      <c r="A169" s="231">
        <v>91504</v>
      </c>
      <c r="B169" s="232" t="s">
        <v>883</v>
      </c>
      <c r="C169" s="92">
        <v>1.0200000000000001E-5</v>
      </c>
      <c r="D169" s="92">
        <v>9.7999999999999993E-6</v>
      </c>
      <c r="E169" s="236">
        <v>5951.380000000001</v>
      </c>
      <c r="F169" s="236">
        <v>4398</v>
      </c>
      <c r="G169" s="236">
        <v>21648</v>
      </c>
      <c r="H169" s="236"/>
      <c r="I169" s="237">
        <v>406.72500000000002</v>
      </c>
      <c r="J169" s="237">
        <v>18970</v>
      </c>
      <c r="K169" s="237">
        <v>1483</v>
      </c>
      <c r="L169" s="236">
        <v>6563</v>
      </c>
      <c r="M169" s="236"/>
      <c r="N169" s="237">
        <v>759</v>
      </c>
      <c r="O169" s="237">
        <v>7002</v>
      </c>
      <c r="P169" s="237">
        <v>0</v>
      </c>
      <c r="Q169" s="236">
        <v>0</v>
      </c>
      <c r="R169" s="237">
        <f t="shared" si="2"/>
        <v>11968</v>
      </c>
      <c r="S169" s="236"/>
      <c r="T169" s="237">
        <v>5786</v>
      </c>
      <c r="U169" s="238">
        <v>2270</v>
      </c>
      <c r="V169" s="238">
        <v>8056</v>
      </c>
    </row>
    <row r="170" spans="1:22">
      <c r="A170" s="231">
        <v>91601</v>
      </c>
      <c r="B170" s="232" t="s">
        <v>884</v>
      </c>
      <c r="C170" s="92">
        <v>2.9077999999999999E-3</v>
      </c>
      <c r="D170" s="92">
        <v>2.5893000000000001E-3</v>
      </c>
      <c r="E170" s="236">
        <v>1153048.76</v>
      </c>
      <c r="F170" s="236">
        <v>1162062</v>
      </c>
      <c r="G170" s="236">
        <v>6171326</v>
      </c>
      <c r="H170" s="236"/>
      <c r="I170" s="237">
        <v>115949</v>
      </c>
      <c r="J170" s="237">
        <v>5408049</v>
      </c>
      <c r="K170" s="237">
        <v>422681</v>
      </c>
      <c r="L170" s="236">
        <v>254754</v>
      </c>
      <c r="M170" s="236"/>
      <c r="N170" s="237">
        <v>216250</v>
      </c>
      <c r="O170" s="237">
        <v>1996083</v>
      </c>
      <c r="P170" s="237">
        <v>0</v>
      </c>
      <c r="Q170" s="236">
        <v>0</v>
      </c>
      <c r="R170" s="237">
        <f t="shared" si="2"/>
        <v>3411966</v>
      </c>
      <c r="S170" s="236"/>
      <c r="T170" s="237">
        <v>1649505</v>
      </c>
      <c r="U170" s="238">
        <v>86224</v>
      </c>
      <c r="V170" s="238">
        <v>1735729</v>
      </c>
    </row>
    <row r="171" spans="1:22">
      <c r="A171" s="231">
        <v>91604</v>
      </c>
      <c r="B171" s="232" t="s">
        <v>885</v>
      </c>
      <c r="C171" s="92">
        <v>8.6799999999999996E-5</v>
      </c>
      <c r="D171" s="92">
        <v>8.5000000000000006E-5</v>
      </c>
      <c r="E171" s="236">
        <v>47160.30999999999</v>
      </c>
      <c r="F171" s="236">
        <v>38147</v>
      </c>
      <c r="G171" s="236">
        <v>184219</v>
      </c>
      <c r="H171" s="236"/>
      <c r="I171" s="237">
        <v>3461</v>
      </c>
      <c r="J171" s="237">
        <v>161434</v>
      </c>
      <c r="K171" s="237">
        <v>12617</v>
      </c>
      <c r="L171" s="236">
        <v>17354</v>
      </c>
      <c r="M171" s="236"/>
      <c r="N171" s="237">
        <v>6455</v>
      </c>
      <c r="O171" s="237">
        <v>59585</v>
      </c>
      <c r="P171" s="237">
        <v>0</v>
      </c>
      <c r="Q171" s="236">
        <v>0</v>
      </c>
      <c r="R171" s="237">
        <f t="shared" si="2"/>
        <v>101849</v>
      </c>
      <c r="S171" s="236"/>
      <c r="T171" s="237">
        <v>49239</v>
      </c>
      <c r="U171" s="238">
        <v>5419</v>
      </c>
      <c r="V171" s="238">
        <v>54658</v>
      </c>
    </row>
    <row r="172" spans="1:22">
      <c r="A172" s="231">
        <v>91608</v>
      </c>
      <c r="B172" s="232" t="s">
        <v>886</v>
      </c>
      <c r="C172" s="92">
        <v>1.208E-4</v>
      </c>
      <c r="D172" s="92">
        <v>1.178E-4</v>
      </c>
      <c r="E172" s="236">
        <v>33633.730000000003</v>
      </c>
      <c r="F172" s="236">
        <v>52868</v>
      </c>
      <c r="G172" s="236">
        <v>256378</v>
      </c>
      <c r="H172" s="236"/>
      <c r="I172" s="237">
        <v>4817</v>
      </c>
      <c r="J172" s="237">
        <v>224669</v>
      </c>
      <c r="K172" s="237">
        <v>17560</v>
      </c>
      <c r="L172" s="236">
        <v>1751</v>
      </c>
      <c r="M172" s="236"/>
      <c r="N172" s="237">
        <v>8984</v>
      </c>
      <c r="O172" s="237">
        <v>82924</v>
      </c>
      <c r="P172" s="237">
        <v>0</v>
      </c>
      <c r="Q172" s="236">
        <v>42921</v>
      </c>
      <c r="R172" s="237">
        <f t="shared" si="2"/>
        <v>141745</v>
      </c>
      <c r="S172" s="236"/>
      <c r="T172" s="237">
        <v>68526</v>
      </c>
      <c r="U172" s="238">
        <v>-13278</v>
      </c>
      <c r="V172" s="238">
        <v>55248</v>
      </c>
    </row>
    <row r="173" spans="1:22">
      <c r="A173" s="231">
        <v>91611</v>
      </c>
      <c r="B173" s="232" t="s">
        <v>887</v>
      </c>
      <c r="C173" s="92">
        <v>1.4345E-3</v>
      </c>
      <c r="D173" s="92">
        <v>1.3361E-3</v>
      </c>
      <c r="E173" s="236">
        <v>495191.63999999996</v>
      </c>
      <c r="F173" s="236">
        <v>599634</v>
      </c>
      <c r="G173" s="236">
        <v>3044490</v>
      </c>
      <c r="H173" s="236"/>
      <c r="I173" s="237">
        <v>57201</v>
      </c>
      <c r="J173" s="237">
        <v>2667943</v>
      </c>
      <c r="K173" s="237">
        <v>208520</v>
      </c>
      <c r="L173" s="236">
        <v>36769</v>
      </c>
      <c r="M173" s="236"/>
      <c r="N173" s="237">
        <v>106682</v>
      </c>
      <c r="O173" s="237">
        <v>984724</v>
      </c>
      <c r="P173" s="237">
        <v>0</v>
      </c>
      <c r="Q173" s="236">
        <v>21938</v>
      </c>
      <c r="R173" s="237">
        <f t="shared" si="2"/>
        <v>1683219</v>
      </c>
      <c r="S173" s="236"/>
      <c r="T173" s="237">
        <v>813747</v>
      </c>
      <c r="U173" s="238">
        <v>11752</v>
      </c>
      <c r="V173" s="238">
        <v>825500</v>
      </c>
    </row>
    <row r="174" spans="1:22">
      <c r="A174" s="231">
        <v>91621</v>
      </c>
      <c r="B174" s="232" t="s">
        <v>888</v>
      </c>
      <c r="C174" s="92">
        <v>2.5240000000000001E-4</v>
      </c>
      <c r="D174" s="92">
        <v>2.6200000000000003E-4</v>
      </c>
      <c r="E174" s="236">
        <v>102643.69999999998</v>
      </c>
      <c r="F174" s="236">
        <v>117584</v>
      </c>
      <c r="G174" s="236">
        <v>535677</v>
      </c>
      <c r="H174" s="236"/>
      <c r="I174" s="237">
        <v>10064</v>
      </c>
      <c r="J174" s="237">
        <v>469424</v>
      </c>
      <c r="K174" s="237">
        <v>36689</v>
      </c>
      <c r="L174" s="236">
        <v>20545</v>
      </c>
      <c r="M174" s="236"/>
      <c r="N174" s="237">
        <v>18771</v>
      </c>
      <c r="O174" s="237">
        <v>173262</v>
      </c>
      <c r="P174" s="237">
        <v>0</v>
      </c>
      <c r="Q174" s="236">
        <v>25591</v>
      </c>
      <c r="R174" s="237">
        <f t="shared" si="2"/>
        <v>296162</v>
      </c>
      <c r="S174" s="236"/>
      <c r="T174" s="237">
        <v>143179</v>
      </c>
      <c r="U174" s="238">
        <v>-4085</v>
      </c>
      <c r="V174" s="238">
        <v>139094</v>
      </c>
    </row>
    <row r="175" spans="1:22">
      <c r="A175" s="231">
        <v>91631</v>
      </c>
      <c r="B175" s="232" t="s">
        <v>889</v>
      </c>
      <c r="C175" s="92">
        <v>5.3870000000000003E-4</v>
      </c>
      <c r="D175" s="92">
        <v>5.4830000000000005E-4</v>
      </c>
      <c r="E175" s="236">
        <v>189554.94</v>
      </c>
      <c r="F175" s="236">
        <v>246074</v>
      </c>
      <c r="G175" s="236">
        <v>1143302</v>
      </c>
      <c r="H175" s="236"/>
      <c r="I175" s="237">
        <v>21481</v>
      </c>
      <c r="J175" s="237">
        <v>1001897</v>
      </c>
      <c r="K175" s="237">
        <v>78306</v>
      </c>
      <c r="L175" s="236">
        <v>0</v>
      </c>
      <c r="M175" s="236"/>
      <c r="N175" s="237">
        <v>40063</v>
      </c>
      <c r="O175" s="237">
        <v>369795</v>
      </c>
      <c r="P175" s="237">
        <v>0</v>
      </c>
      <c r="Q175" s="236">
        <v>35292</v>
      </c>
      <c r="R175" s="237">
        <f t="shared" si="2"/>
        <v>632102</v>
      </c>
      <c r="S175" s="236"/>
      <c r="T175" s="237">
        <v>305588</v>
      </c>
      <c r="U175" s="238">
        <v>-10001</v>
      </c>
      <c r="V175" s="238">
        <v>295587</v>
      </c>
    </row>
    <row r="176" spans="1:22">
      <c r="A176" s="231">
        <v>91633</v>
      </c>
      <c r="B176" s="232" t="s">
        <v>890</v>
      </c>
      <c r="C176" s="92">
        <v>2.3799999999999999E-5</v>
      </c>
      <c r="D176" s="92">
        <v>2.3200000000000001E-5</v>
      </c>
      <c r="E176" s="236">
        <v>11149.369999999999</v>
      </c>
      <c r="F176" s="236">
        <v>10412</v>
      </c>
      <c r="G176" s="236">
        <v>50512</v>
      </c>
      <c r="H176" s="236"/>
      <c r="I176" s="237">
        <v>949.02499999999998</v>
      </c>
      <c r="J176" s="237">
        <v>44264</v>
      </c>
      <c r="K176" s="237">
        <v>3460</v>
      </c>
      <c r="L176" s="236">
        <v>1407</v>
      </c>
      <c r="M176" s="236"/>
      <c r="N176" s="237">
        <v>1770</v>
      </c>
      <c r="O176" s="237">
        <v>16338</v>
      </c>
      <c r="P176" s="237">
        <v>0</v>
      </c>
      <c r="Q176" s="236">
        <v>5064</v>
      </c>
      <c r="R176" s="237">
        <f t="shared" si="2"/>
        <v>27926</v>
      </c>
      <c r="S176" s="236"/>
      <c r="T176" s="237">
        <v>13501</v>
      </c>
      <c r="U176" s="238">
        <v>-1485</v>
      </c>
      <c r="V176" s="238">
        <v>12016</v>
      </c>
    </row>
    <row r="177" spans="1:22">
      <c r="A177" s="231">
        <v>91641</v>
      </c>
      <c r="B177" s="232" t="s">
        <v>891</v>
      </c>
      <c r="C177" s="92">
        <v>2.742E-4</v>
      </c>
      <c r="D177" s="92">
        <v>3.1080000000000002E-4</v>
      </c>
      <c r="E177" s="236">
        <v>90324.84</v>
      </c>
      <c r="F177" s="236">
        <v>139485</v>
      </c>
      <c r="G177" s="236">
        <v>581944</v>
      </c>
      <c r="H177" s="236"/>
      <c r="I177" s="237">
        <v>10934</v>
      </c>
      <c r="J177" s="237">
        <v>509969</v>
      </c>
      <c r="K177" s="237">
        <v>39858</v>
      </c>
      <c r="L177" s="236">
        <v>0</v>
      </c>
      <c r="M177" s="236"/>
      <c r="N177" s="237">
        <v>20392</v>
      </c>
      <c r="O177" s="237">
        <v>188227</v>
      </c>
      <c r="P177" s="237">
        <v>0</v>
      </c>
      <c r="Q177" s="236">
        <v>73613</v>
      </c>
      <c r="R177" s="237">
        <f t="shared" si="2"/>
        <v>321742</v>
      </c>
      <c r="S177" s="236"/>
      <c r="T177" s="237">
        <v>155545</v>
      </c>
      <c r="U177" s="238">
        <v>-24397</v>
      </c>
      <c r="V177" s="238">
        <v>131148</v>
      </c>
    </row>
    <row r="178" spans="1:22">
      <c r="A178" s="231">
        <v>91651</v>
      </c>
      <c r="B178" s="232" t="s">
        <v>892</v>
      </c>
      <c r="C178" s="92">
        <v>4.6099999999999998E-4</v>
      </c>
      <c r="D178" s="92">
        <v>4.797E-4</v>
      </c>
      <c r="E178" s="236">
        <v>182169.7</v>
      </c>
      <c r="F178" s="236">
        <v>215286</v>
      </c>
      <c r="G178" s="236">
        <v>978396</v>
      </c>
      <c r="H178" s="236"/>
      <c r="I178" s="237">
        <v>18382.375</v>
      </c>
      <c r="J178" s="237">
        <v>857387</v>
      </c>
      <c r="K178" s="237">
        <v>67011</v>
      </c>
      <c r="L178" s="236">
        <v>0</v>
      </c>
      <c r="M178" s="236"/>
      <c r="N178" s="237">
        <v>34284</v>
      </c>
      <c r="O178" s="237">
        <v>316457</v>
      </c>
      <c r="P178" s="237">
        <v>0</v>
      </c>
      <c r="Q178" s="236">
        <v>30276</v>
      </c>
      <c r="R178" s="237">
        <f t="shared" si="2"/>
        <v>540930</v>
      </c>
      <c r="S178" s="236"/>
      <c r="T178" s="237">
        <v>261511</v>
      </c>
      <c r="U178" s="238">
        <v>-9842</v>
      </c>
      <c r="V178" s="238">
        <v>251669</v>
      </c>
    </row>
    <row r="179" spans="1:22">
      <c r="A179" s="231">
        <v>91661</v>
      </c>
      <c r="B179" s="232" t="s">
        <v>893</v>
      </c>
      <c r="C179" s="92">
        <v>1.6750000000000001E-4</v>
      </c>
      <c r="D179" s="92">
        <v>1.9149999999999999E-4</v>
      </c>
      <c r="E179" s="236">
        <v>50933.13</v>
      </c>
      <c r="F179" s="236">
        <v>85944</v>
      </c>
      <c r="G179" s="236">
        <v>355491</v>
      </c>
      <c r="H179" s="236"/>
      <c r="I179" s="237">
        <v>6679.0625</v>
      </c>
      <c r="J179" s="237">
        <v>311524</v>
      </c>
      <c r="K179" s="237">
        <v>24348</v>
      </c>
      <c r="L179" s="236">
        <v>0</v>
      </c>
      <c r="M179" s="236"/>
      <c r="N179" s="237">
        <v>12457</v>
      </c>
      <c r="O179" s="237">
        <v>114982</v>
      </c>
      <c r="P179" s="237">
        <v>0</v>
      </c>
      <c r="Q179" s="236">
        <v>40976</v>
      </c>
      <c r="R179" s="237">
        <f t="shared" si="2"/>
        <v>196542</v>
      </c>
      <c r="S179" s="236"/>
      <c r="T179" s="237">
        <v>95018</v>
      </c>
      <c r="U179" s="238">
        <v>-12042</v>
      </c>
      <c r="V179" s="238">
        <v>82975</v>
      </c>
    </row>
    <row r="180" spans="1:22">
      <c r="A180" s="231">
        <v>91671</v>
      </c>
      <c r="B180" s="232" t="s">
        <v>894</v>
      </c>
      <c r="C180" s="92">
        <v>9.7600000000000001E-5</v>
      </c>
      <c r="D180" s="92">
        <v>9.0000000000000006E-5</v>
      </c>
      <c r="E180" s="236">
        <v>40599.14</v>
      </c>
      <c r="F180" s="236">
        <v>40391.46</v>
      </c>
      <c r="G180" s="236">
        <v>207140</v>
      </c>
      <c r="H180" s="236"/>
      <c r="I180" s="237">
        <v>3891.8</v>
      </c>
      <c r="J180" s="237">
        <v>181521</v>
      </c>
      <c r="K180" s="237">
        <v>14187</v>
      </c>
      <c r="L180" s="236">
        <v>17521</v>
      </c>
      <c r="M180" s="236"/>
      <c r="N180" s="237">
        <v>7258</v>
      </c>
      <c r="O180" s="237">
        <v>66998</v>
      </c>
      <c r="P180" s="237">
        <v>0</v>
      </c>
      <c r="Q180" s="236">
        <v>0</v>
      </c>
      <c r="R180" s="237">
        <f t="shared" si="2"/>
        <v>114523</v>
      </c>
      <c r="S180" s="236"/>
      <c r="T180" s="237">
        <v>55365</v>
      </c>
      <c r="U180" s="238">
        <v>6024</v>
      </c>
      <c r="V180" s="238">
        <v>61390</v>
      </c>
    </row>
    <row r="181" spans="1:22">
      <c r="A181" s="231">
        <v>91681</v>
      </c>
      <c r="B181" s="232" t="s">
        <v>895</v>
      </c>
      <c r="C181" s="92">
        <v>4.7130000000000002E-4</v>
      </c>
      <c r="D181" s="92">
        <v>5.2590000000000004E-4</v>
      </c>
      <c r="E181" s="236">
        <v>361073.65</v>
      </c>
      <c r="F181" s="236">
        <v>236021</v>
      </c>
      <c r="G181" s="236">
        <v>1000256</v>
      </c>
      <c r="H181" s="236"/>
      <c r="I181" s="237">
        <v>18793</v>
      </c>
      <c r="J181" s="237">
        <v>876544</v>
      </c>
      <c r="K181" s="237">
        <v>68509</v>
      </c>
      <c r="L181" s="236">
        <v>196447</v>
      </c>
      <c r="M181" s="236"/>
      <c r="N181" s="237">
        <v>35050</v>
      </c>
      <c r="O181" s="237">
        <v>323528</v>
      </c>
      <c r="P181" s="237">
        <v>0</v>
      </c>
      <c r="Q181" s="236">
        <v>9078</v>
      </c>
      <c r="R181" s="237">
        <f t="shared" si="2"/>
        <v>553016</v>
      </c>
      <c r="S181" s="236"/>
      <c r="T181" s="237">
        <v>267354</v>
      </c>
      <c r="U181" s="238">
        <v>55234</v>
      </c>
      <c r="V181" s="238">
        <v>322588</v>
      </c>
    </row>
    <row r="182" spans="1:22">
      <c r="A182" s="231">
        <v>91691</v>
      </c>
      <c r="B182" s="232" t="s">
        <v>896</v>
      </c>
      <c r="C182" s="92">
        <v>2.4199999999999999E-5</v>
      </c>
      <c r="D182" s="92">
        <v>1.8700000000000001E-5</v>
      </c>
      <c r="E182" s="236">
        <v>9113.6699999999983</v>
      </c>
      <c r="F182" s="236">
        <v>8392</v>
      </c>
      <c r="G182" s="236">
        <v>51361</v>
      </c>
      <c r="H182" s="236"/>
      <c r="I182" s="237">
        <v>965</v>
      </c>
      <c r="J182" s="237">
        <v>45008</v>
      </c>
      <c r="K182" s="237">
        <v>3518</v>
      </c>
      <c r="L182" s="236">
        <v>2449</v>
      </c>
      <c r="M182" s="236"/>
      <c r="N182" s="237">
        <v>1800</v>
      </c>
      <c r="O182" s="237">
        <v>16612</v>
      </c>
      <c r="P182" s="237">
        <v>0</v>
      </c>
      <c r="Q182" s="236">
        <v>801</v>
      </c>
      <c r="R182" s="237">
        <f t="shared" si="2"/>
        <v>28396</v>
      </c>
      <c r="S182" s="236"/>
      <c r="T182" s="237">
        <v>13728</v>
      </c>
      <c r="U182" s="238">
        <v>383</v>
      </c>
      <c r="V182" s="238">
        <v>14111</v>
      </c>
    </row>
    <row r="183" spans="1:22">
      <c r="A183" s="231">
        <v>91701</v>
      </c>
      <c r="B183" s="232" t="s">
        <v>897</v>
      </c>
      <c r="C183" s="92">
        <v>1.0897000000000001E-3</v>
      </c>
      <c r="D183" s="92">
        <v>1.0575999999999999E-3</v>
      </c>
      <c r="E183" s="236">
        <v>448773.31999999995</v>
      </c>
      <c r="F183" s="236">
        <v>474645</v>
      </c>
      <c r="G183" s="236">
        <v>2312708</v>
      </c>
      <c r="H183" s="236"/>
      <c r="I183" s="237">
        <v>43452</v>
      </c>
      <c r="J183" s="237">
        <v>2026670</v>
      </c>
      <c r="K183" s="237">
        <v>158400</v>
      </c>
      <c r="L183" s="236">
        <v>20132</v>
      </c>
      <c r="M183" s="236"/>
      <c r="N183" s="237">
        <v>81040</v>
      </c>
      <c r="O183" s="237">
        <v>748033</v>
      </c>
      <c r="P183" s="237">
        <v>0</v>
      </c>
      <c r="Q183" s="236">
        <v>13968</v>
      </c>
      <c r="R183" s="237">
        <f t="shared" si="2"/>
        <v>1278637</v>
      </c>
      <c r="S183" s="236"/>
      <c r="T183" s="237">
        <v>618153</v>
      </c>
      <c r="U183" s="238">
        <v>-1590</v>
      </c>
      <c r="V183" s="238">
        <v>616563</v>
      </c>
    </row>
    <row r="184" spans="1:22">
      <c r="A184" s="231">
        <v>91704</v>
      </c>
      <c r="B184" s="232" t="s">
        <v>898</v>
      </c>
      <c r="C184" s="92">
        <v>1.6699999999999999E-5</v>
      </c>
      <c r="D184" s="92">
        <v>1.66E-5</v>
      </c>
      <c r="E184" s="236">
        <v>6924.2000000000016</v>
      </c>
      <c r="F184" s="236">
        <v>7450</v>
      </c>
      <c r="G184" s="236">
        <v>35443</v>
      </c>
      <c r="H184" s="236"/>
      <c r="I184" s="237">
        <v>665.91250000000002</v>
      </c>
      <c r="J184" s="237">
        <v>31059</v>
      </c>
      <c r="K184" s="237">
        <v>2428</v>
      </c>
      <c r="L184" s="236">
        <v>1658</v>
      </c>
      <c r="M184" s="236"/>
      <c r="N184" s="237">
        <v>1242</v>
      </c>
      <c r="O184" s="237">
        <v>11464</v>
      </c>
      <c r="P184" s="237">
        <v>0</v>
      </c>
      <c r="Q184" s="236">
        <v>0</v>
      </c>
      <c r="R184" s="237">
        <f t="shared" si="2"/>
        <v>19595</v>
      </c>
      <c r="S184" s="236"/>
      <c r="T184" s="237">
        <v>9473</v>
      </c>
      <c r="U184" s="238">
        <v>628</v>
      </c>
      <c r="V184" s="238">
        <v>10101</v>
      </c>
    </row>
    <row r="185" spans="1:22">
      <c r="A185" s="231">
        <v>91706</v>
      </c>
      <c r="B185" s="232" t="s">
        <v>899</v>
      </c>
      <c r="C185" s="92">
        <v>2.4279999999999999E-4</v>
      </c>
      <c r="D185" s="92">
        <v>2.565E-4</v>
      </c>
      <c r="E185" s="236">
        <v>104554.31999999999</v>
      </c>
      <c r="F185" s="236">
        <v>115116</v>
      </c>
      <c r="G185" s="236">
        <v>515303</v>
      </c>
      <c r="H185" s="236"/>
      <c r="I185" s="237">
        <v>9681.65</v>
      </c>
      <c r="J185" s="237">
        <v>451570</v>
      </c>
      <c r="K185" s="237">
        <v>35294</v>
      </c>
      <c r="L185" s="236">
        <v>807</v>
      </c>
      <c r="M185" s="236"/>
      <c r="N185" s="237">
        <v>18057</v>
      </c>
      <c r="O185" s="237">
        <v>166672</v>
      </c>
      <c r="P185" s="237">
        <v>0</v>
      </c>
      <c r="Q185" s="236">
        <v>14823</v>
      </c>
      <c r="R185" s="237">
        <f t="shared" si="2"/>
        <v>284898</v>
      </c>
      <c r="S185" s="236"/>
      <c r="T185" s="237">
        <v>137733</v>
      </c>
      <c r="U185" s="238">
        <v>-6265</v>
      </c>
      <c r="V185" s="238">
        <v>131468</v>
      </c>
    </row>
    <row r="186" spans="1:22">
      <c r="A186" s="231">
        <v>91719</v>
      </c>
      <c r="B186" s="232" t="s">
        <v>900</v>
      </c>
      <c r="C186" s="92">
        <v>4.9299999999999999E-5</v>
      </c>
      <c r="D186" s="92">
        <v>4.4199999999999997E-5</v>
      </c>
      <c r="E186" s="236">
        <v>15848.369999999997</v>
      </c>
      <c r="F186" s="236">
        <v>19837</v>
      </c>
      <c r="G186" s="236">
        <v>104631</v>
      </c>
      <c r="H186" s="236"/>
      <c r="I186" s="237">
        <v>1966</v>
      </c>
      <c r="J186" s="237">
        <v>91690</v>
      </c>
      <c r="K186" s="237">
        <v>7166</v>
      </c>
      <c r="L186" s="236">
        <v>6810</v>
      </c>
      <c r="M186" s="236"/>
      <c r="N186" s="237">
        <v>3666</v>
      </c>
      <c r="O186" s="237">
        <v>33842</v>
      </c>
      <c r="P186" s="237">
        <v>0</v>
      </c>
      <c r="Q186" s="236">
        <v>3972</v>
      </c>
      <c r="R186" s="237">
        <f t="shared" si="2"/>
        <v>57848</v>
      </c>
      <c r="S186" s="236"/>
      <c r="T186" s="237">
        <v>27966</v>
      </c>
      <c r="U186" s="238">
        <v>602</v>
      </c>
      <c r="V186" s="238">
        <v>28568</v>
      </c>
    </row>
    <row r="187" spans="1:22">
      <c r="A187" s="231">
        <v>91801</v>
      </c>
      <c r="B187" s="232" t="s">
        <v>901</v>
      </c>
      <c r="C187" s="92">
        <v>8.3853999999999995E-3</v>
      </c>
      <c r="D187" s="92">
        <v>8.1784000000000006E-3</v>
      </c>
      <c r="E187" s="236">
        <v>3229080.93</v>
      </c>
      <c r="F187" s="236">
        <v>3670417</v>
      </c>
      <c r="G187" s="236">
        <v>17796628</v>
      </c>
      <c r="H187" s="236"/>
      <c r="I187" s="237">
        <v>334368</v>
      </c>
      <c r="J187" s="237">
        <v>15595519</v>
      </c>
      <c r="K187" s="237">
        <v>1218910</v>
      </c>
      <c r="L187" s="236">
        <v>0</v>
      </c>
      <c r="M187" s="236"/>
      <c r="N187" s="237">
        <v>623614</v>
      </c>
      <c r="O187" s="237">
        <v>5756225</v>
      </c>
      <c r="P187" s="237">
        <v>0</v>
      </c>
      <c r="Q187" s="236">
        <v>122778</v>
      </c>
      <c r="R187" s="237">
        <f t="shared" si="2"/>
        <v>9839294</v>
      </c>
      <c r="S187" s="236"/>
      <c r="T187" s="237">
        <v>4756777</v>
      </c>
      <c r="U187" s="238">
        <v>-45736</v>
      </c>
      <c r="V187" s="238">
        <v>4711042</v>
      </c>
    </row>
    <row r="188" spans="1:22">
      <c r="A188" s="231">
        <v>91804</v>
      </c>
      <c r="B188" s="232" t="s">
        <v>902</v>
      </c>
      <c r="C188" s="92">
        <v>1.462E-4</v>
      </c>
      <c r="D188" s="92">
        <v>1.4349999999999999E-4</v>
      </c>
      <c r="E188" s="236">
        <v>90420.56</v>
      </c>
      <c r="F188" s="236">
        <v>64402</v>
      </c>
      <c r="G188" s="236">
        <v>310285</v>
      </c>
      <c r="H188" s="236"/>
      <c r="I188" s="237">
        <v>5830</v>
      </c>
      <c r="J188" s="237">
        <v>271909</v>
      </c>
      <c r="K188" s="237">
        <v>21252</v>
      </c>
      <c r="L188" s="236">
        <v>55024</v>
      </c>
      <c r="M188" s="236"/>
      <c r="N188" s="237">
        <v>10873</v>
      </c>
      <c r="O188" s="237">
        <v>100360</v>
      </c>
      <c r="P188" s="237">
        <v>0</v>
      </c>
      <c r="Q188" s="236">
        <v>0</v>
      </c>
      <c r="R188" s="237">
        <f t="shared" si="2"/>
        <v>171549</v>
      </c>
      <c r="S188" s="236"/>
      <c r="T188" s="237">
        <v>82935</v>
      </c>
      <c r="U188" s="238">
        <v>18762</v>
      </c>
      <c r="V188" s="238">
        <v>101697</v>
      </c>
    </row>
    <row r="189" spans="1:22">
      <c r="A189" s="231">
        <v>91811</v>
      </c>
      <c r="B189" s="232" t="s">
        <v>903</v>
      </c>
      <c r="C189" s="92">
        <v>4.6454000000000001E-3</v>
      </c>
      <c r="D189" s="92">
        <v>5.0266E-3</v>
      </c>
      <c r="E189" s="236">
        <v>1763087.8699999999</v>
      </c>
      <c r="F189" s="236">
        <v>2255908</v>
      </c>
      <c r="G189" s="236">
        <v>9859095</v>
      </c>
      <c r="H189" s="236"/>
      <c r="I189" s="237">
        <v>185235</v>
      </c>
      <c r="J189" s="237">
        <v>8639710</v>
      </c>
      <c r="K189" s="237">
        <v>675260</v>
      </c>
      <c r="L189" s="236">
        <v>0</v>
      </c>
      <c r="M189" s="236"/>
      <c r="N189" s="237">
        <v>345474</v>
      </c>
      <c r="O189" s="237">
        <v>3188872</v>
      </c>
      <c r="P189" s="237">
        <v>0</v>
      </c>
      <c r="Q189" s="236">
        <v>514506</v>
      </c>
      <c r="R189" s="237">
        <f t="shared" si="2"/>
        <v>5450838</v>
      </c>
      <c r="S189" s="236"/>
      <c r="T189" s="237">
        <v>2635191</v>
      </c>
      <c r="U189" s="238">
        <v>-157089</v>
      </c>
      <c r="V189" s="238">
        <v>2478102</v>
      </c>
    </row>
    <row r="190" spans="1:22">
      <c r="A190" s="231">
        <v>91812</v>
      </c>
      <c r="B190" s="232" t="s">
        <v>904</v>
      </c>
      <c r="C190" s="92">
        <v>5.8199999999999998E-5</v>
      </c>
      <c r="D190" s="92">
        <v>4.1499999999999999E-5</v>
      </c>
      <c r="E190" s="236">
        <v>24707.129999999997</v>
      </c>
      <c r="F190" s="236">
        <v>18625</v>
      </c>
      <c r="G190" s="236">
        <v>123520</v>
      </c>
      <c r="H190" s="236"/>
      <c r="I190" s="237">
        <v>2320.7249999999999</v>
      </c>
      <c r="J190" s="237">
        <v>108243</v>
      </c>
      <c r="K190" s="237">
        <v>8460</v>
      </c>
      <c r="L190" s="236">
        <v>16587</v>
      </c>
      <c r="M190" s="236"/>
      <c r="N190" s="237">
        <v>4328</v>
      </c>
      <c r="O190" s="237">
        <v>39952</v>
      </c>
      <c r="P190" s="237">
        <v>0</v>
      </c>
      <c r="Q190" s="236">
        <v>0</v>
      </c>
      <c r="R190" s="237">
        <f t="shared" si="2"/>
        <v>68291</v>
      </c>
      <c r="S190" s="236"/>
      <c r="T190" s="237">
        <v>33015</v>
      </c>
      <c r="U190" s="238">
        <v>5261</v>
      </c>
      <c r="V190" s="238">
        <v>38276</v>
      </c>
    </row>
    <row r="191" spans="1:22">
      <c r="A191" s="231">
        <v>91813</v>
      </c>
      <c r="B191" s="232" t="s">
        <v>905</v>
      </c>
      <c r="C191" s="92">
        <v>1.083E-4</v>
      </c>
      <c r="D191" s="92">
        <v>9.6100000000000005E-5</v>
      </c>
      <c r="E191" s="236">
        <v>43088.72</v>
      </c>
      <c r="F191" s="236">
        <v>43129</v>
      </c>
      <c r="G191" s="236">
        <v>229849</v>
      </c>
      <c r="H191" s="236"/>
      <c r="I191" s="237">
        <v>4318</v>
      </c>
      <c r="J191" s="237">
        <v>201421</v>
      </c>
      <c r="K191" s="237">
        <v>15743</v>
      </c>
      <c r="L191" s="236">
        <v>16214</v>
      </c>
      <c r="M191" s="236"/>
      <c r="N191" s="237">
        <v>8054</v>
      </c>
      <c r="O191" s="237">
        <v>74343</v>
      </c>
      <c r="P191" s="237">
        <v>0</v>
      </c>
      <c r="Q191" s="236">
        <v>5268</v>
      </c>
      <c r="R191" s="237">
        <f t="shared" si="2"/>
        <v>127078</v>
      </c>
      <c r="S191" s="236"/>
      <c r="T191" s="237">
        <v>61435</v>
      </c>
      <c r="U191" s="238">
        <v>2581</v>
      </c>
      <c r="V191" s="238">
        <v>64016</v>
      </c>
    </row>
    <row r="192" spans="1:22">
      <c r="A192" s="231">
        <v>91818</v>
      </c>
      <c r="B192" s="232" t="s">
        <v>906</v>
      </c>
      <c r="C192" s="92">
        <v>3.8559999999999999E-4</v>
      </c>
      <c r="D192" s="92">
        <v>3.8890000000000002E-4</v>
      </c>
      <c r="E192" s="236">
        <v>416376.07000000007</v>
      </c>
      <c r="F192" s="236">
        <v>174536</v>
      </c>
      <c r="G192" s="236">
        <v>818372</v>
      </c>
      <c r="H192" s="236"/>
      <c r="I192" s="237">
        <v>15375.8</v>
      </c>
      <c r="J192" s="237">
        <v>717155</v>
      </c>
      <c r="K192" s="237">
        <v>56051</v>
      </c>
      <c r="L192" s="236">
        <v>347266</v>
      </c>
      <c r="M192" s="236"/>
      <c r="N192" s="237">
        <v>28677</v>
      </c>
      <c r="O192" s="237">
        <v>264698</v>
      </c>
      <c r="P192" s="237">
        <v>0</v>
      </c>
      <c r="Q192" s="236">
        <v>10099</v>
      </c>
      <c r="R192" s="237">
        <f t="shared" si="2"/>
        <v>452457</v>
      </c>
      <c r="S192" s="236"/>
      <c r="T192" s="237">
        <v>218739</v>
      </c>
      <c r="U192" s="238">
        <v>98677</v>
      </c>
      <c r="V192" s="238">
        <v>317416</v>
      </c>
    </row>
    <row r="193" spans="1:22">
      <c r="A193" s="231">
        <v>91819</v>
      </c>
      <c r="B193" s="232" t="s">
        <v>907</v>
      </c>
      <c r="C193" s="92">
        <v>2.8200000000000002E-4</v>
      </c>
      <c r="D193" s="92">
        <v>2.9609999999999999E-4</v>
      </c>
      <c r="E193" s="236">
        <v>118267.02</v>
      </c>
      <c r="F193" s="236">
        <v>132888</v>
      </c>
      <c r="G193" s="236">
        <v>598498</v>
      </c>
      <c r="H193" s="236"/>
      <c r="I193" s="237">
        <v>11245</v>
      </c>
      <c r="J193" s="237">
        <v>524475</v>
      </c>
      <c r="K193" s="237">
        <v>40992</v>
      </c>
      <c r="L193" s="236">
        <v>13743</v>
      </c>
      <c r="M193" s="236"/>
      <c r="N193" s="237">
        <v>20972</v>
      </c>
      <c r="O193" s="237">
        <v>193581</v>
      </c>
      <c r="P193" s="237">
        <v>0</v>
      </c>
      <c r="Q193" s="236">
        <v>11963</v>
      </c>
      <c r="R193" s="237">
        <f t="shared" si="2"/>
        <v>330894</v>
      </c>
      <c r="S193" s="236"/>
      <c r="T193" s="237">
        <v>159970</v>
      </c>
      <c r="U193" s="238">
        <v>3219</v>
      </c>
      <c r="V193" s="238">
        <v>163189</v>
      </c>
    </row>
    <row r="194" spans="1:22">
      <c r="A194" s="231">
        <v>91821</v>
      </c>
      <c r="B194" s="232" t="s">
        <v>908</v>
      </c>
      <c r="C194" s="92">
        <v>1.63E-4</v>
      </c>
      <c r="D194" s="92">
        <v>1.5799999999999999E-4</v>
      </c>
      <c r="E194" s="236">
        <v>61732.91</v>
      </c>
      <c r="F194" s="236">
        <v>70909</v>
      </c>
      <c r="G194" s="236">
        <v>345941</v>
      </c>
      <c r="H194" s="236"/>
      <c r="I194" s="237">
        <v>6499.625</v>
      </c>
      <c r="J194" s="237">
        <v>303154</v>
      </c>
      <c r="K194" s="237">
        <v>23694</v>
      </c>
      <c r="L194" s="236">
        <v>4196</v>
      </c>
      <c r="M194" s="236"/>
      <c r="N194" s="237">
        <v>12122</v>
      </c>
      <c r="O194" s="237">
        <v>111893</v>
      </c>
      <c r="P194" s="237">
        <v>0</v>
      </c>
      <c r="Q194" s="236">
        <v>1501</v>
      </c>
      <c r="R194" s="237">
        <f t="shared" si="2"/>
        <v>191261</v>
      </c>
      <c r="S194" s="236"/>
      <c r="T194" s="237">
        <v>92465</v>
      </c>
      <c r="U194" s="238">
        <v>1532</v>
      </c>
      <c r="V194" s="238">
        <v>93997</v>
      </c>
    </row>
    <row r="195" spans="1:22">
      <c r="A195" s="231">
        <v>91831</v>
      </c>
      <c r="B195" s="232" t="s">
        <v>909</v>
      </c>
      <c r="C195" s="92">
        <v>3.414E-4</v>
      </c>
      <c r="D195" s="92">
        <v>3.344E-4</v>
      </c>
      <c r="E195" s="236">
        <v>124107.91</v>
      </c>
      <c r="F195" s="236">
        <v>150077</v>
      </c>
      <c r="G195" s="236">
        <v>724565</v>
      </c>
      <c r="H195" s="236"/>
      <c r="I195" s="237">
        <v>13613</v>
      </c>
      <c r="J195" s="237">
        <v>634950</v>
      </c>
      <c r="K195" s="237">
        <v>49626</v>
      </c>
      <c r="L195" s="236">
        <v>12411</v>
      </c>
      <c r="M195" s="236"/>
      <c r="N195" s="237">
        <v>25390</v>
      </c>
      <c r="O195" s="237">
        <v>234357</v>
      </c>
      <c r="P195" s="237">
        <v>0</v>
      </c>
      <c r="Q195" s="236">
        <v>9146</v>
      </c>
      <c r="R195" s="237">
        <f t="shared" si="2"/>
        <v>400593</v>
      </c>
      <c r="S195" s="236"/>
      <c r="T195" s="237">
        <v>193666</v>
      </c>
      <c r="U195" s="238">
        <v>2194</v>
      </c>
      <c r="V195" s="238">
        <v>195860</v>
      </c>
    </row>
    <row r="196" spans="1:22">
      <c r="A196" s="231">
        <v>91841</v>
      </c>
      <c r="B196" s="232" t="s">
        <v>910</v>
      </c>
      <c r="C196" s="92">
        <v>2.63E-4</v>
      </c>
      <c r="D196" s="92">
        <v>2.7290000000000002E-4</v>
      </c>
      <c r="E196" s="236">
        <v>112188.05</v>
      </c>
      <c r="F196" s="236">
        <v>122476</v>
      </c>
      <c r="G196" s="236">
        <v>558174</v>
      </c>
      <c r="H196" s="236"/>
      <c r="I196" s="237">
        <v>10487.125</v>
      </c>
      <c r="J196" s="237">
        <v>489138</v>
      </c>
      <c r="K196" s="237">
        <v>38230</v>
      </c>
      <c r="L196" s="236">
        <v>0</v>
      </c>
      <c r="M196" s="236"/>
      <c r="N196" s="237">
        <v>19559</v>
      </c>
      <c r="O196" s="237">
        <v>180538</v>
      </c>
      <c r="P196" s="237">
        <v>0</v>
      </c>
      <c r="Q196" s="236">
        <v>24859</v>
      </c>
      <c r="R196" s="237">
        <f t="shared" si="2"/>
        <v>308600</v>
      </c>
      <c r="S196" s="236"/>
      <c r="T196" s="237">
        <v>149192</v>
      </c>
      <c r="U196" s="238">
        <v>-10148</v>
      </c>
      <c r="V196" s="238">
        <v>139044</v>
      </c>
    </row>
    <row r="197" spans="1:22">
      <c r="A197" s="231">
        <v>91851</v>
      </c>
      <c r="B197" s="232" t="s">
        <v>911</v>
      </c>
      <c r="C197" s="92">
        <v>7.2059999999999995E-4</v>
      </c>
      <c r="D197" s="92">
        <v>7.8410000000000003E-4</v>
      </c>
      <c r="E197" s="236">
        <v>289167.15999999997</v>
      </c>
      <c r="F197" s="236">
        <v>351899</v>
      </c>
      <c r="G197" s="236">
        <v>1529355</v>
      </c>
      <c r="H197" s="236"/>
      <c r="I197" s="237">
        <v>28734</v>
      </c>
      <c r="J197" s="237">
        <v>1340202</v>
      </c>
      <c r="K197" s="237">
        <v>104747</v>
      </c>
      <c r="L197" s="236">
        <v>7182</v>
      </c>
      <c r="M197" s="236"/>
      <c r="N197" s="237">
        <v>53590</v>
      </c>
      <c r="O197" s="237">
        <v>494662</v>
      </c>
      <c r="P197" s="237">
        <v>0</v>
      </c>
      <c r="Q197" s="236">
        <v>62684</v>
      </c>
      <c r="R197" s="237">
        <f t="shared" si="2"/>
        <v>845540</v>
      </c>
      <c r="S197" s="236"/>
      <c r="T197" s="237">
        <v>408774</v>
      </c>
      <c r="U197" s="238">
        <v>-14788</v>
      </c>
      <c r="V197" s="238">
        <v>393986</v>
      </c>
    </row>
    <row r="198" spans="1:22">
      <c r="A198" s="231">
        <v>91861</v>
      </c>
      <c r="B198" s="232" t="s">
        <v>912</v>
      </c>
      <c r="C198" s="92">
        <v>1.9899999999999999E-5</v>
      </c>
      <c r="D198" s="92">
        <v>1.8499999999999999E-5</v>
      </c>
      <c r="E198" s="236">
        <v>7957.7099999999991</v>
      </c>
      <c r="F198" s="236">
        <v>8303</v>
      </c>
      <c r="G198" s="236">
        <v>42234</v>
      </c>
      <c r="H198" s="236"/>
      <c r="I198" s="237">
        <v>794</v>
      </c>
      <c r="J198" s="237">
        <v>37011</v>
      </c>
      <c r="K198" s="237">
        <v>2893</v>
      </c>
      <c r="L198" s="236">
        <v>3091</v>
      </c>
      <c r="M198" s="236"/>
      <c r="N198" s="237">
        <v>1480</v>
      </c>
      <c r="O198" s="237">
        <v>13661</v>
      </c>
      <c r="P198" s="237">
        <v>0</v>
      </c>
      <c r="Q198" s="236">
        <v>221</v>
      </c>
      <c r="R198" s="237">
        <f t="shared" si="2"/>
        <v>23350</v>
      </c>
      <c r="S198" s="236"/>
      <c r="T198" s="237">
        <v>11289</v>
      </c>
      <c r="U198" s="238">
        <v>930</v>
      </c>
      <c r="V198" s="238">
        <v>12219</v>
      </c>
    </row>
    <row r="199" spans="1:22">
      <c r="A199" s="231">
        <v>91871</v>
      </c>
      <c r="B199" s="232" t="s">
        <v>913</v>
      </c>
      <c r="C199" s="92">
        <v>1.2712000000000001E-3</v>
      </c>
      <c r="D199" s="92">
        <v>1.3523000000000001E-3</v>
      </c>
      <c r="E199" s="236">
        <v>508749.63</v>
      </c>
      <c r="F199" s="236">
        <v>606904</v>
      </c>
      <c r="G199" s="236">
        <v>2697912</v>
      </c>
      <c r="H199" s="236"/>
      <c r="I199" s="237">
        <v>50689</v>
      </c>
      <c r="J199" s="237">
        <v>2364231</v>
      </c>
      <c r="K199" s="237">
        <v>184783</v>
      </c>
      <c r="L199" s="236">
        <v>0</v>
      </c>
      <c r="M199" s="236"/>
      <c r="N199" s="237">
        <v>94538</v>
      </c>
      <c r="O199" s="237">
        <v>872625</v>
      </c>
      <c r="P199" s="237">
        <v>0</v>
      </c>
      <c r="Q199" s="236">
        <v>108234</v>
      </c>
      <c r="R199" s="237">
        <f t="shared" si="2"/>
        <v>1491606</v>
      </c>
      <c r="S199" s="236"/>
      <c r="T199" s="237">
        <v>721112</v>
      </c>
      <c r="U199" s="238">
        <v>-34437</v>
      </c>
      <c r="V199" s="238">
        <v>686676</v>
      </c>
    </row>
    <row r="200" spans="1:22">
      <c r="A200" s="231">
        <v>91881</v>
      </c>
      <c r="B200" s="232" t="s">
        <v>914</v>
      </c>
      <c r="C200" s="92">
        <v>1.01E-5</v>
      </c>
      <c r="D200" s="92">
        <v>2.1399999999999998E-5</v>
      </c>
      <c r="E200" s="236">
        <v>5881.13</v>
      </c>
      <c r="F200" s="236">
        <v>9604</v>
      </c>
      <c r="G200" s="236">
        <v>21436</v>
      </c>
      <c r="H200" s="236"/>
      <c r="I200" s="237">
        <v>402.73750000000001</v>
      </c>
      <c r="J200" s="237">
        <v>18784</v>
      </c>
      <c r="K200" s="237">
        <v>1468</v>
      </c>
      <c r="L200" s="236">
        <v>0</v>
      </c>
      <c r="M200" s="236"/>
      <c r="N200" s="237">
        <v>751</v>
      </c>
      <c r="O200" s="237">
        <v>6933</v>
      </c>
      <c r="P200" s="237">
        <v>0</v>
      </c>
      <c r="Q200" s="236">
        <v>14714</v>
      </c>
      <c r="R200" s="237">
        <f t="shared" si="2"/>
        <v>11851</v>
      </c>
      <c r="S200" s="236"/>
      <c r="T200" s="237">
        <v>5729</v>
      </c>
      <c r="U200" s="238">
        <v>-5904</v>
      </c>
      <c r="V200" s="238">
        <v>-175</v>
      </c>
    </row>
    <row r="201" spans="1:22">
      <c r="A201" s="231">
        <v>91901</v>
      </c>
      <c r="B201" s="232" t="s">
        <v>915</v>
      </c>
      <c r="C201" s="92">
        <v>3.6564000000000002E-3</v>
      </c>
      <c r="D201" s="92">
        <v>3.4198000000000002E-3</v>
      </c>
      <c r="E201" s="236">
        <v>1388384.1</v>
      </c>
      <c r="F201" s="236">
        <v>1534786</v>
      </c>
      <c r="G201" s="236">
        <v>7760106</v>
      </c>
      <c r="H201" s="236"/>
      <c r="I201" s="237">
        <v>145799</v>
      </c>
      <c r="J201" s="237">
        <v>6800326</v>
      </c>
      <c r="K201" s="237">
        <v>531498</v>
      </c>
      <c r="L201" s="236">
        <v>147570</v>
      </c>
      <c r="M201" s="236"/>
      <c r="N201" s="237">
        <v>271923</v>
      </c>
      <c r="O201" s="237">
        <v>2509965</v>
      </c>
      <c r="P201" s="237">
        <v>0</v>
      </c>
      <c r="Q201" s="236">
        <v>0</v>
      </c>
      <c r="R201" s="237">
        <f t="shared" ref="R201:R264" si="3">IF(J201&gt;O201,J201-O201,O201-J201)</f>
        <v>4290361</v>
      </c>
      <c r="S201" s="236"/>
      <c r="T201" s="237">
        <v>2074162</v>
      </c>
      <c r="U201" s="238">
        <v>57850</v>
      </c>
      <c r="V201" s="238">
        <v>2132013</v>
      </c>
    </row>
    <row r="202" spans="1:22">
      <c r="A202" s="231">
        <v>91903</v>
      </c>
      <c r="B202" s="232" t="s">
        <v>916</v>
      </c>
      <c r="C202" s="92">
        <v>8.3999999999999992E-6</v>
      </c>
      <c r="D202" s="92">
        <v>9.5000000000000005E-6</v>
      </c>
      <c r="E202" s="236">
        <v>4422.4000000000005</v>
      </c>
      <c r="F202" s="236">
        <v>4264</v>
      </c>
      <c r="G202" s="236">
        <v>17828</v>
      </c>
      <c r="H202" s="236"/>
      <c r="I202" s="237">
        <v>334.95</v>
      </c>
      <c r="J202" s="237">
        <v>15623</v>
      </c>
      <c r="K202" s="237">
        <v>1221</v>
      </c>
      <c r="L202" s="236">
        <v>656</v>
      </c>
      <c r="M202" s="236"/>
      <c r="N202" s="237">
        <v>625</v>
      </c>
      <c r="O202" s="237">
        <v>5766</v>
      </c>
      <c r="P202" s="237">
        <v>0</v>
      </c>
      <c r="Q202" s="236">
        <v>6052</v>
      </c>
      <c r="R202" s="237">
        <f t="shared" si="3"/>
        <v>9857</v>
      </c>
      <c r="S202" s="236"/>
      <c r="T202" s="237">
        <v>4765</v>
      </c>
      <c r="U202" s="238">
        <v>-2825</v>
      </c>
      <c r="V202" s="238">
        <v>1940</v>
      </c>
    </row>
    <row r="203" spans="1:22">
      <c r="A203" s="231">
        <v>91904</v>
      </c>
      <c r="B203" s="232" t="s">
        <v>917</v>
      </c>
      <c r="C203" s="92">
        <v>2.3300000000000001E-5</v>
      </c>
      <c r="D203" s="92">
        <v>1.1600000000000001E-5</v>
      </c>
      <c r="E203" s="236">
        <v>9195.409999999998</v>
      </c>
      <c r="F203" s="236">
        <v>5206</v>
      </c>
      <c r="G203" s="236">
        <v>49450</v>
      </c>
      <c r="H203" s="236"/>
      <c r="I203" s="237">
        <v>929.08749999999998</v>
      </c>
      <c r="J203" s="237">
        <v>43334</v>
      </c>
      <c r="K203" s="237">
        <v>3387</v>
      </c>
      <c r="L203" s="236">
        <v>9161</v>
      </c>
      <c r="M203" s="236"/>
      <c r="N203" s="237">
        <v>1733</v>
      </c>
      <c r="O203" s="237">
        <v>15994</v>
      </c>
      <c r="P203" s="237">
        <v>0</v>
      </c>
      <c r="Q203" s="236">
        <v>0</v>
      </c>
      <c r="R203" s="237">
        <f t="shared" si="3"/>
        <v>27340</v>
      </c>
      <c r="S203" s="236"/>
      <c r="T203" s="237">
        <v>13217</v>
      </c>
      <c r="U203" s="238">
        <v>3062</v>
      </c>
      <c r="V203" s="238">
        <v>16279</v>
      </c>
    </row>
    <row r="204" spans="1:22">
      <c r="A204" s="231">
        <v>91908</v>
      </c>
      <c r="B204" s="232" t="s">
        <v>918</v>
      </c>
      <c r="C204" s="92">
        <v>1.3699999999999999E-5</v>
      </c>
      <c r="D204" s="92">
        <v>1.73E-5</v>
      </c>
      <c r="E204" s="236">
        <v>3751.2</v>
      </c>
      <c r="F204" s="236">
        <v>7764</v>
      </c>
      <c r="G204" s="236">
        <v>29076</v>
      </c>
      <c r="H204" s="236"/>
      <c r="I204" s="237">
        <v>546.28750000000002</v>
      </c>
      <c r="J204" s="237">
        <v>25480</v>
      </c>
      <c r="K204" s="237">
        <v>1991</v>
      </c>
      <c r="L204" s="236">
        <v>1638</v>
      </c>
      <c r="M204" s="236"/>
      <c r="N204" s="237">
        <v>1019</v>
      </c>
      <c r="O204" s="237">
        <v>9404</v>
      </c>
      <c r="P204" s="237">
        <v>0</v>
      </c>
      <c r="Q204" s="236">
        <v>3446</v>
      </c>
      <c r="R204" s="237">
        <f t="shared" si="3"/>
        <v>16076</v>
      </c>
      <c r="S204" s="236"/>
      <c r="T204" s="237">
        <v>7772</v>
      </c>
      <c r="U204" s="238">
        <v>-83</v>
      </c>
      <c r="V204" s="238">
        <v>7689</v>
      </c>
    </row>
    <row r="205" spans="1:22">
      <c r="A205" s="231">
        <v>91911</v>
      </c>
      <c r="B205" s="232" t="s">
        <v>919</v>
      </c>
      <c r="C205" s="92">
        <v>4.639E-4</v>
      </c>
      <c r="D205" s="92">
        <v>4.4079999999999998E-4</v>
      </c>
      <c r="E205" s="236">
        <v>186806.7</v>
      </c>
      <c r="F205" s="236">
        <v>197828</v>
      </c>
      <c r="G205" s="236">
        <v>984551</v>
      </c>
      <c r="H205" s="236"/>
      <c r="I205" s="237">
        <v>18498</v>
      </c>
      <c r="J205" s="237">
        <v>862781</v>
      </c>
      <c r="K205" s="237">
        <v>67433</v>
      </c>
      <c r="L205" s="236">
        <v>9361</v>
      </c>
      <c r="M205" s="236"/>
      <c r="N205" s="237">
        <v>34500</v>
      </c>
      <c r="O205" s="237">
        <v>318448</v>
      </c>
      <c r="P205" s="237">
        <v>0</v>
      </c>
      <c r="Q205" s="236">
        <v>8482</v>
      </c>
      <c r="R205" s="237">
        <f t="shared" si="3"/>
        <v>544333</v>
      </c>
      <c r="S205" s="236"/>
      <c r="T205" s="237">
        <v>263156</v>
      </c>
      <c r="U205" s="238">
        <v>-1046</v>
      </c>
      <c r="V205" s="238">
        <v>262110</v>
      </c>
    </row>
    <row r="206" spans="1:22">
      <c r="A206" s="231">
        <v>91917</v>
      </c>
      <c r="B206" s="232" t="s">
        <v>920</v>
      </c>
      <c r="C206" s="92">
        <v>1.36E-5</v>
      </c>
      <c r="D206" s="92">
        <v>1.42E-5</v>
      </c>
      <c r="E206" s="236">
        <v>6743.42</v>
      </c>
      <c r="F206" s="236">
        <v>6373</v>
      </c>
      <c r="G206" s="236">
        <v>28864</v>
      </c>
      <c r="H206" s="236"/>
      <c r="I206" s="237">
        <v>542</v>
      </c>
      <c r="J206" s="237">
        <v>25294</v>
      </c>
      <c r="K206" s="237">
        <v>1977</v>
      </c>
      <c r="L206" s="236">
        <v>731</v>
      </c>
      <c r="M206" s="236"/>
      <c r="N206" s="237">
        <v>1011</v>
      </c>
      <c r="O206" s="237">
        <v>9336</v>
      </c>
      <c r="P206" s="237">
        <v>0</v>
      </c>
      <c r="Q206" s="236">
        <v>0</v>
      </c>
      <c r="R206" s="237">
        <f t="shared" si="3"/>
        <v>15958</v>
      </c>
      <c r="S206" s="236"/>
      <c r="T206" s="237">
        <v>7715</v>
      </c>
      <c r="U206" s="238">
        <v>203</v>
      </c>
      <c r="V206" s="238">
        <v>7918</v>
      </c>
    </row>
    <row r="207" spans="1:22">
      <c r="A207" s="231">
        <v>91921</v>
      </c>
      <c r="B207" s="232" t="s">
        <v>921</v>
      </c>
      <c r="C207" s="92">
        <v>3.6600000000000001E-4</v>
      </c>
      <c r="D207" s="92">
        <v>3.4840000000000001E-4</v>
      </c>
      <c r="E207" s="236">
        <v>136994.49</v>
      </c>
      <c r="F207" s="236">
        <v>156360</v>
      </c>
      <c r="G207" s="236">
        <v>776774.61</v>
      </c>
      <c r="H207" s="236"/>
      <c r="I207" s="237">
        <v>14594.25</v>
      </c>
      <c r="J207" s="237">
        <v>680702</v>
      </c>
      <c r="K207" s="237">
        <v>53202</v>
      </c>
      <c r="L207" s="236">
        <v>0</v>
      </c>
      <c r="M207" s="236"/>
      <c r="N207" s="237">
        <v>27219</v>
      </c>
      <c r="O207" s="237">
        <v>251244</v>
      </c>
      <c r="P207" s="237">
        <v>0</v>
      </c>
      <c r="Q207" s="236">
        <v>12578</v>
      </c>
      <c r="R207" s="237">
        <f t="shared" si="3"/>
        <v>429458</v>
      </c>
      <c r="S207" s="236"/>
      <c r="T207" s="237">
        <v>207620</v>
      </c>
      <c r="U207" s="238">
        <v>-4638</v>
      </c>
      <c r="V207" s="238">
        <v>202982</v>
      </c>
    </row>
    <row r="208" spans="1:22">
      <c r="A208" s="231">
        <v>92001</v>
      </c>
      <c r="B208" s="232" t="s">
        <v>922</v>
      </c>
      <c r="C208" s="92">
        <v>1.9604000000000002E-3</v>
      </c>
      <c r="D208" s="92">
        <v>1.7531000000000001E-3</v>
      </c>
      <c r="E208" s="236">
        <v>743048.49</v>
      </c>
      <c r="F208" s="236">
        <v>786781</v>
      </c>
      <c r="G208" s="236">
        <v>4160626</v>
      </c>
      <c r="H208" s="236"/>
      <c r="I208" s="237">
        <v>78171</v>
      </c>
      <c r="J208" s="237">
        <v>3646034</v>
      </c>
      <c r="K208" s="237">
        <v>284966</v>
      </c>
      <c r="L208" s="236">
        <v>65513</v>
      </c>
      <c r="M208" s="236"/>
      <c r="N208" s="237">
        <v>145793</v>
      </c>
      <c r="O208" s="237">
        <v>1345732</v>
      </c>
      <c r="P208" s="237">
        <v>0</v>
      </c>
      <c r="Q208" s="236">
        <v>52440.480000000003</v>
      </c>
      <c r="R208" s="237">
        <f t="shared" si="3"/>
        <v>2300302</v>
      </c>
      <c r="S208" s="236"/>
      <c r="T208" s="237">
        <v>1112074</v>
      </c>
      <c r="U208" s="238">
        <v>-9057</v>
      </c>
      <c r="V208" s="238">
        <v>1103017</v>
      </c>
    </row>
    <row r="209" spans="1:22">
      <c r="A209" s="231">
        <v>92005</v>
      </c>
      <c r="B209" s="232" t="s">
        <v>923</v>
      </c>
      <c r="C209" s="92">
        <v>4.6499999999999999E-5</v>
      </c>
      <c r="D209" s="92">
        <v>4.5800000000000002E-5</v>
      </c>
      <c r="E209" s="236">
        <v>20891.13</v>
      </c>
      <c r="F209" s="236">
        <v>20555</v>
      </c>
      <c r="G209" s="236">
        <v>98689</v>
      </c>
      <c r="H209" s="236"/>
      <c r="I209" s="237">
        <v>1854.1875</v>
      </c>
      <c r="J209" s="237">
        <v>86483</v>
      </c>
      <c r="K209" s="237">
        <v>6759</v>
      </c>
      <c r="L209" s="236">
        <v>2627</v>
      </c>
      <c r="M209" s="236"/>
      <c r="N209" s="237">
        <v>3458</v>
      </c>
      <c r="O209" s="237">
        <v>31920</v>
      </c>
      <c r="P209" s="237">
        <v>0</v>
      </c>
      <c r="Q209" s="236">
        <v>597</v>
      </c>
      <c r="R209" s="237">
        <f t="shared" si="3"/>
        <v>54563</v>
      </c>
      <c r="S209" s="236"/>
      <c r="T209" s="237">
        <v>26378</v>
      </c>
      <c r="U209" s="238">
        <v>674</v>
      </c>
      <c r="V209" s="238">
        <v>27053</v>
      </c>
    </row>
    <row r="210" spans="1:22">
      <c r="A210" s="231">
        <v>92011</v>
      </c>
      <c r="B210" s="232" t="s">
        <v>924</v>
      </c>
      <c r="C210" s="92">
        <v>1.8660000000000001E-4</v>
      </c>
      <c r="D210" s="92">
        <v>1.8230000000000001E-4</v>
      </c>
      <c r="E210" s="236">
        <v>77715.649999999994</v>
      </c>
      <c r="F210" s="236">
        <v>81815</v>
      </c>
      <c r="G210" s="236">
        <v>396028</v>
      </c>
      <c r="H210" s="236"/>
      <c r="I210" s="237">
        <v>7441</v>
      </c>
      <c r="J210" s="237">
        <v>347047</v>
      </c>
      <c r="K210" s="237">
        <v>27124</v>
      </c>
      <c r="L210" s="236">
        <v>17408</v>
      </c>
      <c r="M210" s="236"/>
      <c r="N210" s="237">
        <v>13877</v>
      </c>
      <c r="O210" s="237">
        <v>128093</v>
      </c>
      <c r="P210" s="237">
        <v>0</v>
      </c>
      <c r="Q210" s="236">
        <v>0</v>
      </c>
      <c r="R210" s="237">
        <f t="shared" si="3"/>
        <v>218954</v>
      </c>
      <c r="S210" s="236"/>
      <c r="T210" s="237">
        <v>105852</v>
      </c>
      <c r="U210" s="238">
        <v>7783</v>
      </c>
      <c r="V210" s="238">
        <v>113635</v>
      </c>
    </row>
    <row r="211" spans="1:22">
      <c r="A211" s="231">
        <v>92017</v>
      </c>
      <c r="B211" s="232" t="s">
        <v>925</v>
      </c>
      <c r="C211" s="92">
        <v>3.5099999999999999E-5</v>
      </c>
      <c r="D211" s="92">
        <v>3.7100000000000001E-5</v>
      </c>
      <c r="E211" s="236">
        <v>14855.15</v>
      </c>
      <c r="F211" s="236">
        <v>16650</v>
      </c>
      <c r="G211" s="236">
        <v>74494</v>
      </c>
      <c r="H211" s="236"/>
      <c r="I211" s="237">
        <v>1400</v>
      </c>
      <c r="J211" s="237">
        <v>65280</v>
      </c>
      <c r="K211" s="237">
        <v>5102</v>
      </c>
      <c r="L211" s="236">
        <v>388</v>
      </c>
      <c r="M211" s="236"/>
      <c r="N211" s="237">
        <v>2610</v>
      </c>
      <c r="O211" s="237">
        <v>24095</v>
      </c>
      <c r="P211" s="237">
        <v>0</v>
      </c>
      <c r="Q211" s="236">
        <v>2160</v>
      </c>
      <c r="R211" s="237">
        <f t="shared" si="3"/>
        <v>41185</v>
      </c>
      <c r="S211" s="236"/>
      <c r="T211" s="237">
        <v>19911</v>
      </c>
      <c r="U211" s="238">
        <v>-766</v>
      </c>
      <c r="V211" s="238">
        <v>19146</v>
      </c>
    </row>
    <row r="212" spans="1:22">
      <c r="A212" s="231">
        <v>92021</v>
      </c>
      <c r="B212" s="232" t="s">
        <v>926</v>
      </c>
      <c r="C212" s="92">
        <v>1.4249999999999999E-4</v>
      </c>
      <c r="D212" s="92">
        <v>9.8999999999999994E-5</v>
      </c>
      <c r="E212" s="236">
        <v>63076.850000000006</v>
      </c>
      <c r="F212" s="236">
        <v>44431</v>
      </c>
      <c r="G212" s="236">
        <v>302433</v>
      </c>
      <c r="H212" s="236"/>
      <c r="I212" s="237">
        <v>5682.1875</v>
      </c>
      <c r="J212" s="237">
        <v>265027</v>
      </c>
      <c r="K212" s="237">
        <v>20714</v>
      </c>
      <c r="L212" s="236">
        <v>27119</v>
      </c>
      <c r="M212" s="236"/>
      <c r="N212" s="237">
        <v>10598</v>
      </c>
      <c r="O212" s="237">
        <v>97820</v>
      </c>
      <c r="P212" s="237">
        <v>0</v>
      </c>
      <c r="Q212" s="236">
        <v>18999</v>
      </c>
      <c r="R212" s="237">
        <f t="shared" si="3"/>
        <v>167207</v>
      </c>
      <c r="S212" s="236"/>
      <c r="T212" s="237">
        <v>80836</v>
      </c>
      <c r="U212" s="238">
        <v>-831</v>
      </c>
      <c r="V212" s="238">
        <v>80004</v>
      </c>
    </row>
    <row r="213" spans="1:22">
      <c r="A213" s="231">
        <v>92101</v>
      </c>
      <c r="B213" s="232" t="s">
        <v>927</v>
      </c>
      <c r="C213" s="92">
        <v>8.6870000000000003E-4</v>
      </c>
      <c r="D213" s="92">
        <v>9.1750000000000002E-4</v>
      </c>
      <c r="E213" s="236">
        <v>332881.28999999998</v>
      </c>
      <c r="F213" s="236">
        <v>411768</v>
      </c>
      <c r="G213" s="236">
        <v>1843672</v>
      </c>
      <c r="H213" s="236"/>
      <c r="I213" s="237">
        <v>34639</v>
      </c>
      <c r="J213" s="237">
        <v>1615645</v>
      </c>
      <c r="K213" s="237">
        <v>126275</v>
      </c>
      <c r="L213" s="236">
        <v>18519</v>
      </c>
      <c r="M213" s="236"/>
      <c r="N213" s="237">
        <v>64604</v>
      </c>
      <c r="O213" s="237">
        <v>596326</v>
      </c>
      <c r="P213" s="237">
        <v>0</v>
      </c>
      <c r="Q213" s="236">
        <v>45788</v>
      </c>
      <c r="R213" s="237">
        <f t="shared" si="3"/>
        <v>1019319</v>
      </c>
      <c r="S213" s="236"/>
      <c r="T213" s="237">
        <v>492787</v>
      </c>
      <c r="U213" s="238">
        <v>-2848</v>
      </c>
      <c r="V213" s="238">
        <v>489939</v>
      </c>
    </row>
    <row r="214" spans="1:22">
      <c r="A214" s="231">
        <v>92104</v>
      </c>
      <c r="B214" s="232" t="s">
        <v>928</v>
      </c>
      <c r="C214" s="92">
        <v>8.8000000000000004E-6</v>
      </c>
      <c r="D214" s="92">
        <v>8.1000000000000004E-6</v>
      </c>
      <c r="E214" s="236">
        <v>4595.5199999999995</v>
      </c>
      <c r="F214" s="236">
        <v>3635</v>
      </c>
      <c r="G214" s="236">
        <v>18677</v>
      </c>
      <c r="H214" s="236"/>
      <c r="I214" s="237">
        <v>351</v>
      </c>
      <c r="J214" s="237">
        <v>16367</v>
      </c>
      <c r="K214" s="237">
        <v>1279</v>
      </c>
      <c r="L214" s="236">
        <v>4163</v>
      </c>
      <c r="M214" s="236"/>
      <c r="N214" s="237">
        <v>654</v>
      </c>
      <c r="O214" s="237">
        <v>6041</v>
      </c>
      <c r="P214" s="237">
        <v>0</v>
      </c>
      <c r="Q214" s="236">
        <v>0</v>
      </c>
      <c r="R214" s="237">
        <f t="shared" si="3"/>
        <v>10326</v>
      </c>
      <c r="S214" s="236"/>
      <c r="T214" s="237">
        <v>4992</v>
      </c>
      <c r="U214" s="238">
        <v>1637</v>
      </c>
      <c r="V214" s="238">
        <v>6629</v>
      </c>
    </row>
    <row r="215" spans="1:22">
      <c r="A215" s="231">
        <v>92109</v>
      </c>
      <c r="B215" s="232" t="s">
        <v>929</v>
      </c>
      <c r="C215" s="92">
        <v>1.7909999999999999E-4</v>
      </c>
      <c r="D215" s="92">
        <v>1.7310000000000001E-4</v>
      </c>
      <c r="E215" s="236">
        <v>70342.320000000007</v>
      </c>
      <c r="F215" s="236">
        <v>77686</v>
      </c>
      <c r="G215" s="236">
        <v>380110</v>
      </c>
      <c r="H215" s="236"/>
      <c r="I215" s="237">
        <v>7142</v>
      </c>
      <c r="J215" s="237">
        <v>333098</v>
      </c>
      <c r="K215" s="237">
        <v>26034</v>
      </c>
      <c r="L215" s="236">
        <v>3189</v>
      </c>
      <c r="M215" s="236"/>
      <c r="N215" s="237">
        <v>13319</v>
      </c>
      <c r="O215" s="237">
        <v>122945</v>
      </c>
      <c r="P215" s="237">
        <v>0</v>
      </c>
      <c r="Q215" s="236">
        <v>19542</v>
      </c>
      <c r="R215" s="237">
        <f t="shared" si="3"/>
        <v>210153</v>
      </c>
      <c r="S215" s="236"/>
      <c r="T215" s="237">
        <v>101598</v>
      </c>
      <c r="U215" s="238">
        <v>-5478</v>
      </c>
      <c r="V215" s="238">
        <v>96120</v>
      </c>
    </row>
    <row r="216" spans="1:22">
      <c r="A216" s="231">
        <v>92111</v>
      </c>
      <c r="B216" s="232" t="s">
        <v>930</v>
      </c>
      <c r="C216" s="92">
        <v>5.0009999999999996E-4</v>
      </c>
      <c r="D216" s="92">
        <v>5.3319999999999995E-4</v>
      </c>
      <c r="E216" s="236">
        <v>205690.42</v>
      </c>
      <c r="F216" s="236">
        <v>239297</v>
      </c>
      <c r="G216" s="236">
        <v>1061380</v>
      </c>
      <c r="H216" s="236"/>
      <c r="I216" s="237">
        <v>19941</v>
      </c>
      <c r="J216" s="237">
        <v>930107</v>
      </c>
      <c r="K216" s="237">
        <v>72695</v>
      </c>
      <c r="L216" s="236">
        <v>14524</v>
      </c>
      <c r="M216" s="236"/>
      <c r="N216" s="237">
        <v>37192</v>
      </c>
      <c r="O216" s="237">
        <v>343298</v>
      </c>
      <c r="P216" s="237">
        <v>0</v>
      </c>
      <c r="Q216" s="236">
        <v>17909</v>
      </c>
      <c r="R216" s="237">
        <f t="shared" si="3"/>
        <v>586809</v>
      </c>
      <c r="S216" s="236"/>
      <c r="T216" s="237">
        <v>283691</v>
      </c>
      <c r="U216" s="238">
        <v>1816</v>
      </c>
      <c r="V216" s="238">
        <v>285507</v>
      </c>
    </row>
    <row r="217" spans="1:22">
      <c r="A217" s="231">
        <v>92113</v>
      </c>
      <c r="B217" s="232" t="s">
        <v>931</v>
      </c>
      <c r="C217" s="92">
        <v>2.2099999999999998E-5</v>
      </c>
      <c r="D217" s="92">
        <v>2.2900000000000001E-5</v>
      </c>
      <c r="E217" s="236">
        <v>27799.939999999995</v>
      </c>
      <c r="F217" s="236">
        <v>10277</v>
      </c>
      <c r="G217" s="236">
        <v>46904</v>
      </c>
      <c r="H217" s="236"/>
      <c r="I217" s="237">
        <v>881.23749999999995</v>
      </c>
      <c r="J217" s="237">
        <v>41103</v>
      </c>
      <c r="K217" s="237">
        <v>3212</v>
      </c>
      <c r="L217" s="236">
        <v>25322</v>
      </c>
      <c r="M217" s="236"/>
      <c r="N217" s="237">
        <v>1644</v>
      </c>
      <c r="O217" s="237">
        <v>15171</v>
      </c>
      <c r="P217" s="237">
        <v>0</v>
      </c>
      <c r="Q217" s="236">
        <v>0</v>
      </c>
      <c r="R217" s="237">
        <f t="shared" si="3"/>
        <v>25932</v>
      </c>
      <c r="S217" s="236"/>
      <c r="T217" s="237">
        <v>12537</v>
      </c>
      <c r="U217" s="238">
        <v>7718</v>
      </c>
      <c r="V217" s="238">
        <v>20255</v>
      </c>
    </row>
    <row r="218" spans="1:22">
      <c r="A218" s="231">
        <v>92201</v>
      </c>
      <c r="B218" s="232" t="s">
        <v>932</v>
      </c>
      <c r="C218" s="92">
        <v>1.0267E-3</v>
      </c>
      <c r="D218" s="92">
        <v>9.8930000000000003E-4</v>
      </c>
      <c r="E218" s="236">
        <v>411544.93999999994</v>
      </c>
      <c r="F218" s="236">
        <v>443992</v>
      </c>
      <c r="G218" s="236">
        <v>2179001</v>
      </c>
      <c r="H218" s="236"/>
      <c r="I218" s="237">
        <v>40940</v>
      </c>
      <c r="J218" s="237">
        <v>1909500</v>
      </c>
      <c r="K218" s="237">
        <v>149242</v>
      </c>
      <c r="L218" s="236">
        <v>60698</v>
      </c>
      <c r="M218" s="236"/>
      <c r="N218" s="237">
        <v>76355</v>
      </c>
      <c r="O218" s="237">
        <v>704786</v>
      </c>
      <c r="P218" s="237">
        <v>0</v>
      </c>
      <c r="Q218" s="236">
        <v>0</v>
      </c>
      <c r="R218" s="237">
        <f t="shared" si="3"/>
        <v>1204714</v>
      </c>
      <c r="S218" s="236"/>
      <c r="T218" s="237">
        <v>582415</v>
      </c>
      <c r="U218" s="238">
        <v>23895</v>
      </c>
      <c r="V218" s="238">
        <v>606310</v>
      </c>
    </row>
    <row r="219" spans="1:22">
      <c r="A219" s="231">
        <v>92301</v>
      </c>
      <c r="B219" s="232" t="s">
        <v>933</v>
      </c>
      <c r="C219" s="92">
        <v>5.2411000000000003E-3</v>
      </c>
      <c r="D219" s="92">
        <v>5.0804999999999999E-3</v>
      </c>
      <c r="E219" s="236">
        <v>2094643.33</v>
      </c>
      <c r="F219" s="236">
        <v>2280098</v>
      </c>
      <c r="G219" s="236">
        <v>11123370</v>
      </c>
      <c r="H219" s="236"/>
      <c r="I219" s="237">
        <v>208989</v>
      </c>
      <c r="J219" s="237">
        <v>9747618</v>
      </c>
      <c r="K219" s="237">
        <v>761852</v>
      </c>
      <c r="L219" s="236">
        <v>77417</v>
      </c>
      <c r="M219" s="236"/>
      <c r="N219" s="237">
        <v>389775</v>
      </c>
      <c r="O219" s="237">
        <v>3597795</v>
      </c>
      <c r="P219" s="237">
        <v>0</v>
      </c>
      <c r="Q219" s="236">
        <v>16658.29</v>
      </c>
      <c r="R219" s="237">
        <f t="shared" si="3"/>
        <v>6149823</v>
      </c>
      <c r="S219" s="236"/>
      <c r="T219" s="237">
        <v>2973114</v>
      </c>
      <c r="U219" s="238">
        <v>15378</v>
      </c>
      <c r="V219" s="238">
        <v>2988491</v>
      </c>
    </row>
    <row r="220" spans="1:22">
      <c r="A220" s="231">
        <v>92302</v>
      </c>
      <c r="B220" s="232" t="s">
        <v>1940</v>
      </c>
      <c r="C220" s="92">
        <v>3.168E-4</v>
      </c>
      <c r="D220" s="92">
        <v>2.9910000000000001E-4</v>
      </c>
      <c r="E220" s="236">
        <v>116637.46000000002</v>
      </c>
      <c r="F220" s="236">
        <v>134234</v>
      </c>
      <c r="G220" s="236">
        <v>672356</v>
      </c>
      <c r="H220" s="236"/>
      <c r="I220" s="237">
        <v>12632.4</v>
      </c>
      <c r="J220" s="237">
        <v>589198</v>
      </c>
      <c r="K220" s="237">
        <v>46050</v>
      </c>
      <c r="L220" s="236">
        <v>0</v>
      </c>
      <c r="M220" s="236"/>
      <c r="N220" s="237">
        <v>23560</v>
      </c>
      <c r="O220" s="237">
        <v>217470</v>
      </c>
      <c r="P220" s="237">
        <v>0</v>
      </c>
      <c r="Q220" s="236">
        <v>9658</v>
      </c>
      <c r="R220" s="237">
        <f t="shared" si="3"/>
        <v>371728</v>
      </c>
      <c r="S220" s="236"/>
      <c r="T220" s="237">
        <v>179711</v>
      </c>
      <c r="U220" s="238">
        <v>-3995</v>
      </c>
      <c r="V220" s="238">
        <v>175716</v>
      </c>
    </row>
    <row r="221" spans="1:22">
      <c r="A221" s="231">
        <v>92311</v>
      </c>
      <c r="B221" s="232" t="s">
        <v>935</v>
      </c>
      <c r="C221" s="92">
        <v>2.1857000000000001E-3</v>
      </c>
      <c r="D221" s="92">
        <v>2.1316E-3</v>
      </c>
      <c r="E221" s="236">
        <v>841005.71</v>
      </c>
      <c r="F221" s="236">
        <v>956649</v>
      </c>
      <c r="G221" s="236">
        <v>4638788</v>
      </c>
      <c r="H221" s="236"/>
      <c r="I221" s="237">
        <v>87155</v>
      </c>
      <c r="J221" s="237">
        <v>4065057</v>
      </c>
      <c r="K221" s="237">
        <v>317716</v>
      </c>
      <c r="L221" s="236">
        <v>0</v>
      </c>
      <c r="M221" s="236"/>
      <c r="N221" s="237">
        <v>162548</v>
      </c>
      <c r="O221" s="237">
        <v>1500391</v>
      </c>
      <c r="P221" s="237">
        <v>0</v>
      </c>
      <c r="Q221" s="236">
        <v>92864</v>
      </c>
      <c r="R221" s="237">
        <f t="shared" si="3"/>
        <v>2564666</v>
      </c>
      <c r="S221" s="236"/>
      <c r="T221" s="237">
        <v>1239880</v>
      </c>
      <c r="U221" s="238">
        <v>-38618</v>
      </c>
      <c r="V221" s="238">
        <v>1201261</v>
      </c>
    </row>
    <row r="222" spans="1:22">
      <c r="A222" s="231">
        <v>92317</v>
      </c>
      <c r="B222" s="232" t="s">
        <v>936</v>
      </c>
      <c r="C222" s="92">
        <v>2.9600000000000001E-5</v>
      </c>
      <c r="D222" s="92">
        <v>3.3300000000000003E-5</v>
      </c>
      <c r="E222" s="236">
        <v>20481.990000000002</v>
      </c>
      <c r="F222" s="236">
        <v>14945</v>
      </c>
      <c r="G222" s="236">
        <v>62821</v>
      </c>
      <c r="H222" s="236"/>
      <c r="I222" s="237">
        <v>1180.3</v>
      </c>
      <c r="J222" s="237">
        <v>55051</v>
      </c>
      <c r="K222" s="237">
        <v>4303</v>
      </c>
      <c r="L222" s="236">
        <v>12749</v>
      </c>
      <c r="M222" s="236"/>
      <c r="N222" s="237">
        <v>2201</v>
      </c>
      <c r="O222" s="237">
        <v>20319</v>
      </c>
      <c r="P222" s="237">
        <v>0</v>
      </c>
      <c r="Q222" s="236">
        <v>0</v>
      </c>
      <c r="R222" s="237">
        <f t="shared" si="3"/>
        <v>34732</v>
      </c>
      <c r="S222" s="236"/>
      <c r="T222" s="237">
        <v>16791</v>
      </c>
      <c r="U222" s="238">
        <v>4401</v>
      </c>
      <c r="V222" s="238">
        <v>21192</v>
      </c>
    </row>
    <row r="223" spans="1:22">
      <c r="A223" s="231">
        <v>92321</v>
      </c>
      <c r="B223" s="232" t="s">
        <v>937</v>
      </c>
      <c r="C223" s="92">
        <v>1.2218999999999999E-3</v>
      </c>
      <c r="D223" s="92">
        <v>1.1936E-3</v>
      </c>
      <c r="E223" s="236">
        <v>481504.52</v>
      </c>
      <c r="F223" s="236">
        <v>535681</v>
      </c>
      <c r="G223" s="236">
        <v>2593281</v>
      </c>
      <c r="H223" s="236"/>
      <c r="I223" s="237">
        <v>48723</v>
      </c>
      <c r="J223" s="237">
        <v>2272541</v>
      </c>
      <c r="K223" s="237">
        <v>177617</v>
      </c>
      <c r="L223" s="236">
        <v>61228</v>
      </c>
      <c r="M223" s="236"/>
      <c r="N223" s="237">
        <v>90871</v>
      </c>
      <c r="O223" s="237">
        <v>838783</v>
      </c>
      <c r="P223" s="237">
        <v>0</v>
      </c>
      <c r="Q223" s="236">
        <v>1343</v>
      </c>
      <c r="R223" s="237">
        <f t="shared" si="3"/>
        <v>1433758</v>
      </c>
      <c r="S223" s="236"/>
      <c r="T223" s="237">
        <v>693146</v>
      </c>
      <c r="U223" s="238">
        <v>25416</v>
      </c>
      <c r="V223" s="238">
        <v>718562</v>
      </c>
    </row>
    <row r="224" spans="1:22">
      <c r="A224" s="231">
        <v>92327</v>
      </c>
      <c r="B224" s="232" t="s">
        <v>938</v>
      </c>
      <c r="C224" s="92">
        <v>7.6000000000000001E-6</v>
      </c>
      <c r="D224" s="92">
        <v>7.7999999999999999E-6</v>
      </c>
      <c r="E224" s="236">
        <v>5004.42</v>
      </c>
      <c r="F224" s="236">
        <v>3501</v>
      </c>
      <c r="G224" s="236">
        <v>16130</v>
      </c>
      <c r="H224" s="236"/>
      <c r="I224" s="237">
        <v>303.05</v>
      </c>
      <c r="J224" s="237">
        <v>14135</v>
      </c>
      <c r="K224" s="237">
        <v>1105</v>
      </c>
      <c r="L224" s="236">
        <v>2630</v>
      </c>
      <c r="M224" s="236"/>
      <c r="N224" s="237">
        <v>565</v>
      </c>
      <c r="O224" s="237">
        <v>5217</v>
      </c>
      <c r="P224" s="237">
        <v>0</v>
      </c>
      <c r="Q224" s="236">
        <v>0</v>
      </c>
      <c r="R224" s="237">
        <f t="shared" si="3"/>
        <v>8918</v>
      </c>
      <c r="S224" s="236"/>
      <c r="T224" s="237">
        <v>4311</v>
      </c>
      <c r="U224" s="238">
        <v>853</v>
      </c>
      <c r="V224" s="238">
        <v>5165</v>
      </c>
    </row>
    <row r="225" spans="1:22">
      <c r="A225" s="231">
        <v>92331</v>
      </c>
      <c r="B225" s="232" t="s">
        <v>939</v>
      </c>
      <c r="C225" s="92">
        <v>1.393E-4</v>
      </c>
      <c r="D225" s="92">
        <v>1.4789999999999999E-4</v>
      </c>
      <c r="E225" s="236">
        <v>54278.720000000001</v>
      </c>
      <c r="F225" s="236">
        <v>66377</v>
      </c>
      <c r="G225" s="236">
        <v>295641</v>
      </c>
      <c r="H225" s="236"/>
      <c r="I225" s="237">
        <v>5555</v>
      </c>
      <c r="J225" s="237">
        <v>259076</v>
      </c>
      <c r="K225" s="237">
        <v>20249</v>
      </c>
      <c r="L225" s="236">
        <v>3725</v>
      </c>
      <c r="M225" s="236"/>
      <c r="N225" s="237">
        <v>10360</v>
      </c>
      <c r="O225" s="237">
        <v>95624</v>
      </c>
      <c r="P225" s="237">
        <v>0</v>
      </c>
      <c r="Q225" s="236">
        <v>7047</v>
      </c>
      <c r="R225" s="237">
        <f t="shared" si="3"/>
        <v>163452</v>
      </c>
      <c r="S225" s="236"/>
      <c r="T225" s="237">
        <v>79021</v>
      </c>
      <c r="U225" s="238">
        <v>-171</v>
      </c>
      <c r="V225" s="238">
        <v>78850</v>
      </c>
    </row>
    <row r="226" spans="1:22">
      <c r="A226" s="231">
        <v>92341</v>
      </c>
      <c r="B226" s="232" t="s">
        <v>940</v>
      </c>
      <c r="C226" s="92">
        <v>7.9000000000000006E-6</v>
      </c>
      <c r="D226" s="92">
        <v>6.3999999999999997E-6</v>
      </c>
      <c r="E226" s="236">
        <v>2572.1800000000003</v>
      </c>
      <c r="F226" s="236">
        <v>2872</v>
      </c>
      <c r="G226" s="236">
        <v>16766</v>
      </c>
      <c r="H226" s="236"/>
      <c r="I226" s="237">
        <v>315</v>
      </c>
      <c r="J226" s="237">
        <v>14693</v>
      </c>
      <c r="K226" s="237">
        <v>1148</v>
      </c>
      <c r="L226" s="236">
        <v>478</v>
      </c>
      <c r="M226" s="236"/>
      <c r="N226" s="237">
        <v>588</v>
      </c>
      <c r="O226" s="237">
        <v>5423</v>
      </c>
      <c r="P226" s="237">
        <v>0</v>
      </c>
      <c r="Q226" s="236">
        <v>3063</v>
      </c>
      <c r="R226" s="237">
        <f t="shared" si="3"/>
        <v>9270</v>
      </c>
      <c r="S226" s="236"/>
      <c r="T226" s="237">
        <v>4481</v>
      </c>
      <c r="U226" s="238">
        <v>-913</v>
      </c>
      <c r="V226" s="238">
        <v>3568</v>
      </c>
    </row>
    <row r="227" spans="1:22">
      <c r="A227" s="231">
        <v>92351</v>
      </c>
      <c r="B227" s="232" t="s">
        <v>941</v>
      </c>
      <c r="C227" s="92">
        <v>1.95E-5</v>
      </c>
      <c r="D227" s="92">
        <v>2.8399999999999999E-5</v>
      </c>
      <c r="E227" s="236">
        <v>8511.8499999999985</v>
      </c>
      <c r="F227" s="236">
        <v>12746</v>
      </c>
      <c r="G227" s="236">
        <v>41386</v>
      </c>
      <c r="H227" s="236"/>
      <c r="I227" s="237">
        <v>777.5625</v>
      </c>
      <c r="J227" s="237">
        <v>36267</v>
      </c>
      <c r="K227" s="237">
        <v>2835</v>
      </c>
      <c r="L227" s="236">
        <v>1156.19</v>
      </c>
      <c r="M227" s="236"/>
      <c r="N227" s="237">
        <v>1450</v>
      </c>
      <c r="O227" s="237">
        <v>13386</v>
      </c>
      <c r="P227" s="237">
        <v>0</v>
      </c>
      <c r="Q227" s="236">
        <v>5799</v>
      </c>
      <c r="R227" s="237">
        <f t="shared" si="3"/>
        <v>22881</v>
      </c>
      <c r="S227" s="236"/>
      <c r="T227" s="237">
        <v>11062</v>
      </c>
      <c r="U227" s="238">
        <v>-1052</v>
      </c>
      <c r="V227" s="238">
        <v>10010</v>
      </c>
    </row>
    <row r="228" spans="1:22">
      <c r="A228" s="231">
        <v>92401</v>
      </c>
      <c r="B228" s="232" t="s">
        <v>942</v>
      </c>
      <c r="C228" s="92">
        <v>2.7449000000000002E-3</v>
      </c>
      <c r="D228" s="92">
        <v>2.7921999999999999E-3</v>
      </c>
      <c r="E228" s="236">
        <v>1162718.6200000001</v>
      </c>
      <c r="F228" s="236">
        <v>1253123</v>
      </c>
      <c r="G228" s="236">
        <v>5825597</v>
      </c>
      <c r="H228" s="236"/>
      <c r="I228" s="237">
        <v>109453</v>
      </c>
      <c r="J228" s="237">
        <v>5105080</v>
      </c>
      <c r="K228" s="237">
        <v>399001</v>
      </c>
      <c r="L228" s="236">
        <v>33227</v>
      </c>
      <c r="M228" s="236"/>
      <c r="N228" s="237">
        <v>204135</v>
      </c>
      <c r="O228" s="237">
        <v>1884259</v>
      </c>
      <c r="P228" s="237">
        <v>0</v>
      </c>
      <c r="Q228" s="236">
        <v>5343</v>
      </c>
      <c r="R228" s="237">
        <f t="shared" si="3"/>
        <v>3220821</v>
      </c>
      <c r="S228" s="236"/>
      <c r="T228" s="237">
        <v>1557097</v>
      </c>
      <c r="U228" s="238">
        <v>14486</v>
      </c>
      <c r="V228" s="238">
        <v>1571583</v>
      </c>
    </row>
    <row r="229" spans="1:22">
      <c r="A229" s="231">
        <v>92403</v>
      </c>
      <c r="B229" s="232" t="s">
        <v>943</v>
      </c>
      <c r="C229" s="92">
        <v>9.7999999999999993E-6</v>
      </c>
      <c r="D229" s="92">
        <v>1.59E-5</v>
      </c>
      <c r="E229" s="236">
        <v>5969.3199999999988</v>
      </c>
      <c r="F229" s="236">
        <v>7136</v>
      </c>
      <c r="G229" s="236">
        <v>20799</v>
      </c>
      <c r="H229" s="236"/>
      <c r="I229" s="237">
        <v>390.77499999999998</v>
      </c>
      <c r="J229" s="237">
        <v>18226</v>
      </c>
      <c r="K229" s="237">
        <v>1425</v>
      </c>
      <c r="L229" s="236">
        <v>564</v>
      </c>
      <c r="M229" s="236"/>
      <c r="N229" s="237">
        <v>729</v>
      </c>
      <c r="O229" s="237">
        <v>6727</v>
      </c>
      <c r="P229" s="237">
        <v>0</v>
      </c>
      <c r="Q229" s="236">
        <v>1764</v>
      </c>
      <c r="R229" s="237">
        <f t="shared" si="3"/>
        <v>11499</v>
      </c>
      <c r="S229" s="236"/>
      <c r="T229" s="237">
        <v>5559</v>
      </c>
      <c r="U229" s="238">
        <v>-243</v>
      </c>
      <c r="V229" s="238">
        <v>5317</v>
      </c>
    </row>
    <row r="230" spans="1:22">
      <c r="A230" s="231">
        <v>92411</v>
      </c>
      <c r="B230" s="232" t="s">
        <v>944</v>
      </c>
      <c r="C230" s="92">
        <v>4.8030000000000002E-4</v>
      </c>
      <c r="D230" s="92">
        <v>5.2820000000000005E-4</v>
      </c>
      <c r="E230" s="236">
        <v>173749.71</v>
      </c>
      <c r="F230" s="236">
        <v>237053</v>
      </c>
      <c r="G230" s="236">
        <v>1019358</v>
      </c>
      <c r="H230" s="236"/>
      <c r="I230" s="237">
        <v>19152</v>
      </c>
      <c r="J230" s="237">
        <v>893282</v>
      </c>
      <c r="K230" s="237">
        <v>69817</v>
      </c>
      <c r="L230" s="236">
        <v>572</v>
      </c>
      <c r="M230" s="236"/>
      <c r="N230" s="237">
        <v>35719</v>
      </c>
      <c r="O230" s="237">
        <v>329706</v>
      </c>
      <c r="P230" s="237">
        <v>0</v>
      </c>
      <c r="Q230" s="236">
        <v>54750</v>
      </c>
      <c r="R230" s="237">
        <f t="shared" si="3"/>
        <v>563576</v>
      </c>
      <c r="S230" s="236"/>
      <c r="T230" s="237">
        <v>272459</v>
      </c>
      <c r="U230" s="238">
        <v>-16396</v>
      </c>
      <c r="V230" s="238">
        <v>256063</v>
      </c>
    </row>
    <row r="231" spans="1:22">
      <c r="A231" s="231">
        <v>92414</v>
      </c>
      <c r="B231" s="232" t="s">
        <v>70</v>
      </c>
      <c r="C231" s="92">
        <v>0</v>
      </c>
      <c r="D231" s="92">
        <v>9.7999999999999993E-6</v>
      </c>
      <c r="E231" s="236">
        <v>0</v>
      </c>
      <c r="F231" s="236">
        <v>4398</v>
      </c>
      <c r="G231" s="236">
        <v>0</v>
      </c>
      <c r="H231" s="236"/>
      <c r="I231" s="237">
        <v>0</v>
      </c>
      <c r="J231" s="237">
        <v>0</v>
      </c>
      <c r="K231" s="237">
        <v>0</v>
      </c>
      <c r="L231" s="236">
        <v>0</v>
      </c>
      <c r="M231" s="236"/>
      <c r="N231" s="237">
        <v>0</v>
      </c>
      <c r="O231" s="237">
        <v>0</v>
      </c>
      <c r="P231" s="237">
        <v>0</v>
      </c>
      <c r="Q231" s="236">
        <v>8157</v>
      </c>
      <c r="R231" s="237">
        <f t="shared" si="3"/>
        <v>0</v>
      </c>
      <c r="S231" s="236"/>
      <c r="T231" s="237">
        <v>0</v>
      </c>
      <c r="U231" s="238">
        <v>-2445</v>
      </c>
      <c r="V231" s="238">
        <v>-2445</v>
      </c>
    </row>
    <row r="232" spans="1:22">
      <c r="A232" s="231">
        <v>92417</v>
      </c>
      <c r="B232" s="232" t="s">
        <v>945</v>
      </c>
      <c r="C232" s="92">
        <v>1.77E-5</v>
      </c>
      <c r="D232" s="92">
        <v>1.6699999999999999E-5</v>
      </c>
      <c r="E232" s="236">
        <v>5354.85</v>
      </c>
      <c r="F232" s="236">
        <v>7495</v>
      </c>
      <c r="G232" s="236">
        <v>37565</v>
      </c>
      <c r="H232" s="236"/>
      <c r="I232" s="237">
        <v>705.78750000000002</v>
      </c>
      <c r="J232" s="237">
        <v>32919</v>
      </c>
      <c r="K232" s="237">
        <v>2573</v>
      </c>
      <c r="L232" s="236">
        <v>0</v>
      </c>
      <c r="M232" s="236"/>
      <c r="N232" s="237">
        <v>1316</v>
      </c>
      <c r="O232" s="237">
        <v>12150</v>
      </c>
      <c r="P232" s="237">
        <v>0</v>
      </c>
      <c r="Q232" s="236">
        <v>1694</v>
      </c>
      <c r="R232" s="237">
        <f t="shared" si="3"/>
        <v>20769</v>
      </c>
      <c r="S232" s="236"/>
      <c r="T232" s="237">
        <v>10041</v>
      </c>
      <c r="U232" s="238">
        <v>-509</v>
      </c>
      <c r="V232" s="238">
        <v>9531</v>
      </c>
    </row>
    <row r="233" spans="1:22">
      <c r="A233" s="231">
        <v>92421</v>
      </c>
      <c r="B233" s="232" t="s">
        <v>946</v>
      </c>
      <c r="C233" s="92">
        <v>9.0000000000000002E-6</v>
      </c>
      <c r="D233" s="92">
        <v>1.98E-5</v>
      </c>
      <c r="E233" s="236">
        <v>9114.76</v>
      </c>
      <c r="F233" s="236">
        <v>8886</v>
      </c>
      <c r="G233" s="236">
        <v>19101</v>
      </c>
      <c r="H233" s="236"/>
      <c r="I233" s="237">
        <v>358.875</v>
      </c>
      <c r="J233" s="237">
        <v>16739</v>
      </c>
      <c r="K233" s="237">
        <v>1308</v>
      </c>
      <c r="L233" s="236">
        <v>1510</v>
      </c>
      <c r="M233" s="236"/>
      <c r="N233" s="237">
        <v>669</v>
      </c>
      <c r="O233" s="237">
        <v>6178</v>
      </c>
      <c r="P233" s="237">
        <v>0</v>
      </c>
      <c r="Q233" s="236">
        <v>1551</v>
      </c>
      <c r="R233" s="237">
        <f t="shared" si="3"/>
        <v>10561</v>
      </c>
      <c r="S233" s="236"/>
      <c r="T233" s="237">
        <v>5105</v>
      </c>
      <c r="U233" s="238">
        <v>261</v>
      </c>
      <c r="V233" s="238">
        <v>5366</v>
      </c>
    </row>
    <row r="234" spans="1:22">
      <c r="A234" s="231">
        <v>92427</v>
      </c>
      <c r="B234" s="232" t="s">
        <v>947</v>
      </c>
      <c r="C234" s="92">
        <v>6.9999999999999997E-7</v>
      </c>
      <c r="D234" s="92">
        <v>8.9999999999999996E-7</v>
      </c>
      <c r="E234" s="236">
        <v>1425.53</v>
      </c>
      <c r="F234" s="236">
        <v>404</v>
      </c>
      <c r="G234" s="236">
        <v>1486</v>
      </c>
      <c r="H234" s="236"/>
      <c r="I234" s="237">
        <v>28</v>
      </c>
      <c r="J234" s="237">
        <v>1302</v>
      </c>
      <c r="K234" s="237">
        <v>102</v>
      </c>
      <c r="L234" s="236">
        <v>1812</v>
      </c>
      <c r="M234" s="236"/>
      <c r="N234" s="237">
        <v>52</v>
      </c>
      <c r="O234" s="237">
        <v>481</v>
      </c>
      <c r="P234" s="237">
        <v>0</v>
      </c>
      <c r="Q234" s="236">
        <v>0</v>
      </c>
      <c r="R234" s="237">
        <f t="shared" si="3"/>
        <v>821</v>
      </c>
      <c r="S234" s="236"/>
      <c r="T234" s="237">
        <v>397</v>
      </c>
      <c r="U234" s="238">
        <v>636</v>
      </c>
      <c r="V234" s="238">
        <v>1033</v>
      </c>
    </row>
    <row r="235" spans="1:22">
      <c r="A235" s="231">
        <v>92431</v>
      </c>
      <c r="B235" s="232" t="s">
        <v>948</v>
      </c>
      <c r="C235" s="92">
        <v>1.8499999999999999E-5</v>
      </c>
      <c r="D235" s="92">
        <v>4.0800000000000002E-5</v>
      </c>
      <c r="E235" s="236">
        <v>17502.95</v>
      </c>
      <c r="F235" s="236">
        <v>18311</v>
      </c>
      <c r="G235" s="236">
        <v>39263</v>
      </c>
      <c r="H235" s="236"/>
      <c r="I235" s="237">
        <v>737.6875</v>
      </c>
      <c r="J235" s="237">
        <v>34407</v>
      </c>
      <c r="K235" s="237">
        <v>2689</v>
      </c>
      <c r="L235" s="236">
        <v>6093</v>
      </c>
      <c r="M235" s="236"/>
      <c r="N235" s="237">
        <v>1376</v>
      </c>
      <c r="O235" s="237">
        <v>12699</v>
      </c>
      <c r="P235" s="237">
        <v>0</v>
      </c>
      <c r="Q235" s="236">
        <v>5505</v>
      </c>
      <c r="R235" s="237">
        <f t="shared" si="3"/>
        <v>21708</v>
      </c>
      <c r="S235" s="236"/>
      <c r="T235" s="237">
        <v>10494</v>
      </c>
      <c r="U235" s="238">
        <v>422</v>
      </c>
      <c r="V235" s="238">
        <v>10917</v>
      </c>
    </row>
    <row r="236" spans="1:22">
      <c r="A236" s="231">
        <v>92441</v>
      </c>
      <c r="B236" s="232" t="s">
        <v>949</v>
      </c>
      <c r="C236" s="92">
        <v>9.2299999999999994E-5</v>
      </c>
      <c r="D236" s="92">
        <v>1.0170000000000001E-4</v>
      </c>
      <c r="E236" s="236">
        <v>38127.360000000001</v>
      </c>
      <c r="F236" s="236">
        <v>45642</v>
      </c>
      <c r="G236" s="236">
        <v>195892</v>
      </c>
      <c r="H236" s="236"/>
      <c r="I236" s="237">
        <v>3680</v>
      </c>
      <c r="J236" s="237">
        <v>171663</v>
      </c>
      <c r="K236" s="237">
        <v>13417</v>
      </c>
      <c r="L236" s="236">
        <v>0</v>
      </c>
      <c r="M236" s="236"/>
      <c r="N236" s="237">
        <v>6864</v>
      </c>
      <c r="O236" s="237">
        <v>63360</v>
      </c>
      <c r="P236" s="237">
        <v>0</v>
      </c>
      <c r="Q236" s="236">
        <v>12688</v>
      </c>
      <c r="R236" s="237">
        <f t="shared" si="3"/>
        <v>108303</v>
      </c>
      <c r="S236" s="236"/>
      <c r="T236" s="237">
        <v>52359</v>
      </c>
      <c r="U236" s="238">
        <v>-5069</v>
      </c>
      <c r="V236" s="238">
        <v>47290</v>
      </c>
    </row>
    <row r="237" spans="1:22">
      <c r="A237" s="231">
        <v>92444</v>
      </c>
      <c r="B237" s="232" t="s">
        <v>950</v>
      </c>
      <c r="C237" s="92">
        <v>1.9999999999999999E-6</v>
      </c>
      <c r="D237" s="92">
        <v>1.7999999999999999E-6</v>
      </c>
      <c r="E237" s="236">
        <v>1966.0700000000004</v>
      </c>
      <c r="F237" s="236">
        <v>808</v>
      </c>
      <c r="G237" s="236">
        <v>4244.67</v>
      </c>
      <c r="H237" s="236"/>
      <c r="I237" s="237">
        <v>79.75</v>
      </c>
      <c r="J237" s="237">
        <v>3720</v>
      </c>
      <c r="K237" s="237">
        <v>291</v>
      </c>
      <c r="L237" s="236">
        <v>2653</v>
      </c>
      <c r="M237" s="236"/>
      <c r="N237" s="237">
        <v>149</v>
      </c>
      <c r="O237" s="237">
        <v>1373</v>
      </c>
      <c r="P237" s="237">
        <v>0</v>
      </c>
      <c r="Q237" s="236">
        <v>0</v>
      </c>
      <c r="R237" s="237">
        <f t="shared" si="3"/>
        <v>2347</v>
      </c>
      <c r="S237" s="236"/>
      <c r="T237" s="237">
        <v>1135</v>
      </c>
      <c r="U237" s="238">
        <v>971</v>
      </c>
      <c r="V237" s="238">
        <v>2106</v>
      </c>
    </row>
    <row r="238" spans="1:22">
      <c r="A238" s="231">
        <v>92451</v>
      </c>
      <c r="B238" s="232" t="s">
        <v>951</v>
      </c>
      <c r="C238" s="92">
        <v>1.4559999999999999E-4</v>
      </c>
      <c r="D238" s="92">
        <v>1.132E-4</v>
      </c>
      <c r="E238" s="236">
        <v>67281.149999999994</v>
      </c>
      <c r="F238" s="236">
        <v>50803</v>
      </c>
      <c r="G238" s="236">
        <v>309012</v>
      </c>
      <c r="H238" s="236"/>
      <c r="I238" s="237">
        <v>5806</v>
      </c>
      <c r="J238" s="237">
        <v>270793</v>
      </c>
      <c r="K238" s="237">
        <v>21165</v>
      </c>
      <c r="L238" s="236">
        <v>36170</v>
      </c>
      <c r="M238" s="236"/>
      <c r="N238" s="237">
        <v>10828</v>
      </c>
      <c r="O238" s="237">
        <v>99948</v>
      </c>
      <c r="P238" s="237">
        <v>0</v>
      </c>
      <c r="Q238" s="236">
        <v>0</v>
      </c>
      <c r="R238" s="237">
        <f t="shared" si="3"/>
        <v>170845</v>
      </c>
      <c r="S238" s="236"/>
      <c r="T238" s="237">
        <v>82594</v>
      </c>
      <c r="U238" s="238">
        <v>11273</v>
      </c>
      <c r="V238" s="238">
        <v>93868</v>
      </c>
    </row>
    <row r="239" spans="1:22">
      <c r="A239" s="231">
        <v>92461</v>
      </c>
      <c r="B239" s="232" t="s">
        <v>952</v>
      </c>
      <c r="C239" s="92">
        <v>7.2999999999999999E-5</v>
      </c>
      <c r="D239" s="92">
        <v>6.3499999999999999E-5</v>
      </c>
      <c r="E239" s="236">
        <v>36576.240000000005</v>
      </c>
      <c r="F239" s="236">
        <v>28498</v>
      </c>
      <c r="G239" s="236">
        <v>154930</v>
      </c>
      <c r="H239" s="236"/>
      <c r="I239" s="237">
        <v>2910.875</v>
      </c>
      <c r="J239" s="237">
        <v>135768</v>
      </c>
      <c r="K239" s="237">
        <v>10611</v>
      </c>
      <c r="L239" s="236">
        <v>10353</v>
      </c>
      <c r="M239" s="236"/>
      <c r="N239" s="237">
        <v>5429</v>
      </c>
      <c r="O239" s="237">
        <v>50111</v>
      </c>
      <c r="P239" s="237">
        <v>0</v>
      </c>
      <c r="Q239" s="236">
        <v>7817</v>
      </c>
      <c r="R239" s="237">
        <f t="shared" si="3"/>
        <v>85657</v>
      </c>
      <c r="S239" s="236"/>
      <c r="T239" s="237">
        <v>41411</v>
      </c>
      <c r="U239" s="238">
        <v>-170</v>
      </c>
      <c r="V239" s="238">
        <v>41240</v>
      </c>
    </row>
    <row r="240" spans="1:22">
      <c r="A240" s="231">
        <v>92501</v>
      </c>
      <c r="B240" s="232" t="s">
        <v>953</v>
      </c>
      <c r="C240" s="92">
        <v>3.8141E-3</v>
      </c>
      <c r="D240" s="92">
        <v>3.8955999999999999E-3</v>
      </c>
      <c r="E240" s="236">
        <v>1660692.83</v>
      </c>
      <c r="F240" s="236">
        <v>1748322</v>
      </c>
      <c r="G240" s="236">
        <v>8094798</v>
      </c>
      <c r="H240" s="236"/>
      <c r="I240" s="237">
        <v>152087</v>
      </c>
      <c r="J240" s="237">
        <v>7093623</v>
      </c>
      <c r="K240" s="237">
        <v>554421</v>
      </c>
      <c r="L240" s="236">
        <v>65347</v>
      </c>
      <c r="M240" s="236"/>
      <c r="N240" s="237">
        <v>283651</v>
      </c>
      <c r="O240" s="237">
        <v>2618219</v>
      </c>
      <c r="P240" s="237">
        <v>0</v>
      </c>
      <c r="Q240" s="236">
        <v>13995</v>
      </c>
      <c r="R240" s="237">
        <f t="shared" si="3"/>
        <v>4475404</v>
      </c>
      <c r="S240" s="236"/>
      <c r="T240" s="237">
        <v>2163621</v>
      </c>
      <c r="U240" s="238">
        <v>20802</v>
      </c>
      <c r="V240" s="238">
        <v>2184422</v>
      </c>
    </row>
    <row r="241" spans="1:22">
      <c r="A241" s="231">
        <v>92502</v>
      </c>
      <c r="B241" s="232" t="s">
        <v>954</v>
      </c>
      <c r="C241" s="92">
        <v>2.8799999999999999E-5</v>
      </c>
      <c r="D241" s="92">
        <v>2.1399999999999998E-5</v>
      </c>
      <c r="E241" s="236">
        <v>12881.239999999998</v>
      </c>
      <c r="F241" s="236">
        <v>9604</v>
      </c>
      <c r="G241" s="236">
        <v>61123</v>
      </c>
      <c r="H241" s="236"/>
      <c r="I241" s="237">
        <v>1148</v>
      </c>
      <c r="J241" s="237">
        <v>53563</v>
      </c>
      <c r="K241" s="237">
        <v>4186</v>
      </c>
      <c r="L241" s="236">
        <v>4833</v>
      </c>
      <c r="M241" s="236"/>
      <c r="N241" s="237">
        <v>2142</v>
      </c>
      <c r="O241" s="237">
        <v>19770</v>
      </c>
      <c r="P241" s="237">
        <v>0</v>
      </c>
      <c r="Q241" s="236">
        <v>3509</v>
      </c>
      <c r="R241" s="237">
        <f t="shared" si="3"/>
        <v>33793</v>
      </c>
      <c r="S241" s="236"/>
      <c r="T241" s="237">
        <v>16337</v>
      </c>
      <c r="U241" s="238">
        <v>-103</v>
      </c>
      <c r="V241" s="238">
        <v>16234</v>
      </c>
    </row>
    <row r="242" spans="1:22">
      <c r="A242" s="231">
        <v>92504</v>
      </c>
      <c r="B242" s="232" t="s">
        <v>955</v>
      </c>
      <c r="C242" s="92">
        <v>7.2799999999999994E-5</v>
      </c>
      <c r="D242" s="92">
        <v>7.3499999999999998E-5</v>
      </c>
      <c r="E242" s="236">
        <v>38688.999999999993</v>
      </c>
      <c r="F242" s="236">
        <v>32986</v>
      </c>
      <c r="G242" s="236">
        <v>154506</v>
      </c>
      <c r="H242" s="236"/>
      <c r="I242" s="237">
        <v>2903</v>
      </c>
      <c r="J242" s="237">
        <v>135396</v>
      </c>
      <c r="K242" s="237">
        <v>10582</v>
      </c>
      <c r="L242" s="236">
        <v>18501</v>
      </c>
      <c r="M242" s="236"/>
      <c r="N242" s="237">
        <v>5414</v>
      </c>
      <c r="O242" s="237">
        <v>49974</v>
      </c>
      <c r="P242" s="237">
        <v>0</v>
      </c>
      <c r="Q242" s="236">
        <v>54</v>
      </c>
      <c r="R242" s="237">
        <f t="shared" si="3"/>
        <v>85422</v>
      </c>
      <c r="S242" s="236"/>
      <c r="T242" s="237">
        <v>41297</v>
      </c>
      <c r="U242" s="238">
        <v>5906</v>
      </c>
      <c r="V242" s="238">
        <v>47203</v>
      </c>
    </row>
    <row r="243" spans="1:22">
      <c r="A243" s="231">
        <v>92505</v>
      </c>
      <c r="B243" s="232" t="s">
        <v>956</v>
      </c>
      <c r="C243" s="92">
        <v>1.8709999999999999E-4</v>
      </c>
      <c r="D243" s="92">
        <v>1.9699999999999999E-4</v>
      </c>
      <c r="E243" s="236">
        <v>106739.73</v>
      </c>
      <c r="F243" s="236">
        <v>88412</v>
      </c>
      <c r="G243" s="236">
        <v>397089</v>
      </c>
      <c r="H243" s="236"/>
      <c r="I243" s="237">
        <v>7461</v>
      </c>
      <c r="J243" s="237">
        <v>347976</v>
      </c>
      <c r="K243" s="237">
        <v>27197</v>
      </c>
      <c r="L243" s="236">
        <v>47178</v>
      </c>
      <c r="M243" s="236"/>
      <c r="N243" s="237">
        <v>13914</v>
      </c>
      <c r="O243" s="237">
        <v>128436</v>
      </c>
      <c r="P243" s="237">
        <v>0</v>
      </c>
      <c r="Q243" s="236">
        <v>0</v>
      </c>
      <c r="R243" s="237">
        <f t="shared" si="3"/>
        <v>219540</v>
      </c>
      <c r="S243" s="236"/>
      <c r="T243" s="237">
        <v>106136</v>
      </c>
      <c r="U243" s="238">
        <v>16270</v>
      </c>
      <c r="V243" s="238">
        <v>122406</v>
      </c>
    </row>
    <row r="244" spans="1:22">
      <c r="A244" s="231">
        <v>92506</v>
      </c>
      <c r="B244" s="232" t="s">
        <v>957</v>
      </c>
      <c r="C244" s="92">
        <v>4.3699999999999998E-5</v>
      </c>
      <c r="D244" s="92">
        <v>3.8999999999999999E-5</v>
      </c>
      <c r="E244" s="236">
        <v>23625.559999999998</v>
      </c>
      <c r="F244" s="236">
        <v>17503</v>
      </c>
      <c r="G244" s="236">
        <v>92746</v>
      </c>
      <c r="H244" s="236"/>
      <c r="I244" s="237">
        <v>1743</v>
      </c>
      <c r="J244" s="237">
        <v>81275</v>
      </c>
      <c r="K244" s="237">
        <v>6352</v>
      </c>
      <c r="L244" s="236">
        <v>17344</v>
      </c>
      <c r="M244" s="236"/>
      <c r="N244" s="237">
        <v>3250</v>
      </c>
      <c r="O244" s="237">
        <v>29998</v>
      </c>
      <c r="P244" s="237">
        <v>0</v>
      </c>
      <c r="Q244" s="236">
        <v>0</v>
      </c>
      <c r="R244" s="237">
        <f t="shared" si="3"/>
        <v>51277</v>
      </c>
      <c r="S244" s="236"/>
      <c r="T244" s="237">
        <v>24790</v>
      </c>
      <c r="U244" s="238">
        <v>5809</v>
      </c>
      <c r="V244" s="238">
        <v>30599</v>
      </c>
    </row>
    <row r="245" spans="1:22">
      <c r="A245" s="231">
        <v>92507</v>
      </c>
      <c r="B245" s="232" t="s">
        <v>958</v>
      </c>
      <c r="C245" s="92">
        <v>7.6799999999999997E-5</v>
      </c>
      <c r="D245" s="92">
        <v>1.032E-4</v>
      </c>
      <c r="E245" s="236">
        <v>33480.47</v>
      </c>
      <c r="F245" s="236">
        <v>46316</v>
      </c>
      <c r="G245" s="236">
        <v>162995</v>
      </c>
      <c r="H245" s="236"/>
      <c r="I245" s="237">
        <v>3062</v>
      </c>
      <c r="J245" s="237">
        <v>142836</v>
      </c>
      <c r="K245" s="237">
        <v>11164</v>
      </c>
      <c r="L245" s="236">
        <v>348</v>
      </c>
      <c r="M245" s="236"/>
      <c r="N245" s="237">
        <v>5712</v>
      </c>
      <c r="O245" s="237">
        <v>52720</v>
      </c>
      <c r="P245" s="237">
        <v>0</v>
      </c>
      <c r="Q245" s="236">
        <v>22450</v>
      </c>
      <c r="R245" s="237">
        <f t="shared" si="3"/>
        <v>90116</v>
      </c>
      <c r="S245" s="236"/>
      <c r="T245" s="237">
        <v>43566</v>
      </c>
      <c r="U245" s="238">
        <v>-8043</v>
      </c>
      <c r="V245" s="238">
        <v>35523</v>
      </c>
    </row>
    <row r="246" spans="1:22">
      <c r="A246" s="231">
        <v>92508</v>
      </c>
      <c r="B246" s="232" t="s">
        <v>959</v>
      </c>
      <c r="C246" s="92">
        <v>3.1930000000000001E-4</v>
      </c>
      <c r="D246" s="92">
        <v>3.2959999999999999E-4</v>
      </c>
      <c r="E246" s="236">
        <v>135944.95000000001</v>
      </c>
      <c r="F246" s="236">
        <v>147923</v>
      </c>
      <c r="G246" s="236">
        <v>677662</v>
      </c>
      <c r="H246" s="236"/>
      <c r="I246" s="237">
        <v>12732</v>
      </c>
      <c r="J246" s="237">
        <v>593848</v>
      </c>
      <c r="K246" s="237">
        <v>46414</v>
      </c>
      <c r="L246" s="236">
        <v>7876</v>
      </c>
      <c r="M246" s="236"/>
      <c r="N246" s="237">
        <v>23746</v>
      </c>
      <c r="O246" s="237">
        <v>219186</v>
      </c>
      <c r="P246" s="237">
        <v>0</v>
      </c>
      <c r="Q246" s="236">
        <v>1898</v>
      </c>
      <c r="R246" s="237">
        <f t="shared" si="3"/>
        <v>374662</v>
      </c>
      <c r="S246" s="236"/>
      <c r="T246" s="237">
        <v>181129</v>
      </c>
      <c r="U246" s="238">
        <v>3029</v>
      </c>
      <c r="V246" s="238">
        <v>184158</v>
      </c>
    </row>
    <row r="247" spans="1:22">
      <c r="A247" s="231">
        <v>92509</v>
      </c>
      <c r="B247" s="232" t="s">
        <v>1618</v>
      </c>
      <c r="C247" s="92">
        <v>0</v>
      </c>
      <c r="D247" s="92">
        <v>2.1614E-3</v>
      </c>
      <c r="E247" s="236">
        <v>0</v>
      </c>
      <c r="F247" s="236">
        <v>970023</v>
      </c>
      <c r="G247" s="236">
        <v>0</v>
      </c>
      <c r="H247" s="236"/>
      <c r="I247" s="237">
        <v>0</v>
      </c>
      <c r="J247" s="237">
        <v>0</v>
      </c>
      <c r="K247" s="237">
        <v>0</v>
      </c>
      <c r="L247" s="236">
        <v>166634</v>
      </c>
      <c r="M247" s="236"/>
      <c r="N247" s="237">
        <v>0</v>
      </c>
      <c r="O247" s="237">
        <v>0</v>
      </c>
      <c r="P247" s="237">
        <v>0</v>
      </c>
      <c r="Q247" s="236">
        <v>1170867</v>
      </c>
      <c r="R247" s="237">
        <f t="shared" si="3"/>
        <v>0</v>
      </c>
      <c r="S247" s="236"/>
      <c r="T247" s="237">
        <v>0</v>
      </c>
      <c r="U247" s="238">
        <v>-223763</v>
      </c>
      <c r="V247" s="238">
        <v>-223763</v>
      </c>
    </row>
    <row r="248" spans="1:22">
      <c r="A248" s="231">
        <v>92511</v>
      </c>
      <c r="B248" s="232" t="s">
        <v>960</v>
      </c>
      <c r="C248" s="92">
        <v>3.4164E-3</v>
      </c>
      <c r="D248" s="92">
        <v>3.6713000000000002E-3</v>
      </c>
      <c r="E248" s="236">
        <v>1353008.7800000003</v>
      </c>
      <c r="F248" s="236">
        <v>1647657</v>
      </c>
      <c r="G248" s="236">
        <v>7250745</v>
      </c>
      <c r="H248" s="236"/>
      <c r="I248" s="237">
        <v>136229</v>
      </c>
      <c r="J248" s="237">
        <v>6353964</v>
      </c>
      <c r="K248" s="237">
        <v>496611</v>
      </c>
      <c r="L248" s="236">
        <v>24415.31</v>
      </c>
      <c r="M248" s="236"/>
      <c r="N248" s="237">
        <v>254074</v>
      </c>
      <c r="O248" s="237">
        <v>2345215</v>
      </c>
      <c r="P248" s="237">
        <v>0</v>
      </c>
      <c r="Q248" s="236">
        <v>243809</v>
      </c>
      <c r="R248" s="237">
        <f t="shared" si="3"/>
        <v>4008749</v>
      </c>
      <c r="S248" s="236"/>
      <c r="T248" s="237">
        <v>1938018</v>
      </c>
      <c r="U248" s="238">
        <v>-57052</v>
      </c>
      <c r="V248" s="238">
        <v>1880965</v>
      </c>
    </row>
    <row r="249" spans="1:22">
      <c r="A249" s="231">
        <v>92513</v>
      </c>
      <c r="B249" s="232" t="s">
        <v>961</v>
      </c>
      <c r="C249" s="92">
        <v>3.9753000000000002E-3</v>
      </c>
      <c r="D249" s="92">
        <v>0</v>
      </c>
      <c r="E249" s="236">
        <v>1441012.6800000002</v>
      </c>
      <c r="F249" s="236">
        <v>0</v>
      </c>
      <c r="G249" s="236">
        <v>8436918</v>
      </c>
      <c r="H249" s="236"/>
      <c r="I249" s="237">
        <v>158515</v>
      </c>
      <c r="J249" s="237">
        <v>7393430</v>
      </c>
      <c r="K249" s="237">
        <v>577854</v>
      </c>
      <c r="L249" s="236">
        <v>1999562</v>
      </c>
      <c r="M249" s="236"/>
      <c r="N249" s="237">
        <v>295639</v>
      </c>
      <c r="O249" s="237">
        <v>2728876</v>
      </c>
      <c r="P249" s="237">
        <v>0</v>
      </c>
      <c r="Q249" s="236">
        <v>0</v>
      </c>
      <c r="R249" s="237">
        <f t="shared" si="3"/>
        <v>4664554</v>
      </c>
      <c r="S249" s="236"/>
      <c r="T249" s="237">
        <v>2255064</v>
      </c>
      <c r="U249" s="238">
        <v>518021</v>
      </c>
      <c r="V249" s="238">
        <v>2773086</v>
      </c>
    </row>
    <row r="250" spans="1:22">
      <c r="A250" s="231">
        <v>92521</v>
      </c>
      <c r="B250" s="232" t="s">
        <v>962</v>
      </c>
      <c r="C250" s="92">
        <v>8.9800000000000001E-5</v>
      </c>
      <c r="D250" s="92">
        <v>9.59E-5</v>
      </c>
      <c r="E250" s="236">
        <v>32294.23</v>
      </c>
      <c r="F250" s="236">
        <v>43039</v>
      </c>
      <c r="G250" s="236">
        <v>190586</v>
      </c>
      <c r="H250" s="236"/>
      <c r="I250" s="237">
        <v>3581</v>
      </c>
      <c r="J250" s="237">
        <v>167014</v>
      </c>
      <c r="K250" s="237">
        <v>13053</v>
      </c>
      <c r="L250" s="236">
        <v>4908</v>
      </c>
      <c r="M250" s="236"/>
      <c r="N250" s="237">
        <v>6678</v>
      </c>
      <c r="O250" s="237">
        <v>61644</v>
      </c>
      <c r="P250" s="237">
        <v>0</v>
      </c>
      <c r="Q250" s="236">
        <v>9965</v>
      </c>
      <c r="R250" s="237">
        <f t="shared" si="3"/>
        <v>105370</v>
      </c>
      <c r="S250" s="236"/>
      <c r="T250" s="237">
        <v>50941</v>
      </c>
      <c r="U250" s="238">
        <v>-1566</v>
      </c>
      <c r="V250" s="238">
        <v>49374</v>
      </c>
    </row>
    <row r="251" spans="1:22">
      <c r="A251" s="231">
        <v>92531</v>
      </c>
      <c r="B251" s="232" t="s">
        <v>963</v>
      </c>
      <c r="C251" s="92">
        <v>8.3779999999999998E-4</v>
      </c>
      <c r="D251" s="92">
        <v>9.3610000000000004E-4</v>
      </c>
      <c r="E251" s="236">
        <v>310253.15000000002</v>
      </c>
      <c r="F251" s="236">
        <v>420116</v>
      </c>
      <c r="G251" s="236">
        <v>1778092</v>
      </c>
      <c r="H251" s="236"/>
      <c r="I251" s="237">
        <v>33407</v>
      </c>
      <c r="J251" s="237">
        <v>1558176</v>
      </c>
      <c r="K251" s="237">
        <v>121783</v>
      </c>
      <c r="L251" s="236">
        <v>0</v>
      </c>
      <c r="M251" s="236"/>
      <c r="N251" s="237">
        <v>62306</v>
      </c>
      <c r="O251" s="237">
        <v>575115</v>
      </c>
      <c r="P251" s="237">
        <v>0</v>
      </c>
      <c r="Q251" s="236">
        <v>169554</v>
      </c>
      <c r="R251" s="237">
        <f t="shared" si="3"/>
        <v>983061</v>
      </c>
      <c r="S251" s="236"/>
      <c r="T251" s="237">
        <v>475258</v>
      </c>
      <c r="U251" s="238">
        <v>-58220</v>
      </c>
      <c r="V251" s="238">
        <v>417038</v>
      </c>
    </row>
    <row r="252" spans="1:22">
      <c r="A252" s="231">
        <v>92541</v>
      </c>
      <c r="B252" s="232" t="s">
        <v>964</v>
      </c>
      <c r="C252" s="92">
        <v>1.4300000000000001E-4</v>
      </c>
      <c r="D252" s="92">
        <v>1.2679999999999999E-4</v>
      </c>
      <c r="E252" s="236">
        <v>54919.090000000004</v>
      </c>
      <c r="F252" s="236">
        <v>56907</v>
      </c>
      <c r="G252" s="236">
        <v>303494</v>
      </c>
      <c r="H252" s="236"/>
      <c r="I252" s="237">
        <v>5702.125</v>
      </c>
      <c r="J252" s="237">
        <v>265957</v>
      </c>
      <c r="K252" s="237">
        <v>20787</v>
      </c>
      <c r="L252" s="236">
        <v>11874</v>
      </c>
      <c r="M252" s="236"/>
      <c r="N252" s="237">
        <v>10635</v>
      </c>
      <c r="O252" s="237">
        <v>98163</v>
      </c>
      <c r="P252" s="237">
        <v>0</v>
      </c>
      <c r="Q252" s="236">
        <v>3822</v>
      </c>
      <c r="R252" s="237">
        <f t="shared" si="3"/>
        <v>167794</v>
      </c>
      <c r="S252" s="236"/>
      <c r="T252" s="237">
        <v>81119</v>
      </c>
      <c r="U252" s="238">
        <v>3227</v>
      </c>
      <c r="V252" s="238">
        <v>84346</v>
      </c>
    </row>
    <row r="253" spans="1:22">
      <c r="A253" s="231">
        <v>92551</v>
      </c>
      <c r="B253" s="232" t="s">
        <v>965</v>
      </c>
      <c r="C253" s="92">
        <v>4.18E-5</v>
      </c>
      <c r="D253" s="92">
        <v>5.4799999999999997E-5</v>
      </c>
      <c r="E253" s="236">
        <v>16805.93</v>
      </c>
      <c r="F253" s="236">
        <v>24594</v>
      </c>
      <c r="G253" s="236">
        <v>88714</v>
      </c>
      <c r="H253" s="236"/>
      <c r="I253" s="237">
        <v>1666.7750000000001</v>
      </c>
      <c r="J253" s="237">
        <v>77741</v>
      </c>
      <c r="K253" s="237">
        <v>6076</v>
      </c>
      <c r="L253" s="236">
        <v>6834</v>
      </c>
      <c r="M253" s="236"/>
      <c r="N253" s="237">
        <v>3109</v>
      </c>
      <c r="O253" s="237">
        <v>28694</v>
      </c>
      <c r="P253" s="237">
        <v>0</v>
      </c>
      <c r="Q253" s="236">
        <v>11864</v>
      </c>
      <c r="R253" s="237">
        <f t="shared" si="3"/>
        <v>49047</v>
      </c>
      <c r="S253" s="236"/>
      <c r="T253" s="237">
        <v>23712</v>
      </c>
      <c r="U253" s="238">
        <v>-71</v>
      </c>
      <c r="V253" s="238">
        <v>23641</v>
      </c>
    </row>
    <row r="254" spans="1:22">
      <c r="A254" s="231">
        <v>92561</v>
      </c>
      <c r="B254" s="232" t="s">
        <v>966</v>
      </c>
      <c r="C254" s="92">
        <v>2.2900000000000001E-5</v>
      </c>
      <c r="D254" s="92">
        <v>2.1800000000000001E-5</v>
      </c>
      <c r="E254" s="236">
        <v>12865.05</v>
      </c>
      <c r="F254" s="236">
        <v>9784</v>
      </c>
      <c r="G254" s="236">
        <v>48601</v>
      </c>
      <c r="H254" s="236"/>
      <c r="I254" s="237">
        <v>913.13750000000005</v>
      </c>
      <c r="J254" s="237">
        <v>42590</v>
      </c>
      <c r="K254" s="237">
        <v>3329</v>
      </c>
      <c r="L254" s="236">
        <v>7071</v>
      </c>
      <c r="M254" s="236"/>
      <c r="N254" s="237">
        <v>1703</v>
      </c>
      <c r="O254" s="237">
        <v>15720</v>
      </c>
      <c r="P254" s="237">
        <v>0</v>
      </c>
      <c r="Q254" s="236">
        <v>0</v>
      </c>
      <c r="R254" s="237">
        <f t="shared" si="3"/>
        <v>26870</v>
      </c>
      <c r="S254" s="236"/>
      <c r="T254" s="237">
        <v>12990</v>
      </c>
      <c r="U254" s="238">
        <v>2451</v>
      </c>
      <c r="V254" s="238">
        <v>15442</v>
      </c>
    </row>
    <row r="255" spans="1:22">
      <c r="A255" s="231">
        <v>92571</v>
      </c>
      <c r="B255" s="232" t="s">
        <v>967</v>
      </c>
      <c r="C255" s="92">
        <v>3.1E-6</v>
      </c>
      <c r="D255" s="92">
        <v>3.8E-6</v>
      </c>
      <c r="E255" s="236">
        <v>6092.6399999999994</v>
      </c>
      <c r="F255" s="236">
        <v>1705</v>
      </c>
      <c r="G255" s="236">
        <v>6579</v>
      </c>
      <c r="H255" s="236"/>
      <c r="I255" s="237">
        <v>123.6125</v>
      </c>
      <c r="J255" s="237">
        <v>5766</v>
      </c>
      <c r="K255" s="237">
        <v>451</v>
      </c>
      <c r="L255" s="236">
        <v>4439</v>
      </c>
      <c r="M255" s="236"/>
      <c r="N255" s="237">
        <v>231</v>
      </c>
      <c r="O255" s="237">
        <v>2128</v>
      </c>
      <c r="P255" s="237">
        <v>0</v>
      </c>
      <c r="Q255" s="236">
        <v>200.99</v>
      </c>
      <c r="R255" s="237">
        <f t="shared" si="3"/>
        <v>3638</v>
      </c>
      <c r="S255" s="236"/>
      <c r="T255" s="237">
        <v>1759</v>
      </c>
      <c r="U255" s="238">
        <v>1144</v>
      </c>
      <c r="V255" s="238">
        <v>2902</v>
      </c>
    </row>
    <row r="256" spans="1:22">
      <c r="A256" s="231">
        <v>92601</v>
      </c>
      <c r="B256" s="232" t="s">
        <v>968</v>
      </c>
      <c r="C256" s="92">
        <v>1.54185E-2</v>
      </c>
      <c r="D256" s="92">
        <v>1.5052899999999999E-2</v>
      </c>
      <c r="E256" s="236">
        <v>6115435.6399999997</v>
      </c>
      <c r="F256" s="236">
        <v>6755651</v>
      </c>
      <c r="G256" s="236">
        <v>32723222</v>
      </c>
      <c r="H256" s="236"/>
      <c r="I256" s="237">
        <v>614813</v>
      </c>
      <c r="J256" s="237">
        <v>28675974</v>
      </c>
      <c r="K256" s="237">
        <v>2241249</v>
      </c>
      <c r="L256" s="236">
        <v>258399</v>
      </c>
      <c r="M256" s="236"/>
      <c r="N256" s="237">
        <v>1146658</v>
      </c>
      <c r="O256" s="237">
        <v>10584153</v>
      </c>
      <c r="P256" s="237">
        <v>0</v>
      </c>
      <c r="Q256" s="236">
        <v>0</v>
      </c>
      <c r="R256" s="237">
        <f t="shared" si="3"/>
        <v>18091821</v>
      </c>
      <c r="S256" s="236"/>
      <c r="T256" s="237">
        <v>8746437</v>
      </c>
      <c r="U256" s="238">
        <v>123589</v>
      </c>
      <c r="V256" s="238">
        <v>8870026</v>
      </c>
    </row>
    <row r="257" spans="1:22">
      <c r="A257" s="231">
        <v>92602</v>
      </c>
      <c r="B257" s="232" t="s">
        <v>969</v>
      </c>
      <c r="C257" s="92">
        <v>8.1999999999999994E-6</v>
      </c>
      <c r="D257" s="92">
        <v>8.3999999999999992E-6</v>
      </c>
      <c r="E257" s="236">
        <v>3297.75</v>
      </c>
      <c r="F257" s="236">
        <v>3770</v>
      </c>
      <c r="G257" s="236">
        <v>17403</v>
      </c>
      <c r="H257" s="236"/>
      <c r="I257" s="237">
        <v>327</v>
      </c>
      <c r="J257" s="237">
        <v>15251</v>
      </c>
      <c r="K257" s="237">
        <v>1192</v>
      </c>
      <c r="L257" s="236">
        <v>708.44</v>
      </c>
      <c r="M257" s="236"/>
      <c r="N257" s="237">
        <v>610</v>
      </c>
      <c r="O257" s="237">
        <v>5629</v>
      </c>
      <c r="P257" s="237">
        <v>0</v>
      </c>
      <c r="Q257" s="236">
        <v>1260</v>
      </c>
      <c r="R257" s="237">
        <f t="shared" si="3"/>
        <v>9622</v>
      </c>
      <c r="S257" s="236"/>
      <c r="T257" s="237">
        <v>4652</v>
      </c>
      <c r="U257" s="238">
        <v>-75</v>
      </c>
      <c r="V257" s="238">
        <v>4577</v>
      </c>
    </row>
    <row r="258" spans="1:22">
      <c r="A258" s="231">
        <v>92604</v>
      </c>
      <c r="B258" s="232" t="s">
        <v>970</v>
      </c>
      <c r="C258" s="92">
        <v>3.4380000000000001E-4</v>
      </c>
      <c r="D258" s="92">
        <v>3.2019999999999998E-4</v>
      </c>
      <c r="E258" s="236">
        <v>164085.82999999996</v>
      </c>
      <c r="F258" s="236">
        <v>143704</v>
      </c>
      <c r="G258" s="236">
        <v>729659</v>
      </c>
      <c r="H258" s="236"/>
      <c r="I258" s="237">
        <v>13709</v>
      </c>
      <c r="J258" s="237">
        <v>639414</v>
      </c>
      <c r="K258" s="237">
        <v>49975</v>
      </c>
      <c r="L258" s="236">
        <v>56939</v>
      </c>
      <c r="M258" s="236"/>
      <c r="N258" s="237">
        <v>25568</v>
      </c>
      <c r="O258" s="237">
        <v>236004</v>
      </c>
      <c r="P258" s="237">
        <v>0</v>
      </c>
      <c r="Q258" s="236">
        <v>0</v>
      </c>
      <c r="R258" s="237">
        <f t="shared" si="3"/>
        <v>403410</v>
      </c>
      <c r="S258" s="236"/>
      <c r="T258" s="237">
        <v>195027</v>
      </c>
      <c r="U258" s="238">
        <v>20016</v>
      </c>
      <c r="V258" s="238">
        <v>215043</v>
      </c>
    </row>
    <row r="259" spans="1:22">
      <c r="A259" s="231">
        <v>92607</v>
      </c>
      <c r="B259" s="232" t="s">
        <v>971</v>
      </c>
      <c r="C259" s="92">
        <v>7.0400000000000004E-5</v>
      </c>
      <c r="D259" s="92">
        <v>7.4099999999999999E-5</v>
      </c>
      <c r="E259" s="236">
        <v>34299.630000000005</v>
      </c>
      <c r="F259" s="236">
        <v>33256</v>
      </c>
      <c r="G259" s="236">
        <v>149412</v>
      </c>
      <c r="H259" s="236"/>
      <c r="I259" s="237">
        <v>2807</v>
      </c>
      <c r="J259" s="237">
        <v>130933</v>
      </c>
      <c r="K259" s="237">
        <v>10233</v>
      </c>
      <c r="L259" s="236">
        <v>9606</v>
      </c>
      <c r="M259" s="236"/>
      <c r="N259" s="237">
        <v>5236</v>
      </c>
      <c r="O259" s="237">
        <v>48327</v>
      </c>
      <c r="P259" s="237">
        <v>0</v>
      </c>
      <c r="Q259" s="236">
        <v>0</v>
      </c>
      <c r="R259" s="237">
        <f t="shared" si="3"/>
        <v>82606</v>
      </c>
      <c r="S259" s="236"/>
      <c r="T259" s="237">
        <v>39936</v>
      </c>
      <c r="U259" s="238">
        <v>3862</v>
      </c>
      <c r="V259" s="238">
        <v>43798</v>
      </c>
    </row>
    <row r="260" spans="1:22">
      <c r="A260" s="231">
        <v>92608</v>
      </c>
      <c r="B260" s="232" t="s">
        <v>972</v>
      </c>
      <c r="C260" s="92">
        <v>0</v>
      </c>
      <c r="D260" s="92">
        <v>0</v>
      </c>
      <c r="E260" s="236">
        <v>0</v>
      </c>
      <c r="F260" s="236">
        <v>0</v>
      </c>
      <c r="G260" s="236">
        <v>0</v>
      </c>
      <c r="H260" s="236"/>
      <c r="I260" s="237">
        <v>0</v>
      </c>
      <c r="J260" s="237">
        <v>0</v>
      </c>
      <c r="K260" s="237">
        <v>0</v>
      </c>
      <c r="L260" s="236">
        <v>0</v>
      </c>
      <c r="M260" s="236"/>
      <c r="N260" s="237">
        <v>0</v>
      </c>
      <c r="O260" s="237">
        <v>0</v>
      </c>
      <c r="P260" s="237">
        <v>0</v>
      </c>
      <c r="Q260" s="236">
        <v>139807</v>
      </c>
      <c r="R260" s="237">
        <f t="shared" si="3"/>
        <v>0</v>
      </c>
      <c r="S260" s="236"/>
      <c r="T260" s="237">
        <v>0</v>
      </c>
      <c r="U260" s="238">
        <v>-69872</v>
      </c>
      <c r="V260" s="238">
        <v>-69872</v>
      </c>
    </row>
    <row r="261" spans="1:22">
      <c r="A261" s="231">
        <v>92611</v>
      </c>
      <c r="B261" s="232" t="s">
        <v>973</v>
      </c>
      <c r="C261" s="92">
        <v>1.3650799999999999E-2</v>
      </c>
      <c r="D261" s="92">
        <v>1.3731999999999999E-2</v>
      </c>
      <c r="E261" s="236">
        <v>5062641.3499999996</v>
      </c>
      <c r="F261" s="236">
        <v>6162839</v>
      </c>
      <c r="G261" s="236">
        <v>28971571</v>
      </c>
      <c r="H261" s="236"/>
      <c r="I261" s="237">
        <v>544325.65</v>
      </c>
      <c r="J261" s="237">
        <v>25388331</v>
      </c>
      <c r="K261" s="237">
        <v>1984294</v>
      </c>
      <c r="L261" s="236">
        <v>20320</v>
      </c>
      <c r="M261" s="236"/>
      <c r="N261" s="237">
        <v>1015196</v>
      </c>
      <c r="O261" s="237">
        <v>9370701</v>
      </c>
      <c r="P261" s="237">
        <v>0</v>
      </c>
      <c r="Q261" s="236">
        <v>707501</v>
      </c>
      <c r="R261" s="237">
        <f t="shared" si="3"/>
        <v>16017630</v>
      </c>
      <c r="S261" s="236"/>
      <c r="T261" s="237">
        <v>7743676</v>
      </c>
      <c r="U261" s="238">
        <v>-194650</v>
      </c>
      <c r="V261" s="238">
        <v>7549026</v>
      </c>
    </row>
    <row r="262" spans="1:22">
      <c r="A262" s="231">
        <v>92613</v>
      </c>
      <c r="B262" s="232" t="s">
        <v>974</v>
      </c>
      <c r="C262" s="92">
        <v>2.81E-4</v>
      </c>
      <c r="D262" s="92">
        <v>2.9250000000000001E-4</v>
      </c>
      <c r="E262" s="236">
        <v>141183.12999999998</v>
      </c>
      <c r="F262" s="236">
        <v>131272</v>
      </c>
      <c r="G262" s="236">
        <v>596376</v>
      </c>
      <c r="H262" s="236"/>
      <c r="I262" s="237">
        <v>11204.875</v>
      </c>
      <c r="J262" s="237">
        <v>522616</v>
      </c>
      <c r="K262" s="237">
        <v>40846</v>
      </c>
      <c r="L262" s="236">
        <v>119119</v>
      </c>
      <c r="M262" s="236"/>
      <c r="N262" s="237">
        <v>20898</v>
      </c>
      <c r="O262" s="237">
        <v>192895</v>
      </c>
      <c r="P262" s="237">
        <v>0</v>
      </c>
      <c r="Q262" s="236">
        <v>1892</v>
      </c>
      <c r="R262" s="237">
        <f t="shared" si="3"/>
        <v>329721</v>
      </c>
      <c r="S262" s="236"/>
      <c r="T262" s="237">
        <v>159403</v>
      </c>
      <c r="U262" s="238">
        <v>39940</v>
      </c>
      <c r="V262" s="238">
        <v>199343</v>
      </c>
    </row>
    <row r="263" spans="1:22">
      <c r="A263" s="231">
        <v>92614</v>
      </c>
      <c r="B263" s="232" t="s">
        <v>975</v>
      </c>
      <c r="C263" s="92">
        <v>5.6468000000000004E-3</v>
      </c>
      <c r="D263" s="92">
        <v>5.6173999999999998E-3</v>
      </c>
      <c r="E263" s="236">
        <v>4370417.1500000004</v>
      </c>
      <c r="F263" s="236">
        <v>2521055</v>
      </c>
      <c r="G263" s="236">
        <v>11984401</v>
      </c>
      <c r="H263" s="236"/>
      <c r="I263" s="237">
        <v>225166</v>
      </c>
      <c r="J263" s="237">
        <v>10502156</v>
      </c>
      <c r="K263" s="237">
        <v>820824</v>
      </c>
      <c r="L263" s="236">
        <v>3097959</v>
      </c>
      <c r="M263" s="236"/>
      <c r="N263" s="237">
        <v>419947</v>
      </c>
      <c r="O263" s="237">
        <v>3876291</v>
      </c>
      <c r="P263" s="237">
        <v>0</v>
      </c>
      <c r="Q263" s="236">
        <v>0</v>
      </c>
      <c r="R263" s="237">
        <f t="shared" si="3"/>
        <v>6625865</v>
      </c>
      <c r="S263" s="236"/>
      <c r="T263" s="237">
        <v>3203255</v>
      </c>
      <c r="U263" s="238">
        <v>970834</v>
      </c>
      <c r="V263" s="238">
        <v>4174089</v>
      </c>
    </row>
    <row r="264" spans="1:22">
      <c r="A264" s="231">
        <v>92621</v>
      </c>
      <c r="B264" s="232" t="s">
        <v>976</v>
      </c>
      <c r="C264" s="92">
        <v>3.2799999999999998E-5</v>
      </c>
      <c r="D264" s="92">
        <v>3.3099999999999998E-5</v>
      </c>
      <c r="E264" s="236">
        <v>12383.630000000001</v>
      </c>
      <c r="F264" s="236">
        <v>14855</v>
      </c>
      <c r="G264" s="236">
        <v>69613</v>
      </c>
      <c r="H264" s="236"/>
      <c r="I264" s="237">
        <v>1308</v>
      </c>
      <c r="J264" s="237">
        <v>61003</v>
      </c>
      <c r="K264" s="237">
        <v>4768</v>
      </c>
      <c r="L264" s="236">
        <v>1351</v>
      </c>
      <c r="M264" s="236"/>
      <c r="N264" s="237">
        <v>2439</v>
      </c>
      <c r="O264" s="237">
        <v>22516</v>
      </c>
      <c r="P264" s="237">
        <v>0</v>
      </c>
      <c r="Q264" s="236">
        <v>3050</v>
      </c>
      <c r="R264" s="237">
        <f t="shared" si="3"/>
        <v>38487</v>
      </c>
      <c r="S264" s="236"/>
      <c r="T264" s="237">
        <v>18606</v>
      </c>
      <c r="U264" s="238">
        <v>-800</v>
      </c>
      <c r="V264" s="238">
        <v>17806</v>
      </c>
    </row>
    <row r="265" spans="1:22">
      <c r="A265" s="231">
        <v>92631</v>
      </c>
      <c r="B265" s="232" t="s">
        <v>977</v>
      </c>
      <c r="C265" s="92">
        <v>1.0068E-3</v>
      </c>
      <c r="D265" s="92">
        <v>1.0248E-3</v>
      </c>
      <c r="E265" s="236">
        <v>343817.77</v>
      </c>
      <c r="F265" s="236">
        <v>459924</v>
      </c>
      <c r="G265" s="236">
        <v>2136767</v>
      </c>
      <c r="H265" s="236"/>
      <c r="I265" s="237">
        <v>40146.15</v>
      </c>
      <c r="J265" s="237">
        <v>1872489</v>
      </c>
      <c r="K265" s="237">
        <v>146349</v>
      </c>
      <c r="L265" s="236">
        <v>0</v>
      </c>
      <c r="M265" s="236"/>
      <c r="N265" s="237">
        <v>74875</v>
      </c>
      <c r="O265" s="237">
        <v>691126</v>
      </c>
      <c r="P265" s="237">
        <v>0</v>
      </c>
      <c r="Q265" s="236">
        <v>101284</v>
      </c>
      <c r="R265" s="237">
        <f t="shared" ref="R265:R328" si="4">IF(J265&gt;O265,J265-O265,O265-J265)</f>
        <v>1181363</v>
      </c>
      <c r="S265" s="236"/>
      <c r="T265" s="237">
        <v>571126</v>
      </c>
      <c r="U265" s="238">
        <v>-30677</v>
      </c>
      <c r="V265" s="238">
        <v>540449</v>
      </c>
    </row>
    <row r="266" spans="1:22">
      <c r="A266" s="231">
        <v>92641</v>
      </c>
      <c r="B266" s="232" t="s">
        <v>978</v>
      </c>
      <c r="C266" s="92">
        <v>1.03E-5</v>
      </c>
      <c r="D266" s="92">
        <v>1.0699999999999999E-5</v>
      </c>
      <c r="E266" s="236">
        <v>4921.7</v>
      </c>
      <c r="F266" s="236">
        <v>4802</v>
      </c>
      <c r="G266" s="236">
        <v>21860</v>
      </c>
      <c r="H266" s="236"/>
      <c r="I266" s="237">
        <v>410.71249999999998</v>
      </c>
      <c r="J266" s="237">
        <v>19156</v>
      </c>
      <c r="K266" s="237">
        <v>1497</v>
      </c>
      <c r="L266" s="236">
        <v>2730</v>
      </c>
      <c r="M266" s="236"/>
      <c r="N266" s="237">
        <v>766</v>
      </c>
      <c r="O266" s="237">
        <v>7071</v>
      </c>
      <c r="P266" s="237">
        <v>0</v>
      </c>
      <c r="Q266" s="236">
        <v>1900</v>
      </c>
      <c r="R266" s="237">
        <f t="shared" si="4"/>
        <v>12085</v>
      </c>
      <c r="S266" s="236"/>
      <c r="T266" s="237">
        <v>5843</v>
      </c>
      <c r="U266" s="238">
        <v>-18</v>
      </c>
      <c r="V266" s="238">
        <v>5825</v>
      </c>
    </row>
    <row r="267" spans="1:22">
      <c r="A267" s="231">
        <v>92651</v>
      </c>
      <c r="B267" s="232" t="s">
        <v>979</v>
      </c>
      <c r="C267" s="92">
        <v>2.6000000000000001E-6</v>
      </c>
      <c r="D267" s="92">
        <v>2.3999999999999999E-6</v>
      </c>
      <c r="E267" s="236">
        <v>2706.64</v>
      </c>
      <c r="F267" s="236">
        <v>1077</v>
      </c>
      <c r="G267" s="236">
        <v>5518</v>
      </c>
      <c r="H267" s="236"/>
      <c r="I267" s="237">
        <v>103.675</v>
      </c>
      <c r="J267" s="237">
        <v>4836</v>
      </c>
      <c r="K267" s="237">
        <v>378</v>
      </c>
      <c r="L267" s="236">
        <v>2819</v>
      </c>
      <c r="M267" s="236"/>
      <c r="N267" s="237">
        <v>193</v>
      </c>
      <c r="O267" s="237">
        <v>1785</v>
      </c>
      <c r="P267" s="237">
        <v>0</v>
      </c>
      <c r="Q267" s="236">
        <v>0</v>
      </c>
      <c r="R267" s="237">
        <f t="shared" si="4"/>
        <v>3051</v>
      </c>
      <c r="S267" s="236"/>
      <c r="T267" s="237">
        <v>1475</v>
      </c>
      <c r="U267" s="238">
        <v>953</v>
      </c>
      <c r="V267" s="238">
        <v>2428</v>
      </c>
    </row>
    <row r="268" spans="1:22">
      <c r="A268" s="231">
        <v>92661</v>
      </c>
      <c r="B268" s="232" t="s">
        <v>980</v>
      </c>
      <c r="C268" s="92">
        <v>6.6299999999999996E-4</v>
      </c>
      <c r="D268" s="92">
        <v>6.7860000000000001E-4</v>
      </c>
      <c r="E268" s="236">
        <v>505437.85000000003</v>
      </c>
      <c r="F268" s="236">
        <v>304552</v>
      </c>
      <c r="G268" s="236">
        <v>1407108</v>
      </c>
      <c r="H268" s="236"/>
      <c r="I268" s="237">
        <v>26437.125</v>
      </c>
      <c r="J268" s="237">
        <v>1233075</v>
      </c>
      <c r="K268" s="237">
        <v>96374</v>
      </c>
      <c r="L268" s="236">
        <v>293360</v>
      </c>
      <c r="M268" s="236"/>
      <c r="N268" s="237">
        <v>49307</v>
      </c>
      <c r="O268" s="237">
        <v>455122</v>
      </c>
      <c r="P268" s="237">
        <v>0</v>
      </c>
      <c r="Q268" s="236">
        <v>33924</v>
      </c>
      <c r="R268" s="237">
        <f t="shared" si="4"/>
        <v>777953</v>
      </c>
      <c r="S268" s="236"/>
      <c r="T268" s="237">
        <v>376099</v>
      </c>
      <c r="U268" s="238">
        <v>70124</v>
      </c>
      <c r="V268" s="238">
        <v>446224</v>
      </c>
    </row>
    <row r="269" spans="1:22">
      <c r="A269" s="231">
        <v>92671</v>
      </c>
      <c r="B269" s="232" t="s">
        <v>981</v>
      </c>
      <c r="C269" s="92">
        <v>2.9000000000000002E-6</v>
      </c>
      <c r="D269" s="92">
        <v>3.4999999999999999E-6</v>
      </c>
      <c r="E269" s="236">
        <v>4773.75</v>
      </c>
      <c r="F269" s="236">
        <v>1571</v>
      </c>
      <c r="G269" s="236">
        <v>6155</v>
      </c>
      <c r="H269" s="236"/>
      <c r="I269" s="237">
        <v>115.6375</v>
      </c>
      <c r="J269" s="237">
        <v>5394</v>
      </c>
      <c r="K269" s="237">
        <v>422</v>
      </c>
      <c r="L269" s="236">
        <v>4608</v>
      </c>
      <c r="M269" s="236"/>
      <c r="N269" s="237">
        <v>216</v>
      </c>
      <c r="O269" s="237">
        <v>1991</v>
      </c>
      <c r="P269" s="237">
        <v>0</v>
      </c>
      <c r="Q269" s="236">
        <v>0</v>
      </c>
      <c r="R269" s="237">
        <f t="shared" si="4"/>
        <v>3403</v>
      </c>
      <c r="S269" s="236"/>
      <c r="T269" s="237">
        <v>1645</v>
      </c>
      <c r="U269" s="238">
        <v>1438</v>
      </c>
      <c r="V269" s="238">
        <v>3083</v>
      </c>
    </row>
    <row r="270" spans="1:22">
      <c r="A270" s="231">
        <v>92681</v>
      </c>
      <c r="B270" s="232" t="s">
        <v>982</v>
      </c>
      <c r="C270" s="92">
        <v>1.01E-5</v>
      </c>
      <c r="D270" s="92">
        <v>5.4E-6</v>
      </c>
      <c r="E270" s="236">
        <v>9613.7899999999991</v>
      </c>
      <c r="F270" s="236">
        <v>2423</v>
      </c>
      <c r="G270" s="236">
        <v>21436</v>
      </c>
      <c r="H270" s="236"/>
      <c r="I270" s="237">
        <v>402.73750000000001</v>
      </c>
      <c r="J270" s="237">
        <v>18784</v>
      </c>
      <c r="K270" s="237">
        <v>1468</v>
      </c>
      <c r="L270" s="236">
        <v>11040</v>
      </c>
      <c r="M270" s="236"/>
      <c r="N270" s="237">
        <v>751</v>
      </c>
      <c r="O270" s="237">
        <v>6933</v>
      </c>
      <c r="P270" s="237">
        <v>0</v>
      </c>
      <c r="Q270" s="236">
        <v>0</v>
      </c>
      <c r="R270" s="237">
        <f t="shared" si="4"/>
        <v>11851</v>
      </c>
      <c r="S270" s="236"/>
      <c r="T270" s="237">
        <v>5729</v>
      </c>
      <c r="U270" s="238">
        <v>3452</v>
      </c>
      <c r="V270" s="238">
        <v>9181</v>
      </c>
    </row>
    <row r="271" spans="1:22">
      <c r="A271" s="231">
        <v>92701</v>
      </c>
      <c r="B271" s="232" t="s">
        <v>983</v>
      </c>
      <c r="C271" s="92">
        <v>2.9588000000000001E-3</v>
      </c>
      <c r="D271" s="92">
        <v>2.8249999999999998E-3</v>
      </c>
      <c r="E271" s="236">
        <v>1147170.26</v>
      </c>
      <c r="F271" s="236">
        <v>1267843</v>
      </c>
      <c r="G271" s="236">
        <v>6279565</v>
      </c>
      <c r="H271" s="236"/>
      <c r="I271" s="237">
        <v>117982</v>
      </c>
      <c r="J271" s="237">
        <v>5502901</v>
      </c>
      <c r="K271" s="237">
        <v>430094</v>
      </c>
      <c r="L271" s="236">
        <v>17190</v>
      </c>
      <c r="M271" s="236"/>
      <c r="N271" s="237">
        <v>220043</v>
      </c>
      <c r="O271" s="237">
        <v>2031092</v>
      </c>
      <c r="P271" s="237">
        <v>0</v>
      </c>
      <c r="Q271" s="236">
        <v>81579</v>
      </c>
      <c r="R271" s="237">
        <f t="shared" si="4"/>
        <v>3471809</v>
      </c>
      <c r="S271" s="236"/>
      <c r="T271" s="237">
        <v>1678436</v>
      </c>
      <c r="U271" s="238">
        <v>-34202</v>
      </c>
      <c r="V271" s="238">
        <v>1644234</v>
      </c>
    </row>
    <row r="272" spans="1:22">
      <c r="A272" s="231">
        <v>92704</v>
      </c>
      <c r="B272" s="232" t="s">
        <v>984</v>
      </c>
      <c r="C272" s="92">
        <v>4.7700000000000001E-5</v>
      </c>
      <c r="D272" s="92">
        <v>4.8000000000000001E-5</v>
      </c>
      <c r="E272" s="236">
        <v>17416.48</v>
      </c>
      <c r="F272" s="236">
        <v>21542</v>
      </c>
      <c r="G272" s="236">
        <v>101235</v>
      </c>
      <c r="H272" s="236"/>
      <c r="I272" s="237">
        <v>1902</v>
      </c>
      <c r="J272" s="237">
        <v>88714</v>
      </c>
      <c r="K272" s="237">
        <v>6934</v>
      </c>
      <c r="L272" s="236">
        <v>2418</v>
      </c>
      <c r="M272" s="236"/>
      <c r="N272" s="237">
        <v>3547</v>
      </c>
      <c r="O272" s="237">
        <v>32744</v>
      </c>
      <c r="P272" s="237">
        <v>0</v>
      </c>
      <c r="Q272" s="236">
        <v>1922</v>
      </c>
      <c r="R272" s="237">
        <f t="shared" si="4"/>
        <v>55970</v>
      </c>
      <c r="S272" s="236"/>
      <c r="T272" s="237">
        <v>27059</v>
      </c>
      <c r="U272" s="238">
        <v>357</v>
      </c>
      <c r="V272" s="238">
        <v>27415</v>
      </c>
    </row>
    <row r="273" spans="1:22">
      <c r="A273" s="231">
        <v>92801</v>
      </c>
      <c r="B273" s="232" t="s">
        <v>985</v>
      </c>
      <c r="C273" s="92">
        <v>5.1701000000000004E-3</v>
      </c>
      <c r="D273" s="92">
        <v>5.1633E-3</v>
      </c>
      <c r="E273" s="236">
        <v>2172949.21</v>
      </c>
      <c r="F273" s="236">
        <v>2317258</v>
      </c>
      <c r="G273" s="236">
        <v>10972684</v>
      </c>
      <c r="H273" s="236"/>
      <c r="I273" s="237">
        <v>206158</v>
      </c>
      <c r="J273" s="237">
        <v>9615569</v>
      </c>
      <c r="K273" s="237">
        <v>751531</v>
      </c>
      <c r="L273" s="236">
        <v>219271</v>
      </c>
      <c r="M273" s="236"/>
      <c r="N273" s="237">
        <v>384495</v>
      </c>
      <c r="O273" s="237">
        <v>3549057</v>
      </c>
      <c r="P273" s="237">
        <v>0</v>
      </c>
      <c r="Q273" s="236">
        <v>0</v>
      </c>
      <c r="R273" s="237">
        <f t="shared" si="4"/>
        <v>6066512</v>
      </c>
      <c r="S273" s="236"/>
      <c r="T273" s="237">
        <v>2932837</v>
      </c>
      <c r="U273" s="238">
        <v>78433</v>
      </c>
      <c r="V273" s="238">
        <v>3011270</v>
      </c>
    </row>
    <row r="274" spans="1:22">
      <c r="A274" s="231">
        <v>92802</v>
      </c>
      <c r="B274" s="232" t="s">
        <v>986</v>
      </c>
      <c r="C274" s="92">
        <v>1.3410000000000001E-4</v>
      </c>
      <c r="D274" s="92">
        <v>1.4359999999999999E-4</v>
      </c>
      <c r="E274" s="236">
        <v>49243.25</v>
      </c>
      <c r="F274" s="236">
        <v>64447</v>
      </c>
      <c r="G274" s="236">
        <v>284605</v>
      </c>
      <c r="H274" s="236"/>
      <c r="I274" s="237">
        <v>5347</v>
      </c>
      <c r="J274" s="237">
        <v>249405</v>
      </c>
      <c r="K274" s="237">
        <v>19493</v>
      </c>
      <c r="L274" s="236">
        <v>0</v>
      </c>
      <c r="M274" s="236"/>
      <c r="N274" s="237">
        <v>9973</v>
      </c>
      <c r="O274" s="237">
        <v>92054</v>
      </c>
      <c r="P274" s="237">
        <v>0</v>
      </c>
      <c r="Q274" s="236">
        <v>17052</v>
      </c>
      <c r="R274" s="237">
        <f t="shared" si="4"/>
        <v>157351</v>
      </c>
      <c r="S274" s="236"/>
      <c r="T274" s="237">
        <v>76071</v>
      </c>
      <c r="U274" s="238">
        <v>-5458</v>
      </c>
      <c r="V274" s="238">
        <v>70613</v>
      </c>
    </row>
    <row r="275" spans="1:22">
      <c r="A275" s="231">
        <v>92804</v>
      </c>
      <c r="B275" s="232" t="s">
        <v>987</v>
      </c>
      <c r="C275" s="92">
        <v>1.47E-4</v>
      </c>
      <c r="D275" s="92">
        <v>1.217E-4</v>
      </c>
      <c r="E275" s="236">
        <v>50468.480000000003</v>
      </c>
      <c r="F275" s="236">
        <v>54618</v>
      </c>
      <c r="G275" s="236">
        <v>311983</v>
      </c>
      <c r="H275" s="236"/>
      <c r="I275" s="237">
        <v>5861.625</v>
      </c>
      <c r="J275" s="237">
        <v>273397</v>
      </c>
      <c r="K275" s="237">
        <v>21368</v>
      </c>
      <c r="L275" s="236">
        <v>12672</v>
      </c>
      <c r="M275" s="236"/>
      <c r="N275" s="237">
        <v>10932</v>
      </c>
      <c r="O275" s="237">
        <v>100909</v>
      </c>
      <c r="P275" s="237">
        <v>0</v>
      </c>
      <c r="Q275" s="236">
        <v>2663</v>
      </c>
      <c r="R275" s="237">
        <f t="shared" si="4"/>
        <v>172488</v>
      </c>
      <c r="S275" s="236"/>
      <c r="T275" s="237">
        <v>83389</v>
      </c>
      <c r="U275" s="238">
        <v>2604</v>
      </c>
      <c r="V275" s="238">
        <v>85992</v>
      </c>
    </row>
    <row r="276" spans="1:22">
      <c r="A276" s="231">
        <v>92811</v>
      </c>
      <c r="B276" s="232" t="s">
        <v>988</v>
      </c>
      <c r="C276" s="92">
        <v>9.8569999999999994E-4</v>
      </c>
      <c r="D276" s="92">
        <v>1.1405E-3</v>
      </c>
      <c r="E276" s="236">
        <v>390969.39999999997</v>
      </c>
      <c r="F276" s="236">
        <v>511850</v>
      </c>
      <c r="G276" s="236">
        <v>2091986</v>
      </c>
      <c r="H276" s="236"/>
      <c r="I276" s="237">
        <v>39305</v>
      </c>
      <c r="J276" s="237">
        <v>1833246</v>
      </c>
      <c r="K276" s="237">
        <v>143282</v>
      </c>
      <c r="L276" s="236">
        <v>0</v>
      </c>
      <c r="M276" s="236"/>
      <c r="N276" s="237">
        <v>73306</v>
      </c>
      <c r="O276" s="237">
        <v>676642</v>
      </c>
      <c r="P276" s="237">
        <v>0</v>
      </c>
      <c r="Q276" s="236">
        <v>118839</v>
      </c>
      <c r="R276" s="237">
        <f t="shared" si="4"/>
        <v>1156604</v>
      </c>
      <c r="S276" s="236"/>
      <c r="T276" s="237">
        <v>559157</v>
      </c>
      <c r="U276" s="238">
        <v>-36047</v>
      </c>
      <c r="V276" s="238">
        <v>523110</v>
      </c>
    </row>
    <row r="277" spans="1:22">
      <c r="A277" s="231">
        <v>92821</v>
      </c>
      <c r="B277" s="232" t="s">
        <v>989</v>
      </c>
      <c r="C277" s="92">
        <v>1.0139999999999999E-3</v>
      </c>
      <c r="D277" s="92">
        <v>9.8010000000000002E-4</v>
      </c>
      <c r="E277" s="236">
        <v>411903.12999999995</v>
      </c>
      <c r="F277" s="236">
        <v>439863</v>
      </c>
      <c r="G277" s="236">
        <v>2152047.69</v>
      </c>
      <c r="H277" s="236"/>
      <c r="I277" s="237">
        <v>40433.25</v>
      </c>
      <c r="J277" s="237">
        <v>1885880</v>
      </c>
      <c r="K277" s="237">
        <v>147396</v>
      </c>
      <c r="L277" s="236">
        <v>27408</v>
      </c>
      <c r="M277" s="236"/>
      <c r="N277" s="237">
        <v>75410</v>
      </c>
      <c r="O277" s="237">
        <v>696068</v>
      </c>
      <c r="P277" s="237">
        <v>0</v>
      </c>
      <c r="Q277" s="236">
        <v>0</v>
      </c>
      <c r="R277" s="237">
        <f t="shared" si="4"/>
        <v>1189812</v>
      </c>
      <c r="S277" s="236"/>
      <c r="T277" s="237">
        <v>575211</v>
      </c>
      <c r="U277" s="238">
        <v>8904</v>
      </c>
      <c r="V277" s="238">
        <v>584115</v>
      </c>
    </row>
    <row r="278" spans="1:22">
      <c r="A278" s="231">
        <v>92831</v>
      </c>
      <c r="B278" s="232" t="s">
        <v>990</v>
      </c>
      <c r="C278" s="92">
        <v>2.476E-4</v>
      </c>
      <c r="D278" s="92">
        <v>2.4049999999999999E-4</v>
      </c>
      <c r="E278" s="236">
        <v>117070.46</v>
      </c>
      <c r="F278" s="236">
        <v>107935</v>
      </c>
      <c r="G278" s="236">
        <v>525490</v>
      </c>
      <c r="H278" s="236"/>
      <c r="I278" s="237">
        <v>9873</v>
      </c>
      <c r="J278" s="237">
        <v>460497</v>
      </c>
      <c r="K278" s="237">
        <v>35991</v>
      </c>
      <c r="L278" s="236">
        <v>29199</v>
      </c>
      <c r="M278" s="236"/>
      <c r="N278" s="237">
        <v>18414</v>
      </c>
      <c r="O278" s="237">
        <v>169967</v>
      </c>
      <c r="P278" s="237">
        <v>0</v>
      </c>
      <c r="Q278" s="236">
        <v>0</v>
      </c>
      <c r="R278" s="237">
        <f t="shared" si="4"/>
        <v>290530</v>
      </c>
      <c r="S278" s="236"/>
      <c r="T278" s="237">
        <v>140456</v>
      </c>
      <c r="U278" s="238">
        <v>10043</v>
      </c>
      <c r="V278" s="238">
        <v>150499</v>
      </c>
    </row>
    <row r="279" spans="1:22">
      <c r="A279" s="231">
        <v>92841</v>
      </c>
      <c r="B279" s="232" t="s">
        <v>991</v>
      </c>
      <c r="C279" s="92">
        <v>2.8160000000000001E-4</v>
      </c>
      <c r="D279" s="92">
        <v>2.7070000000000002E-4</v>
      </c>
      <c r="E279" s="236">
        <v>105224.13999999998</v>
      </c>
      <c r="F279" s="236">
        <v>121489</v>
      </c>
      <c r="G279" s="236">
        <v>597650</v>
      </c>
      <c r="H279" s="236"/>
      <c r="I279" s="237">
        <v>11229</v>
      </c>
      <c r="J279" s="237">
        <v>523732</v>
      </c>
      <c r="K279" s="237">
        <v>40934</v>
      </c>
      <c r="L279" s="236">
        <v>11701.2</v>
      </c>
      <c r="M279" s="236"/>
      <c r="N279" s="237">
        <v>20942</v>
      </c>
      <c r="O279" s="237">
        <v>193307</v>
      </c>
      <c r="P279" s="237">
        <v>0</v>
      </c>
      <c r="Q279" s="236">
        <v>3120</v>
      </c>
      <c r="R279" s="237">
        <f t="shared" si="4"/>
        <v>330425</v>
      </c>
      <c r="S279" s="236"/>
      <c r="T279" s="237">
        <v>159743</v>
      </c>
      <c r="U279" s="238">
        <v>5013</v>
      </c>
      <c r="V279" s="238">
        <v>164756</v>
      </c>
    </row>
    <row r="280" spans="1:22">
      <c r="A280" s="231">
        <v>92851</v>
      </c>
      <c r="B280" s="232" t="s">
        <v>992</v>
      </c>
      <c r="C280" s="92">
        <v>4.3909999999999999E-4</v>
      </c>
      <c r="D280" s="92">
        <v>4.6690000000000002E-4</v>
      </c>
      <c r="E280" s="236">
        <v>157592.29999999999</v>
      </c>
      <c r="F280" s="236">
        <v>209542</v>
      </c>
      <c r="G280" s="236">
        <v>931917</v>
      </c>
      <c r="H280" s="236"/>
      <c r="I280" s="237">
        <v>17509</v>
      </c>
      <c r="J280" s="237">
        <v>816657</v>
      </c>
      <c r="K280" s="237">
        <v>63828</v>
      </c>
      <c r="L280" s="236">
        <v>0</v>
      </c>
      <c r="M280" s="236"/>
      <c r="N280" s="237">
        <v>32655</v>
      </c>
      <c r="O280" s="237">
        <v>301424</v>
      </c>
      <c r="P280" s="237">
        <v>0</v>
      </c>
      <c r="Q280" s="236">
        <v>92000</v>
      </c>
      <c r="R280" s="237">
        <f t="shared" si="4"/>
        <v>515233</v>
      </c>
      <c r="S280" s="236"/>
      <c r="T280" s="237">
        <v>249088</v>
      </c>
      <c r="U280" s="238">
        <v>-34292</v>
      </c>
      <c r="V280" s="238">
        <v>214796</v>
      </c>
    </row>
    <row r="281" spans="1:22">
      <c r="A281" s="231">
        <v>92861</v>
      </c>
      <c r="B281" s="232" t="s">
        <v>993</v>
      </c>
      <c r="C281" s="92">
        <v>3.3629999999999999E-4</v>
      </c>
      <c r="D281" s="92">
        <v>3.7750000000000001E-4</v>
      </c>
      <c r="E281" s="236">
        <v>101705.39000000001</v>
      </c>
      <c r="F281" s="236">
        <v>169420</v>
      </c>
      <c r="G281" s="236">
        <v>713741</v>
      </c>
      <c r="H281" s="236"/>
      <c r="I281" s="237">
        <v>13410</v>
      </c>
      <c r="J281" s="237">
        <v>625465</v>
      </c>
      <c r="K281" s="237">
        <v>48885</v>
      </c>
      <c r="L281" s="236">
        <v>0</v>
      </c>
      <c r="M281" s="236"/>
      <c r="N281" s="237">
        <v>25010</v>
      </c>
      <c r="O281" s="237">
        <v>230856</v>
      </c>
      <c r="P281" s="237">
        <v>0</v>
      </c>
      <c r="Q281" s="236">
        <v>96581</v>
      </c>
      <c r="R281" s="237">
        <f t="shared" si="4"/>
        <v>394609</v>
      </c>
      <c r="S281" s="236"/>
      <c r="T281" s="237">
        <v>190773</v>
      </c>
      <c r="U281" s="238">
        <v>-32224</v>
      </c>
      <c r="V281" s="238">
        <v>158549</v>
      </c>
    </row>
    <row r="282" spans="1:22">
      <c r="A282" s="231">
        <v>92901</v>
      </c>
      <c r="B282" s="232" t="s">
        <v>994</v>
      </c>
      <c r="C282" s="92">
        <v>5.7581000000000004E-3</v>
      </c>
      <c r="D282" s="92">
        <v>5.7428999999999996E-3</v>
      </c>
      <c r="E282" s="236">
        <v>2270580.9300000002</v>
      </c>
      <c r="F282" s="236">
        <v>2577379</v>
      </c>
      <c r="G282" s="236">
        <v>12220617</v>
      </c>
      <c r="H282" s="236"/>
      <c r="I282" s="237">
        <v>229604</v>
      </c>
      <c r="J282" s="237">
        <v>10709156</v>
      </c>
      <c r="K282" s="237">
        <v>837003</v>
      </c>
      <c r="L282" s="236">
        <v>108561</v>
      </c>
      <c r="M282" s="236"/>
      <c r="N282" s="237">
        <v>428224</v>
      </c>
      <c r="O282" s="237">
        <v>3952694</v>
      </c>
      <c r="P282" s="237">
        <v>0</v>
      </c>
      <c r="Q282" s="236">
        <v>69123</v>
      </c>
      <c r="R282" s="237">
        <f t="shared" si="4"/>
        <v>6756462</v>
      </c>
      <c r="S282" s="236"/>
      <c r="T282" s="237">
        <v>3266392</v>
      </c>
      <c r="U282" s="238">
        <v>24956</v>
      </c>
      <c r="V282" s="238">
        <v>3291348</v>
      </c>
    </row>
    <row r="283" spans="1:22">
      <c r="A283" s="231">
        <v>92911</v>
      </c>
      <c r="B283" s="232" t="s">
        <v>995</v>
      </c>
      <c r="C283" s="92">
        <v>1.9442999999999999E-3</v>
      </c>
      <c r="D283" s="92">
        <v>2.0665000000000002E-3</v>
      </c>
      <c r="E283" s="236">
        <v>811710.22</v>
      </c>
      <c r="F283" s="236">
        <v>927433</v>
      </c>
      <c r="G283" s="236">
        <v>4126456</v>
      </c>
      <c r="H283" s="236"/>
      <c r="I283" s="237">
        <v>77529</v>
      </c>
      <c r="J283" s="237">
        <v>3616091</v>
      </c>
      <c r="K283" s="237">
        <v>282625</v>
      </c>
      <c r="L283" s="236">
        <v>0</v>
      </c>
      <c r="M283" s="236"/>
      <c r="N283" s="237">
        <v>144596</v>
      </c>
      <c r="O283" s="237">
        <v>1334680</v>
      </c>
      <c r="P283" s="237">
        <v>0</v>
      </c>
      <c r="Q283" s="236">
        <v>175676</v>
      </c>
      <c r="R283" s="237">
        <f t="shared" si="4"/>
        <v>2281411</v>
      </c>
      <c r="S283" s="236"/>
      <c r="T283" s="237">
        <v>1102941</v>
      </c>
      <c r="U283" s="238">
        <v>-62151</v>
      </c>
      <c r="V283" s="238">
        <v>1040790</v>
      </c>
    </row>
    <row r="284" spans="1:22">
      <c r="A284" s="231">
        <v>92913</v>
      </c>
      <c r="B284" s="232" t="s">
        <v>996</v>
      </c>
      <c r="C284" s="92">
        <v>2.37E-5</v>
      </c>
      <c r="D284" s="92">
        <v>2.97E-5</v>
      </c>
      <c r="E284" s="236">
        <v>56296.04</v>
      </c>
      <c r="F284" s="236">
        <v>13329</v>
      </c>
      <c r="G284" s="236">
        <v>50299</v>
      </c>
      <c r="H284" s="236"/>
      <c r="I284" s="237">
        <v>945.03750000000002</v>
      </c>
      <c r="J284" s="237">
        <v>44078</v>
      </c>
      <c r="K284" s="237">
        <v>3445</v>
      </c>
      <c r="L284" s="236">
        <v>60788</v>
      </c>
      <c r="M284" s="236"/>
      <c r="N284" s="237">
        <v>1763</v>
      </c>
      <c r="O284" s="237">
        <v>16269</v>
      </c>
      <c r="P284" s="237">
        <v>0</v>
      </c>
      <c r="Q284" s="236">
        <v>4115</v>
      </c>
      <c r="R284" s="237">
        <f t="shared" si="4"/>
        <v>27809</v>
      </c>
      <c r="S284" s="236"/>
      <c r="T284" s="237">
        <v>13444</v>
      </c>
      <c r="U284" s="238">
        <v>16266</v>
      </c>
      <c r="V284" s="238">
        <v>29711</v>
      </c>
    </row>
    <row r="285" spans="1:22">
      <c r="A285" s="231">
        <v>92917</v>
      </c>
      <c r="B285" s="232" t="s">
        <v>998</v>
      </c>
      <c r="C285" s="92">
        <v>2.0000000000000002E-5</v>
      </c>
      <c r="D285" s="92">
        <v>1.9599999999999999E-5</v>
      </c>
      <c r="E285" s="236">
        <v>15741.650000000001</v>
      </c>
      <c r="F285" s="236">
        <v>8796</v>
      </c>
      <c r="G285" s="236">
        <v>42447</v>
      </c>
      <c r="H285" s="236"/>
      <c r="I285" s="237">
        <v>798</v>
      </c>
      <c r="J285" s="237">
        <v>37197</v>
      </c>
      <c r="K285" s="237">
        <v>2907</v>
      </c>
      <c r="L285" s="236">
        <v>14645</v>
      </c>
      <c r="M285" s="236"/>
      <c r="N285" s="237">
        <v>1487.38</v>
      </c>
      <c r="O285" s="237">
        <v>13729</v>
      </c>
      <c r="P285" s="237">
        <v>0</v>
      </c>
      <c r="Q285" s="236">
        <v>0</v>
      </c>
      <c r="R285" s="237">
        <f t="shared" si="4"/>
        <v>23468</v>
      </c>
      <c r="S285" s="236"/>
      <c r="T285" s="237">
        <v>11345</v>
      </c>
      <c r="U285" s="238">
        <v>5366</v>
      </c>
      <c r="V285" s="238">
        <v>16711</v>
      </c>
    </row>
    <row r="286" spans="1:22">
      <c r="A286" s="231">
        <v>92921</v>
      </c>
      <c r="B286" s="232" t="s">
        <v>999</v>
      </c>
      <c r="C286" s="92">
        <v>6.2899999999999997E-5</v>
      </c>
      <c r="D286" s="92">
        <v>8.1500000000000002E-5</v>
      </c>
      <c r="E286" s="236">
        <v>34231.150000000009</v>
      </c>
      <c r="F286" s="236">
        <v>36577</v>
      </c>
      <c r="G286" s="236">
        <v>133495</v>
      </c>
      <c r="H286" s="236"/>
      <c r="I286" s="237">
        <v>2508</v>
      </c>
      <c r="J286" s="237">
        <v>116984</v>
      </c>
      <c r="K286" s="237">
        <v>9143</v>
      </c>
      <c r="L286" s="236">
        <v>0</v>
      </c>
      <c r="M286" s="236"/>
      <c r="N286" s="237">
        <v>4678</v>
      </c>
      <c r="O286" s="237">
        <v>43178</v>
      </c>
      <c r="P286" s="237">
        <v>0</v>
      </c>
      <c r="Q286" s="236">
        <v>14056</v>
      </c>
      <c r="R286" s="237">
        <f t="shared" si="4"/>
        <v>73806</v>
      </c>
      <c r="S286" s="236"/>
      <c r="T286" s="237">
        <v>35681</v>
      </c>
      <c r="U286" s="238">
        <v>-6225</v>
      </c>
      <c r="V286" s="238">
        <v>29456</v>
      </c>
    </row>
    <row r="287" spans="1:22">
      <c r="A287" s="231">
        <v>92931</v>
      </c>
      <c r="B287" s="232" t="s">
        <v>1000</v>
      </c>
      <c r="C287" s="92">
        <v>2.5048000000000002E-3</v>
      </c>
      <c r="D287" s="92">
        <v>2.5463E-3</v>
      </c>
      <c r="E287" s="236">
        <v>948741.12999999989</v>
      </c>
      <c r="F287" s="236">
        <v>1142764</v>
      </c>
      <c r="G287" s="236">
        <v>5316025</v>
      </c>
      <c r="H287" s="236"/>
      <c r="I287" s="237">
        <v>99879</v>
      </c>
      <c r="J287" s="237">
        <v>4658532</v>
      </c>
      <c r="K287" s="237">
        <v>364100</v>
      </c>
      <c r="L287" s="236">
        <v>15520</v>
      </c>
      <c r="M287" s="236"/>
      <c r="N287" s="237">
        <v>186279</v>
      </c>
      <c r="O287" s="237">
        <v>1719440</v>
      </c>
      <c r="P287" s="237">
        <v>0</v>
      </c>
      <c r="Q287" s="236">
        <v>116480</v>
      </c>
      <c r="R287" s="237">
        <f t="shared" si="4"/>
        <v>2939092</v>
      </c>
      <c r="S287" s="236"/>
      <c r="T287" s="237">
        <v>1420895</v>
      </c>
      <c r="U287" s="238">
        <v>-25186</v>
      </c>
      <c r="V287" s="238">
        <v>1395710</v>
      </c>
    </row>
    <row r="288" spans="1:22">
      <c r="A288" s="231">
        <v>92941</v>
      </c>
      <c r="B288" s="232" t="s">
        <v>81</v>
      </c>
      <c r="C288" s="92">
        <v>1.84E-5</v>
      </c>
      <c r="D288" s="92">
        <v>1.5999999999999999E-5</v>
      </c>
      <c r="E288" s="236">
        <v>7189.9199999999992</v>
      </c>
      <c r="F288" s="236">
        <v>7181</v>
      </c>
      <c r="G288" s="236">
        <v>39051</v>
      </c>
      <c r="H288" s="236"/>
      <c r="I288" s="237">
        <v>733.7</v>
      </c>
      <c r="J288" s="237">
        <v>34221</v>
      </c>
      <c r="K288" s="237">
        <v>2675</v>
      </c>
      <c r="L288" s="236">
        <v>10216</v>
      </c>
      <c r="M288" s="236"/>
      <c r="N288" s="237">
        <v>1368</v>
      </c>
      <c r="O288" s="237">
        <v>12631</v>
      </c>
      <c r="P288" s="237">
        <v>0</v>
      </c>
      <c r="Q288" s="236">
        <v>0</v>
      </c>
      <c r="R288" s="237">
        <f t="shared" si="4"/>
        <v>21590</v>
      </c>
      <c r="S288" s="236"/>
      <c r="T288" s="237">
        <v>10438</v>
      </c>
      <c r="U288" s="238">
        <v>3605</v>
      </c>
      <c r="V288" s="238">
        <v>14042</v>
      </c>
    </row>
    <row r="289" spans="1:22">
      <c r="A289" s="231">
        <v>93001</v>
      </c>
      <c r="B289" s="232" t="s">
        <v>1001</v>
      </c>
      <c r="C289" s="92">
        <v>2.2739000000000001E-3</v>
      </c>
      <c r="D289" s="92">
        <v>2.2177999999999998E-3</v>
      </c>
      <c r="E289" s="236">
        <v>863907.18</v>
      </c>
      <c r="F289" s="236">
        <v>995335</v>
      </c>
      <c r="G289" s="236">
        <v>4825978</v>
      </c>
      <c r="H289" s="236"/>
      <c r="I289" s="237">
        <v>90672</v>
      </c>
      <c r="J289" s="237">
        <v>4229095</v>
      </c>
      <c r="K289" s="237">
        <v>330536</v>
      </c>
      <c r="L289" s="236">
        <v>13531</v>
      </c>
      <c r="M289" s="236"/>
      <c r="N289" s="237">
        <v>169108</v>
      </c>
      <c r="O289" s="237">
        <v>1560937</v>
      </c>
      <c r="P289" s="237">
        <v>0</v>
      </c>
      <c r="Q289" s="236">
        <v>103635</v>
      </c>
      <c r="R289" s="237">
        <f t="shared" si="4"/>
        <v>2668158</v>
      </c>
      <c r="S289" s="236"/>
      <c r="T289" s="237">
        <v>1289913</v>
      </c>
      <c r="U289" s="238">
        <v>-40908</v>
      </c>
      <c r="V289" s="238">
        <v>1249005</v>
      </c>
    </row>
    <row r="290" spans="1:22">
      <c r="A290" s="231">
        <v>93009</v>
      </c>
      <c r="B290" s="232" t="s">
        <v>1002</v>
      </c>
      <c r="C290" s="92">
        <v>1.5400000000000002E-5</v>
      </c>
      <c r="D290" s="92">
        <v>1.6399999999999999E-5</v>
      </c>
      <c r="E290" s="236">
        <v>4865.2100000000009</v>
      </c>
      <c r="F290" s="236">
        <v>7360</v>
      </c>
      <c r="G290" s="236">
        <v>32684</v>
      </c>
      <c r="H290" s="236"/>
      <c r="I290" s="237">
        <v>614</v>
      </c>
      <c r="J290" s="237">
        <v>28642</v>
      </c>
      <c r="K290" s="237">
        <v>2239</v>
      </c>
      <c r="L290" s="236">
        <v>0</v>
      </c>
      <c r="M290" s="236"/>
      <c r="N290" s="237">
        <v>1145</v>
      </c>
      <c r="O290" s="237">
        <v>10571</v>
      </c>
      <c r="P290" s="237">
        <v>0</v>
      </c>
      <c r="Q290" s="236">
        <v>4210</v>
      </c>
      <c r="R290" s="237">
        <f t="shared" si="4"/>
        <v>18071</v>
      </c>
      <c r="S290" s="236"/>
      <c r="T290" s="237">
        <v>8736</v>
      </c>
      <c r="U290" s="238">
        <v>-1521</v>
      </c>
      <c r="V290" s="238">
        <v>7215</v>
      </c>
    </row>
    <row r="291" spans="1:22">
      <c r="A291" s="231">
        <v>93011</v>
      </c>
      <c r="B291" s="232" t="s">
        <v>1003</v>
      </c>
      <c r="C291" s="92">
        <v>2.6160000000000002E-4</v>
      </c>
      <c r="D291" s="92">
        <v>2.9179999999999999E-4</v>
      </c>
      <c r="E291" s="236">
        <v>124242.32999999999</v>
      </c>
      <c r="F291" s="236">
        <v>130958</v>
      </c>
      <c r="G291" s="236">
        <v>555203</v>
      </c>
      <c r="H291" s="236"/>
      <c r="I291" s="237">
        <v>10431</v>
      </c>
      <c r="J291" s="237">
        <v>486535</v>
      </c>
      <c r="K291" s="237">
        <v>38026</v>
      </c>
      <c r="L291" s="236">
        <v>2390</v>
      </c>
      <c r="M291" s="236"/>
      <c r="N291" s="237">
        <v>19455</v>
      </c>
      <c r="O291" s="237">
        <v>179577</v>
      </c>
      <c r="P291" s="237">
        <v>0</v>
      </c>
      <c r="Q291" s="236">
        <v>5043</v>
      </c>
      <c r="R291" s="237">
        <f t="shared" si="4"/>
        <v>306958</v>
      </c>
      <c r="S291" s="236"/>
      <c r="T291" s="237">
        <v>148398</v>
      </c>
      <c r="U291" s="238">
        <v>-926</v>
      </c>
      <c r="V291" s="238">
        <v>147472</v>
      </c>
    </row>
    <row r="292" spans="1:22">
      <c r="A292" s="231">
        <v>93021</v>
      </c>
      <c r="B292" s="232" t="s">
        <v>1004</v>
      </c>
      <c r="C292" s="92">
        <v>2.8900000000000001E-5</v>
      </c>
      <c r="D292" s="92">
        <v>3.7200000000000003E-5</v>
      </c>
      <c r="E292" s="236">
        <v>9086.3100000000013</v>
      </c>
      <c r="F292" s="236">
        <v>16695</v>
      </c>
      <c r="G292" s="236">
        <v>61335</v>
      </c>
      <c r="H292" s="236"/>
      <c r="I292" s="237">
        <v>1152.3875</v>
      </c>
      <c r="J292" s="237">
        <v>53749</v>
      </c>
      <c r="K292" s="237">
        <v>4201</v>
      </c>
      <c r="L292" s="236">
        <v>4054</v>
      </c>
      <c r="M292" s="236"/>
      <c r="N292" s="237">
        <v>2149</v>
      </c>
      <c r="O292" s="237">
        <v>19839</v>
      </c>
      <c r="P292" s="237">
        <v>0</v>
      </c>
      <c r="Q292" s="236">
        <v>6719</v>
      </c>
      <c r="R292" s="237">
        <f t="shared" si="4"/>
        <v>33910</v>
      </c>
      <c r="S292" s="236"/>
      <c r="T292" s="237">
        <v>16394</v>
      </c>
      <c r="U292" s="238">
        <v>-87</v>
      </c>
      <c r="V292" s="238">
        <v>16307</v>
      </c>
    </row>
    <row r="293" spans="1:22">
      <c r="A293" s="231">
        <v>93027</v>
      </c>
      <c r="B293" s="232" t="s">
        <v>1005</v>
      </c>
      <c r="C293" s="92">
        <v>1.6699999999999999E-5</v>
      </c>
      <c r="D293" s="92">
        <v>1.49E-5</v>
      </c>
      <c r="E293" s="236">
        <v>6776.7999999999993</v>
      </c>
      <c r="F293" s="236">
        <v>6687</v>
      </c>
      <c r="G293" s="236">
        <v>35443</v>
      </c>
      <c r="H293" s="236"/>
      <c r="I293" s="237">
        <v>665.91250000000002</v>
      </c>
      <c r="J293" s="237">
        <v>31059</v>
      </c>
      <c r="K293" s="237">
        <v>2428</v>
      </c>
      <c r="L293" s="236">
        <v>903</v>
      </c>
      <c r="M293" s="236"/>
      <c r="N293" s="237">
        <v>1242</v>
      </c>
      <c r="O293" s="237">
        <v>11464</v>
      </c>
      <c r="P293" s="237">
        <v>0</v>
      </c>
      <c r="Q293" s="236">
        <v>1496</v>
      </c>
      <c r="R293" s="237">
        <f t="shared" si="4"/>
        <v>19595</v>
      </c>
      <c r="S293" s="236"/>
      <c r="T293" s="237">
        <v>9473</v>
      </c>
      <c r="U293" s="238">
        <v>-429</v>
      </c>
      <c r="V293" s="238">
        <v>9045</v>
      </c>
    </row>
    <row r="294" spans="1:22">
      <c r="A294" s="231">
        <v>93031</v>
      </c>
      <c r="B294" s="232" t="s">
        <v>1006</v>
      </c>
      <c r="C294" s="92">
        <v>2.2399999999999999E-5</v>
      </c>
      <c r="D294" s="92">
        <v>1.4399999999999999E-5</v>
      </c>
      <c r="E294" s="236">
        <v>20148.699999999997</v>
      </c>
      <c r="F294" s="236">
        <v>6463</v>
      </c>
      <c r="G294" s="236">
        <v>47540</v>
      </c>
      <c r="H294" s="236"/>
      <c r="I294" s="237">
        <v>893</v>
      </c>
      <c r="J294" s="237">
        <v>41660</v>
      </c>
      <c r="K294" s="237">
        <v>3256</v>
      </c>
      <c r="L294" s="236">
        <v>15165</v>
      </c>
      <c r="M294" s="236"/>
      <c r="N294" s="237">
        <v>1666</v>
      </c>
      <c r="O294" s="237">
        <v>15377</v>
      </c>
      <c r="P294" s="237">
        <v>0</v>
      </c>
      <c r="Q294" s="236">
        <v>444</v>
      </c>
      <c r="R294" s="237">
        <f t="shared" si="4"/>
        <v>26283</v>
      </c>
      <c r="S294" s="236"/>
      <c r="T294" s="237">
        <v>12707</v>
      </c>
      <c r="U294" s="238">
        <v>3911</v>
      </c>
      <c r="V294" s="238">
        <v>16617</v>
      </c>
    </row>
    <row r="295" spans="1:22">
      <c r="A295" s="231">
        <v>93101</v>
      </c>
      <c r="B295" s="232" t="s">
        <v>1007</v>
      </c>
      <c r="C295" s="92">
        <v>3.5771000000000002E-3</v>
      </c>
      <c r="D295" s="92">
        <v>3.2972000000000001E-3</v>
      </c>
      <c r="E295" s="236">
        <v>1332692.0400000003</v>
      </c>
      <c r="F295" s="236">
        <v>1479764</v>
      </c>
      <c r="G295" s="236">
        <v>7591805</v>
      </c>
      <c r="H295" s="236"/>
      <c r="I295" s="237">
        <v>142637</v>
      </c>
      <c r="J295" s="237">
        <v>6652841</v>
      </c>
      <c r="K295" s="237">
        <v>519971</v>
      </c>
      <c r="L295" s="236">
        <v>172542</v>
      </c>
      <c r="M295" s="236"/>
      <c r="N295" s="237">
        <v>266025</v>
      </c>
      <c r="O295" s="237">
        <v>2455529</v>
      </c>
      <c r="P295" s="237">
        <v>0</v>
      </c>
      <c r="Q295" s="236">
        <v>0</v>
      </c>
      <c r="R295" s="237">
        <f t="shared" si="4"/>
        <v>4197312</v>
      </c>
      <c r="S295" s="236"/>
      <c r="T295" s="237">
        <v>2029178</v>
      </c>
      <c r="U295" s="238">
        <v>68285</v>
      </c>
      <c r="V295" s="238">
        <v>2097463</v>
      </c>
    </row>
    <row r="296" spans="1:22">
      <c r="A296" s="231">
        <v>93103</v>
      </c>
      <c r="B296" s="232" t="s">
        <v>260</v>
      </c>
      <c r="C296" s="92">
        <v>1.7200000000000001E-5</v>
      </c>
      <c r="D296" s="92">
        <v>0</v>
      </c>
      <c r="E296" s="236">
        <v>5178.82</v>
      </c>
      <c r="F296" s="236">
        <v>0</v>
      </c>
      <c r="G296" s="236">
        <v>36504</v>
      </c>
      <c r="H296" s="236"/>
      <c r="I296" s="237">
        <v>685.85</v>
      </c>
      <c r="J296" s="237">
        <v>31989</v>
      </c>
      <c r="K296" s="237">
        <v>2500</v>
      </c>
      <c r="L296" s="236">
        <v>9253</v>
      </c>
      <c r="M296" s="236"/>
      <c r="N296" s="237">
        <v>1279</v>
      </c>
      <c r="O296" s="237">
        <v>11807</v>
      </c>
      <c r="P296" s="237">
        <v>0</v>
      </c>
      <c r="Q296" s="236">
        <v>0</v>
      </c>
      <c r="R296" s="237">
        <f t="shared" si="4"/>
        <v>20182</v>
      </c>
      <c r="S296" s="236"/>
      <c r="T296" s="237">
        <v>9757</v>
      </c>
      <c r="U296" s="238">
        <v>2535</v>
      </c>
      <c r="V296" s="238">
        <v>12292</v>
      </c>
    </row>
    <row r="297" spans="1:22">
      <c r="A297" s="231">
        <v>93108</v>
      </c>
      <c r="B297" s="232" t="s">
        <v>1008</v>
      </c>
      <c r="C297" s="92">
        <v>2.5661999999999998E-3</v>
      </c>
      <c r="D297" s="92">
        <v>2.4540999999999999E-3</v>
      </c>
      <c r="E297" s="236">
        <v>1060594.6199999999</v>
      </c>
      <c r="F297" s="236">
        <v>1101385</v>
      </c>
      <c r="G297" s="236">
        <v>5446336</v>
      </c>
      <c r="H297" s="236"/>
      <c r="I297" s="237">
        <v>102327</v>
      </c>
      <c r="J297" s="237">
        <v>4772727</v>
      </c>
      <c r="K297" s="237">
        <v>373025</v>
      </c>
      <c r="L297" s="236">
        <v>417043</v>
      </c>
      <c r="M297" s="236"/>
      <c r="N297" s="237">
        <v>190846</v>
      </c>
      <c r="O297" s="237">
        <v>1761589</v>
      </c>
      <c r="P297" s="237">
        <v>0</v>
      </c>
      <c r="Q297" s="236">
        <v>0</v>
      </c>
      <c r="R297" s="237">
        <f t="shared" si="4"/>
        <v>3011138</v>
      </c>
      <c r="S297" s="236"/>
      <c r="T297" s="237">
        <v>1455726</v>
      </c>
      <c r="U297" s="238">
        <v>180256</v>
      </c>
      <c r="V297" s="238">
        <v>1635982</v>
      </c>
    </row>
    <row r="298" spans="1:22">
      <c r="A298" s="231">
        <v>93111</v>
      </c>
      <c r="B298" s="232" t="s">
        <v>1009</v>
      </c>
      <c r="C298" s="92">
        <v>7.08E-5</v>
      </c>
      <c r="D298" s="92">
        <v>7.3700000000000002E-5</v>
      </c>
      <c r="E298" s="236">
        <v>24671.1</v>
      </c>
      <c r="F298" s="236">
        <v>33076</v>
      </c>
      <c r="G298" s="236">
        <v>150261</v>
      </c>
      <c r="H298" s="236"/>
      <c r="I298" s="237">
        <v>2823.15</v>
      </c>
      <c r="J298" s="237">
        <v>131677</v>
      </c>
      <c r="K298" s="237">
        <v>10292</v>
      </c>
      <c r="L298" s="236">
        <v>0</v>
      </c>
      <c r="M298" s="236"/>
      <c r="N298" s="237">
        <v>5265</v>
      </c>
      <c r="O298" s="237">
        <v>48601</v>
      </c>
      <c r="P298" s="237">
        <v>0</v>
      </c>
      <c r="Q298" s="236">
        <v>10981</v>
      </c>
      <c r="R298" s="237">
        <f t="shared" si="4"/>
        <v>83076</v>
      </c>
      <c r="S298" s="236"/>
      <c r="T298" s="237">
        <v>40163</v>
      </c>
      <c r="U298" s="238">
        <v>-3536</v>
      </c>
      <c r="V298" s="238">
        <v>36626</v>
      </c>
    </row>
    <row r="299" spans="1:22">
      <c r="A299" s="231">
        <v>93121</v>
      </c>
      <c r="B299" s="232" t="s">
        <v>1010</v>
      </c>
      <c r="C299" s="92">
        <v>5.8900000000000002E-5</v>
      </c>
      <c r="D299" s="92">
        <v>7.4900000000000005E-5</v>
      </c>
      <c r="E299" s="236">
        <v>22115.179999999997</v>
      </c>
      <c r="F299" s="236">
        <v>33615</v>
      </c>
      <c r="G299" s="236">
        <v>125006</v>
      </c>
      <c r="H299" s="236"/>
      <c r="I299" s="237">
        <v>2349</v>
      </c>
      <c r="J299" s="237">
        <v>109545</v>
      </c>
      <c r="K299" s="237">
        <v>8562</v>
      </c>
      <c r="L299" s="236">
        <v>0</v>
      </c>
      <c r="M299" s="236"/>
      <c r="N299" s="237">
        <v>4380</v>
      </c>
      <c r="O299" s="237">
        <v>40432</v>
      </c>
      <c r="P299" s="237">
        <v>0</v>
      </c>
      <c r="Q299" s="236">
        <v>13122</v>
      </c>
      <c r="R299" s="237">
        <f t="shared" si="4"/>
        <v>69113</v>
      </c>
      <c r="S299" s="236"/>
      <c r="T299" s="237">
        <v>33412</v>
      </c>
      <c r="U299" s="238">
        <v>-4063</v>
      </c>
      <c r="V299" s="238">
        <v>29349</v>
      </c>
    </row>
    <row r="300" spans="1:22">
      <c r="A300" s="231">
        <v>93127</v>
      </c>
      <c r="B300" s="232" t="s">
        <v>1011</v>
      </c>
      <c r="C300" s="92">
        <v>6.8000000000000001E-6</v>
      </c>
      <c r="D300" s="92">
        <v>7.7999999999999999E-6</v>
      </c>
      <c r="E300" s="236">
        <v>2814.9600000000005</v>
      </c>
      <c r="F300" s="236">
        <v>3501</v>
      </c>
      <c r="G300" s="236">
        <v>14432</v>
      </c>
      <c r="H300" s="236"/>
      <c r="I300" s="237">
        <v>271</v>
      </c>
      <c r="J300" s="237">
        <v>12647</v>
      </c>
      <c r="K300" s="237">
        <v>988</v>
      </c>
      <c r="L300" s="236">
        <v>0</v>
      </c>
      <c r="M300" s="236"/>
      <c r="N300" s="237">
        <v>506</v>
      </c>
      <c r="O300" s="237">
        <v>4668</v>
      </c>
      <c r="P300" s="237">
        <v>0</v>
      </c>
      <c r="Q300" s="236">
        <v>1132</v>
      </c>
      <c r="R300" s="237">
        <f t="shared" si="4"/>
        <v>7979</v>
      </c>
      <c r="S300" s="236"/>
      <c r="T300" s="237">
        <v>3857</v>
      </c>
      <c r="U300" s="238">
        <v>-400</v>
      </c>
      <c r="V300" s="238">
        <v>3457</v>
      </c>
    </row>
    <row r="301" spans="1:22">
      <c r="A301" s="231">
        <v>93131</v>
      </c>
      <c r="B301" s="232" t="s">
        <v>1012</v>
      </c>
      <c r="C301" s="92">
        <v>2.3939999999999999E-4</v>
      </c>
      <c r="D301" s="92">
        <v>2.3680000000000001E-4</v>
      </c>
      <c r="E301" s="236">
        <v>88659.549999999988</v>
      </c>
      <c r="F301" s="236">
        <v>106274</v>
      </c>
      <c r="G301" s="236">
        <v>508087</v>
      </c>
      <c r="H301" s="236"/>
      <c r="I301" s="237">
        <v>9546</v>
      </c>
      <c r="J301" s="237">
        <v>445246</v>
      </c>
      <c r="K301" s="237">
        <v>34799</v>
      </c>
      <c r="L301" s="236">
        <v>13305</v>
      </c>
      <c r="M301" s="236"/>
      <c r="N301" s="237">
        <v>17804</v>
      </c>
      <c r="O301" s="237">
        <v>164338</v>
      </c>
      <c r="P301" s="237">
        <v>0</v>
      </c>
      <c r="Q301" s="236">
        <v>6369</v>
      </c>
      <c r="R301" s="237">
        <f t="shared" si="4"/>
        <v>280908</v>
      </c>
      <c r="S301" s="236"/>
      <c r="T301" s="237">
        <v>135804</v>
      </c>
      <c r="U301" s="238">
        <v>3767</v>
      </c>
      <c r="V301" s="238">
        <v>139571</v>
      </c>
    </row>
    <row r="302" spans="1:22">
      <c r="A302" s="231">
        <v>93137</v>
      </c>
      <c r="B302" s="232" t="s">
        <v>1013</v>
      </c>
      <c r="C302" s="92">
        <v>1.9E-6</v>
      </c>
      <c r="D302" s="92">
        <v>2.0999999999999998E-6</v>
      </c>
      <c r="E302" s="236">
        <v>1986.6299999999999</v>
      </c>
      <c r="F302" s="236">
        <v>942</v>
      </c>
      <c r="G302" s="236">
        <v>4032</v>
      </c>
      <c r="H302" s="236"/>
      <c r="I302" s="237">
        <v>75.762500000000003</v>
      </c>
      <c r="J302" s="237">
        <v>3534</v>
      </c>
      <c r="K302" s="237">
        <v>276</v>
      </c>
      <c r="L302" s="236">
        <v>1359</v>
      </c>
      <c r="M302" s="236"/>
      <c r="N302" s="237">
        <v>141</v>
      </c>
      <c r="O302" s="237">
        <v>1304</v>
      </c>
      <c r="P302" s="237">
        <v>0</v>
      </c>
      <c r="Q302" s="236">
        <v>0</v>
      </c>
      <c r="R302" s="237">
        <f t="shared" si="4"/>
        <v>2230</v>
      </c>
      <c r="S302" s="236"/>
      <c r="T302" s="237">
        <v>1078</v>
      </c>
      <c r="U302" s="238">
        <v>401</v>
      </c>
      <c r="V302" s="238">
        <v>1479</v>
      </c>
    </row>
    <row r="303" spans="1:22">
      <c r="A303" s="231">
        <v>93141</v>
      </c>
      <c r="B303" s="232" t="s">
        <v>1014</v>
      </c>
      <c r="C303" s="92">
        <v>4.5500000000000001E-5</v>
      </c>
      <c r="D303" s="92">
        <v>4.3399999999999998E-5</v>
      </c>
      <c r="E303" s="236">
        <v>16495.23</v>
      </c>
      <c r="F303" s="236">
        <v>19478</v>
      </c>
      <c r="G303" s="236">
        <v>96566</v>
      </c>
      <c r="H303" s="236"/>
      <c r="I303" s="237">
        <v>1814.3125</v>
      </c>
      <c r="J303" s="237">
        <v>84623</v>
      </c>
      <c r="K303" s="237">
        <v>6614</v>
      </c>
      <c r="L303" s="236">
        <v>4186.96</v>
      </c>
      <c r="M303" s="236"/>
      <c r="N303" s="237">
        <v>3384</v>
      </c>
      <c r="O303" s="237">
        <v>31234</v>
      </c>
      <c r="P303" s="237">
        <v>0</v>
      </c>
      <c r="Q303" s="236">
        <v>3505</v>
      </c>
      <c r="R303" s="237">
        <f t="shared" si="4"/>
        <v>53389</v>
      </c>
      <c r="S303" s="236"/>
      <c r="T303" s="237">
        <v>25811</v>
      </c>
      <c r="U303" s="238">
        <v>920</v>
      </c>
      <c r="V303" s="238">
        <v>26731</v>
      </c>
    </row>
    <row r="304" spans="1:22">
      <c r="A304" s="231">
        <v>93151</v>
      </c>
      <c r="B304" s="232" t="s">
        <v>1015</v>
      </c>
      <c r="C304" s="92">
        <v>3.6539999999999999E-4</v>
      </c>
      <c r="D304" s="92">
        <v>3.524E-4</v>
      </c>
      <c r="E304" s="236">
        <v>137522.13</v>
      </c>
      <c r="F304" s="236">
        <v>158155</v>
      </c>
      <c r="G304" s="236">
        <v>775501</v>
      </c>
      <c r="H304" s="236"/>
      <c r="I304" s="237">
        <v>14570</v>
      </c>
      <c r="J304" s="237">
        <v>679586</v>
      </c>
      <c r="K304" s="237">
        <v>53115</v>
      </c>
      <c r="L304" s="236">
        <v>5881</v>
      </c>
      <c r="M304" s="236"/>
      <c r="N304" s="237">
        <v>27174</v>
      </c>
      <c r="O304" s="237">
        <v>250832</v>
      </c>
      <c r="P304" s="237">
        <v>0</v>
      </c>
      <c r="Q304" s="236">
        <v>6297</v>
      </c>
      <c r="R304" s="237">
        <f t="shared" si="4"/>
        <v>428754</v>
      </c>
      <c r="S304" s="236"/>
      <c r="T304" s="237">
        <v>207280</v>
      </c>
      <c r="U304" s="238">
        <v>-329</v>
      </c>
      <c r="V304" s="238">
        <v>206951</v>
      </c>
    </row>
    <row r="305" spans="1:22">
      <c r="A305" s="231">
        <v>93157</v>
      </c>
      <c r="B305" s="232" t="s">
        <v>1016</v>
      </c>
      <c r="C305" s="92">
        <v>3.8E-6</v>
      </c>
      <c r="D305" s="92">
        <v>2.3999999999999999E-6</v>
      </c>
      <c r="E305" s="236">
        <v>4368.87</v>
      </c>
      <c r="F305" s="236">
        <v>1077</v>
      </c>
      <c r="G305" s="236">
        <v>8065</v>
      </c>
      <c r="H305" s="236"/>
      <c r="I305" s="237">
        <v>151.52500000000001</v>
      </c>
      <c r="J305" s="237">
        <v>7067</v>
      </c>
      <c r="K305" s="237">
        <v>552</v>
      </c>
      <c r="L305" s="236">
        <v>5676</v>
      </c>
      <c r="M305" s="236"/>
      <c r="N305" s="237">
        <v>283</v>
      </c>
      <c r="O305" s="237">
        <v>2609</v>
      </c>
      <c r="P305" s="237">
        <v>0</v>
      </c>
      <c r="Q305" s="236">
        <v>526</v>
      </c>
      <c r="R305" s="237">
        <f t="shared" si="4"/>
        <v>4458</v>
      </c>
      <c r="S305" s="236"/>
      <c r="T305" s="237">
        <v>2156</v>
      </c>
      <c r="U305" s="238">
        <v>1938</v>
      </c>
      <c r="V305" s="238">
        <v>4094</v>
      </c>
    </row>
    <row r="306" spans="1:22">
      <c r="A306" s="231">
        <v>93161</v>
      </c>
      <c r="B306" s="232" t="s">
        <v>1017</v>
      </c>
      <c r="C306" s="92">
        <v>6.2500000000000001E-5</v>
      </c>
      <c r="D306" s="92">
        <v>7.4400000000000006E-5</v>
      </c>
      <c r="E306" s="236">
        <v>37835.030000000006</v>
      </c>
      <c r="F306" s="236">
        <v>33390</v>
      </c>
      <c r="G306" s="236">
        <v>132646</v>
      </c>
      <c r="H306" s="236"/>
      <c r="I306" s="237">
        <v>2492.1875</v>
      </c>
      <c r="J306" s="237">
        <v>116240</v>
      </c>
      <c r="K306" s="237">
        <v>9085.0625</v>
      </c>
      <c r="L306" s="236">
        <v>14075</v>
      </c>
      <c r="M306" s="236"/>
      <c r="N306" s="237">
        <v>4648.0625</v>
      </c>
      <c r="O306" s="237">
        <v>42903.625</v>
      </c>
      <c r="P306" s="237">
        <v>0</v>
      </c>
      <c r="Q306" s="236">
        <v>0</v>
      </c>
      <c r="R306" s="237">
        <f t="shared" si="4"/>
        <v>73336.375</v>
      </c>
      <c r="S306" s="236"/>
      <c r="T306" s="237">
        <v>35454</v>
      </c>
      <c r="U306" s="238">
        <v>6018</v>
      </c>
      <c r="V306" s="238">
        <v>41472</v>
      </c>
    </row>
    <row r="307" spans="1:22">
      <c r="A307" s="231">
        <v>93171</v>
      </c>
      <c r="B307" s="232" t="s">
        <v>1018</v>
      </c>
      <c r="C307" s="92">
        <v>5.8000000000000004E-6</v>
      </c>
      <c r="D307" s="92">
        <v>6.1999999999999999E-6</v>
      </c>
      <c r="E307" s="236">
        <v>3823.8999999999996</v>
      </c>
      <c r="F307" s="236">
        <v>2783</v>
      </c>
      <c r="G307" s="236">
        <v>12310</v>
      </c>
      <c r="H307" s="236"/>
      <c r="I307" s="237">
        <v>231.27500000000001</v>
      </c>
      <c r="J307" s="237">
        <v>10787</v>
      </c>
      <c r="K307" s="237">
        <v>843</v>
      </c>
      <c r="L307" s="236">
        <v>1752</v>
      </c>
      <c r="M307" s="236"/>
      <c r="N307" s="237">
        <v>431</v>
      </c>
      <c r="O307" s="237">
        <v>3981</v>
      </c>
      <c r="P307" s="237">
        <v>0</v>
      </c>
      <c r="Q307" s="236">
        <v>0</v>
      </c>
      <c r="R307" s="237">
        <f t="shared" si="4"/>
        <v>6806</v>
      </c>
      <c r="S307" s="236"/>
      <c r="T307" s="237">
        <v>3290</v>
      </c>
      <c r="U307" s="238">
        <v>591</v>
      </c>
      <c r="V307" s="238">
        <v>3881</v>
      </c>
    </row>
    <row r="308" spans="1:22">
      <c r="A308" s="231">
        <v>93181</v>
      </c>
      <c r="B308" s="232" t="s">
        <v>1019</v>
      </c>
      <c r="C308" s="92">
        <v>1.1E-5</v>
      </c>
      <c r="D308" s="92">
        <v>1.0499999999999999E-5</v>
      </c>
      <c r="E308" s="236">
        <v>4374.0300000000007</v>
      </c>
      <c r="F308" s="236">
        <v>4712</v>
      </c>
      <c r="G308" s="236">
        <v>23346</v>
      </c>
      <c r="H308" s="236"/>
      <c r="I308" s="237">
        <v>438.625</v>
      </c>
      <c r="J308" s="237">
        <v>20458</v>
      </c>
      <c r="K308" s="237">
        <v>1599</v>
      </c>
      <c r="L308" s="236">
        <v>743</v>
      </c>
      <c r="M308" s="236"/>
      <c r="N308" s="237">
        <v>818</v>
      </c>
      <c r="O308" s="237">
        <v>7551</v>
      </c>
      <c r="P308" s="237">
        <v>0</v>
      </c>
      <c r="Q308" s="236">
        <v>44</v>
      </c>
      <c r="R308" s="237">
        <f t="shared" si="4"/>
        <v>12907</v>
      </c>
      <c r="S308" s="236"/>
      <c r="T308" s="237">
        <v>6240</v>
      </c>
      <c r="U308" s="238">
        <v>321</v>
      </c>
      <c r="V308" s="238">
        <v>6561</v>
      </c>
    </row>
    <row r="309" spans="1:22">
      <c r="A309" s="231">
        <v>93191</v>
      </c>
      <c r="B309" s="232" t="s">
        <v>1020</v>
      </c>
      <c r="C309" s="92">
        <v>3.3000000000000003E-5</v>
      </c>
      <c r="D309" s="92">
        <v>3.65E-5</v>
      </c>
      <c r="E309" s="236">
        <v>16019.919999999998</v>
      </c>
      <c r="F309" s="236">
        <v>16381</v>
      </c>
      <c r="G309" s="236">
        <v>70037</v>
      </c>
      <c r="H309" s="236"/>
      <c r="I309" s="237">
        <v>1315.875</v>
      </c>
      <c r="J309" s="237">
        <v>61375</v>
      </c>
      <c r="K309" s="237">
        <v>4797</v>
      </c>
      <c r="L309" s="236">
        <v>2648</v>
      </c>
      <c r="M309" s="236"/>
      <c r="N309" s="237">
        <v>2454</v>
      </c>
      <c r="O309" s="237">
        <v>22653</v>
      </c>
      <c r="P309" s="237">
        <v>0</v>
      </c>
      <c r="Q309" s="236">
        <v>1301.46</v>
      </c>
      <c r="R309" s="237">
        <f t="shared" si="4"/>
        <v>38722</v>
      </c>
      <c r="S309" s="236"/>
      <c r="T309" s="237">
        <v>18720</v>
      </c>
      <c r="U309" s="238">
        <v>280</v>
      </c>
      <c r="V309" s="238">
        <v>19000</v>
      </c>
    </row>
    <row r="310" spans="1:22">
      <c r="A310" s="231">
        <v>93201</v>
      </c>
      <c r="B310" s="232" t="s">
        <v>1021</v>
      </c>
      <c r="C310" s="92">
        <v>1.5819699999999999E-2</v>
      </c>
      <c r="D310" s="92">
        <v>1.50364E-2</v>
      </c>
      <c r="E310" s="236">
        <v>6525566.7400000002</v>
      </c>
      <c r="F310" s="236">
        <v>6748246</v>
      </c>
      <c r="G310" s="236">
        <v>33574703</v>
      </c>
      <c r="H310" s="236"/>
      <c r="I310" s="237">
        <v>630811</v>
      </c>
      <c r="J310" s="237">
        <v>29422142</v>
      </c>
      <c r="K310" s="237">
        <v>2299567</v>
      </c>
      <c r="L310" s="236">
        <v>1259115</v>
      </c>
      <c r="M310" s="236"/>
      <c r="N310" s="237">
        <v>1176495</v>
      </c>
      <c r="O310" s="237">
        <v>10859560</v>
      </c>
      <c r="P310" s="237">
        <v>0</v>
      </c>
      <c r="Q310" s="236">
        <v>0</v>
      </c>
      <c r="R310" s="237">
        <f t="shared" si="4"/>
        <v>18562582</v>
      </c>
      <c r="S310" s="236"/>
      <c r="T310" s="237">
        <v>8974025</v>
      </c>
      <c r="U310" s="238">
        <v>449569</v>
      </c>
      <c r="V310" s="238">
        <v>9423595</v>
      </c>
    </row>
    <row r="311" spans="1:22">
      <c r="A311" s="231">
        <v>93202</v>
      </c>
      <c r="B311" s="232" t="s">
        <v>1022</v>
      </c>
      <c r="C311" s="92">
        <v>0</v>
      </c>
      <c r="D311" s="92">
        <v>2.076E-4</v>
      </c>
      <c r="E311" s="236">
        <v>0</v>
      </c>
      <c r="F311" s="236">
        <v>93170</v>
      </c>
      <c r="G311" s="236">
        <v>0</v>
      </c>
      <c r="H311" s="236"/>
      <c r="I311" s="237">
        <v>0</v>
      </c>
      <c r="J311" s="237">
        <v>0</v>
      </c>
      <c r="K311" s="237">
        <v>0</v>
      </c>
      <c r="L311" s="236">
        <v>0</v>
      </c>
      <c r="M311" s="236"/>
      <c r="N311" s="237">
        <v>0</v>
      </c>
      <c r="O311" s="237">
        <v>0</v>
      </c>
      <c r="P311" s="237">
        <v>0</v>
      </c>
      <c r="Q311" s="236">
        <v>322063</v>
      </c>
      <c r="R311" s="237">
        <f t="shared" si="4"/>
        <v>0</v>
      </c>
      <c r="S311" s="236"/>
      <c r="T311" s="237">
        <v>0</v>
      </c>
      <c r="U311" s="238">
        <v>-109544</v>
      </c>
      <c r="V311" s="238">
        <v>-109544</v>
      </c>
    </row>
    <row r="312" spans="1:22">
      <c r="A312" s="231">
        <v>93204</v>
      </c>
      <c r="B312" s="232" t="s">
        <v>1023</v>
      </c>
      <c r="C312" s="92">
        <v>2.9480000000000001E-4</v>
      </c>
      <c r="D312" s="92">
        <v>3.168E-4</v>
      </c>
      <c r="E312" s="236">
        <v>128269.05999999998</v>
      </c>
      <c r="F312" s="236">
        <v>142178</v>
      </c>
      <c r="G312" s="236">
        <v>625664</v>
      </c>
      <c r="H312" s="236"/>
      <c r="I312" s="237">
        <v>11755.15</v>
      </c>
      <c r="J312" s="237">
        <v>548281</v>
      </c>
      <c r="K312" s="237">
        <v>42852</v>
      </c>
      <c r="L312" s="236">
        <v>6159</v>
      </c>
      <c r="M312" s="236"/>
      <c r="N312" s="237">
        <v>21924</v>
      </c>
      <c r="O312" s="237">
        <v>202368</v>
      </c>
      <c r="P312" s="237">
        <v>0</v>
      </c>
      <c r="Q312" s="236">
        <v>15903</v>
      </c>
      <c r="R312" s="237">
        <f t="shared" si="4"/>
        <v>345913</v>
      </c>
      <c r="S312" s="236"/>
      <c r="T312" s="237">
        <v>167231</v>
      </c>
      <c r="U312" s="238">
        <v>-4266</v>
      </c>
      <c r="V312" s="238">
        <v>162965</v>
      </c>
    </row>
    <row r="313" spans="1:22">
      <c r="A313" s="231">
        <v>93209</v>
      </c>
      <c r="B313" s="232" t="s">
        <v>1024</v>
      </c>
      <c r="C313" s="92">
        <v>4.5113999999999996E-3</v>
      </c>
      <c r="D313" s="92">
        <v>3.4578999999999999E-3</v>
      </c>
      <c r="E313" s="236">
        <v>1625225.44</v>
      </c>
      <c r="F313" s="236">
        <v>1551885</v>
      </c>
      <c r="G313" s="236">
        <v>9574702</v>
      </c>
      <c r="H313" s="236"/>
      <c r="I313" s="237">
        <v>179892</v>
      </c>
      <c r="J313" s="237">
        <v>8390491</v>
      </c>
      <c r="K313" s="237">
        <v>655782</v>
      </c>
      <c r="L313" s="236">
        <v>1306118</v>
      </c>
      <c r="M313" s="236"/>
      <c r="N313" s="237">
        <v>335508</v>
      </c>
      <c r="O313" s="237">
        <v>3096887</v>
      </c>
      <c r="P313" s="237">
        <v>0</v>
      </c>
      <c r="Q313" s="236">
        <v>0</v>
      </c>
      <c r="R313" s="237">
        <f t="shared" si="4"/>
        <v>5293604</v>
      </c>
      <c r="S313" s="236"/>
      <c r="T313" s="237">
        <v>2559177</v>
      </c>
      <c r="U313" s="238">
        <v>534418</v>
      </c>
      <c r="V313" s="238">
        <v>3093596</v>
      </c>
    </row>
    <row r="314" spans="1:22">
      <c r="A314" s="231">
        <v>93211</v>
      </c>
      <c r="B314" s="232" t="s">
        <v>1025</v>
      </c>
      <c r="C314" s="92">
        <v>2.0456800000000001E-2</v>
      </c>
      <c r="D314" s="92">
        <v>2.1372599999999999E-2</v>
      </c>
      <c r="E314" s="236">
        <v>8152807.0799999982</v>
      </c>
      <c r="F314" s="236">
        <v>9591895</v>
      </c>
      <c r="G314" s="236">
        <v>43416183</v>
      </c>
      <c r="H314" s="236"/>
      <c r="I314" s="237">
        <v>815714.9</v>
      </c>
      <c r="J314" s="237">
        <v>38046416</v>
      </c>
      <c r="K314" s="237">
        <v>2973621</v>
      </c>
      <c r="L314" s="236">
        <v>0</v>
      </c>
      <c r="M314" s="236"/>
      <c r="N314" s="237">
        <v>1521352</v>
      </c>
      <c r="O314" s="237">
        <v>14042734</v>
      </c>
      <c r="P314" s="237">
        <v>0</v>
      </c>
      <c r="Q314" s="236">
        <v>1405603</v>
      </c>
      <c r="R314" s="237">
        <f t="shared" si="4"/>
        <v>24003682</v>
      </c>
      <c r="S314" s="236"/>
      <c r="T314" s="237">
        <v>11604508</v>
      </c>
      <c r="U314" s="238">
        <v>-488705</v>
      </c>
      <c r="V314" s="238">
        <v>11115804</v>
      </c>
    </row>
    <row r="315" spans="1:22">
      <c r="A315" s="231">
        <v>93212</v>
      </c>
      <c r="B315" s="232" t="s">
        <v>1026</v>
      </c>
      <c r="C315" s="92">
        <v>2.052E-4</v>
      </c>
      <c r="D315" s="92">
        <v>2.129E-4</v>
      </c>
      <c r="E315" s="236">
        <v>169265.99</v>
      </c>
      <c r="F315" s="236">
        <v>95548</v>
      </c>
      <c r="G315" s="236">
        <v>435503</v>
      </c>
      <c r="H315" s="236"/>
      <c r="I315" s="237">
        <v>8182.35</v>
      </c>
      <c r="J315" s="237">
        <v>381640</v>
      </c>
      <c r="K315" s="237">
        <v>29828</v>
      </c>
      <c r="L315" s="236">
        <v>106395</v>
      </c>
      <c r="M315" s="236"/>
      <c r="N315" s="237">
        <v>15261</v>
      </c>
      <c r="O315" s="237">
        <v>140861</v>
      </c>
      <c r="P315" s="237">
        <v>0</v>
      </c>
      <c r="Q315" s="236">
        <v>0</v>
      </c>
      <c r="R315" s="237">
        <f t="shared" si="4"/>
        <v>240779</v>
      </c>
      <c r="S315" s="236"/>
      <c r="T315" s="237">
        <v>116404</v>
      </c>
      <c r="U315" s="238">
        <v>32351</v>
      </c>
      <c r="V315" s="238">
        <v>148755</v>
      </c>
    </row>
    <row r="316" spans="1:22">
      <c r="A316" s="231">
        <v>93219</v>
      </c>
      <c r="B316" s="232" t="s">
        <v>1027</v>
      </c>
      <c r="C316" s="92">
        <v>2.286E-4</v>
      </c>
      <c r="D316" s="92">
        <v>2.41E-4</v>
      </c>
      <c r="E316" s="236">
        <v>96646.59</v>
      </c>
      <c r="F316" s="236">
        <v>108159</v>
      </c>
      <c r="G316" s="236">
        <v>485166</v>
      </c>
      <c r="H316" s="236"/>
      <c r="I316" s="237">
        <v>9115</v>
      </c>
      <c r="J316" s="237">
        <v>425160</v>
      </c>
      <c r="K316" s="237">
        <v>33230</v>
      </c>
      <c r="L316" s="236">
        <v>243</v>
      </c>
      <c r="M316" s="236"/>
      <c r="N316" s="237">
        <v>17001</v>
      </c>
      <c r="O316" s="237">
        <v>156924</v>
      </c>
      <c r="P316" s="237">
        <v>0</v>
      </c>
      <c r="Q316" s="236">
        <v>13406</v>
      </c>
      <c r="R316" s="237">
        <f t="shared" si="4"/>
        <v>268236</v>
      </c>
      <c r="S316" s="236"/>
      <c r="T316" s="237">
        <v>129678</v>
      </c>
      <c r="U316" s="238">
        <v>-4190</v>
      </c>
      <c r="V316" s="238">
        <v>125487</v>
      </c>
    </row>
    <row r="317" spans="1:22">
      <c r="A317" s="231">
        <v>93301</v>
      </c>
      <c r="B317" s="232" t="s">
        <v>1028</v>
      </c>
      <c r="C317" s="92">
        <v>2.5330999999999999E-3</v>
      </c>
      <c r="D317" s="92">
        <v>2.4084000000000002E-3</v>
      </c>
      <c r="E317" s="236">
        <v>1037164.56</v>
      </c>
      <c r="F317" s="236">
        <v>1080875</v>
      </c>
      <c r="G317" s="236">
        <v>5376087</v>
      </c>
      <c r="H317" s="236"/>
      <c r="I317" s="237">
        <v>101007</v>
      </c>
      <c r="J317" s="237">
        <v>4711166</v>
      </c>
      <c r="K317" s="237">
        <v>368214</v>
      </c>
      <c r="L317" s="236">
        <v>63934</v>
      </c>
      <c r="M317" s="236"/>
      <c r="N317" s="237">
        <v>188384</v>
      </c>
      <c r="O317" s="237">
        <v>1738867</v>
      </c>
      <c r="P317" s="237">
        <v>0</v>
      </c>
      <c r="Q317" s="236">
        <v>85549</v>
      </c>
      <c r="R317" s="237">
        <f t="shared" si="4"/>
        <v>2972299</v>
      </c>
      <c r="S317" s="236"/>
      <c r="T317" s="237">
        <v>1436949</v>
      </c>
      <c r="U317" s="238">
        <v>-17290</v>
      </c>
      <c r="V317" s="238">
        <v>1419659</v>
      </c>
    </row>
    <row r="318" spans="1:22">
      <c r="A318" s="231">
        <v>93304</v>
      </c>
      <c r="B318" s="232" t="s">
        <v>1029</v>
      </c>
      <c r="C318" s="92">
        <v>3.4400000000000003E-5</v>
      </c>
      <c r="D318" s="92">
        <v>3.3399999999999999E-5</v>
      </c>
      <c r="E318" s="236">
        <v>16338.839999999998</v>
      </c>
      <c r="F318" s="236">
        <v>14990</v>
      </c>
      <c r="G318" s="236">
        <v>73008</v>
      </c>
      <c r="H318" s="236"/>
      <c r="I318" s="237">
        <v>1371.7</v>
      </c>
      <c r="J318" s="237">
        <v>63979</v>
      </c>
      <c r="K318" s="237">
        <v>5000</v>
      </c>
      <c r="L318" s="236">
        <v>13604</v>
      </c>
      <c r="M318" s="236"/>
      <c r="N318" s="237">
        <v>2558</v>
      </c>
      <c r="O318" s="237">
        <v>23614</v>
      </c>
      <c r="P318" s="237">
        <v>0</v>
      </c>
      <c r="Q318" s="236">
        <v>0</v>
      </c>
      <c r="R318" s="237">
        <f t="shared" si="4"/>
        <v>40365</v>
      </c>
      <c r="S318" s="236"/>
      <c r="T318" s="237">
        <v>19514</v>
      </c>
      <c r="U318" s="238">
        <v>4940</v>
      </c>
      <c r="V318" s="238">
        <v>24454</v>
      </c>
    </row>
    <row r="319" spans="1:22">
      <c r="A319" s="231">
        <v>93305</v>
      </c>
      <c r="B319" s="232" t="s">
        <v>1030</v>
      </c>
      <c r="C319" s="92">
        <v>4.9400000000000001E-5</v>
      </c>
      <c r="D319" s="92">
        <v>5.13E-5</v>
      </c>
      <c r="E319" s="236">
        <v>18489</v>
      </c>
      <c r="F319" s="236">
        <v>23023</v>
      </c>
      <c r="G319" s="236">
        <v>104843</v>
      </c>
      <c r="H319" s="236"/>
      <c r="I319" s="237">
        <v>1969.825</v>
      </c>
      <c r="J319" s="237">
        <v>91876</v>
      </c>
      <c r="K319" s="237">
        <v>7181</v>
      </c>
      <c r="L319" s="236">
        <v>0</v>
      </c>
      <c r="M319" s="236"/>
      <c r="N319" s="237">
        <v>3674</v>
      </c>
      <c r="O319" s="237">
        <v>33911</v>
      </c>
      <c r="P319" s="237">
        <v>0</v>
      </c>
      <c r="Q319" s="236">
        <v>3536</v>
      </c>
      <c r="R319" s="237">
        <f t="shared" si="4"/>
        <v>57965</v>
      </c>
      <c r="S319" s="236"/>
      <c r="T319" s="237">
        <v>28023</v>
      </c>
      <c r="U319" s="238">
        <v>-1124</v>
      </c>
      <c r="V319" s="238">
        <v>26899</v>
      </c>
    </row>
    <row r="320" spans="1:22">
      <c r="A320" s="231">
        <v>93309</v>
      </c>
      <c r="B320" s="232" t="s">
        <v>1031</v>
      </c>
      <c r="C320" s="92">
        <v>1.716E-4</v>
      </c>
      <c r="D320" s="92">
        <v>1.5359999999999999E-4</v>
      </c>
      <c r="E320" s="236">
        <v>79731.47</v>
      </c>
      <c r="F320" s="236">
        <v>68935</v>
      </c>
      <c r="G320" s="236">
        <v>364193</v>
      </c>
      <c r="H320" s="236"/>
      <c r="I320" s="237">
        <v>6842.55</v>
      </c>
      <c r="J320" s="237">
        <v>319149</v>
      </c>
      <c r="K320" s="237">
        <v>24944</v>
      </c>
      <c r="L320" s="236">
        <v>23583</v>
      </c>
      <c r="M320" s="236"/>
      <c r="N320" s="237">
        <v>12762</v>
      </c>
      <c r="O320" s="237">
        <v>117796</v>
      </c>
      <c r="P320" s="237">
        <v>0</v>
      </c>
      <c r="Q320" s="236">
        <v>1972</v>
      </c>
      <c r="R320" s="237">
        <f t="shared" si="4"/>
        <v>201353</v>
      </c>
      <c r="S320" s="236"/>
      <c r="T320" s="237">
        <v>97343</v>
      </c>
      <c r="U320" s="238">
        <v>5745</v>
      </c>
      <c r="V320" s="238">
        <v>103088</v>
      </c>
    </row>
    <row r="321" spans="1:22">
      <c r="A321" s="231">
        <v>93311</v>
      </c>
      <c r="B321" s="232" t="s">
        <v>1032</v>
      </c>
      <c r="C321" s="92">
        <v>1.1567000000000001E-3</v>
      </c>
      <c r="D321" s="92">
        <v>1.2727000000000001E-3</v>
      </c>
      <c r="E321" s="236">
        <v>452858.55</v>
      </c>
      <c r="F321" s="236">
        <v>571180</v>
      </c>
      <c r="G321" s="236">
        <v>2454905</v>
      </c>
      <c r="H321" s="236"/>
      <c r="I321" s="237">
        <v>46123</v>
      </c>
      <c r="J321" s="237">
        <v>2151279</v>
      </c>
      <c r="K321" s="237">
        <v>168139</v>
      </c>
      <c r="L321" s="236">
        <v>0</v>
      </c>
      <c r="M321" s="236"/>
      <c r="N321" s="237">
        <v>86023</v>
      </c>
      <c r="O321" s="237">
        <v>794026</v>
      </c>
      <c r="P321" s="237">
        <v>0</v>
      </c>
      <c r="Q321" s="236">
        <v>121847</v>
      </c>
      <c r="R321" s="237">
        <f t="shared" si="4"/>
        <v>1357253</v>
      </c>
      <c r="S321" s="236"/>
      <c r="T321" s="237">
        <v>656160</v>
      </c>
      <c r="U321" s="238">
        <v>-38102</v>
      </c>
      <c r="V321" s="238">
        <v>618058</v>
      </c>
    </row>
    <row r="322" spans="1:22">
      <c r="A322" s="231">
        <v>93317</v>
      </c>
      <c r="B322" s="232" t="s">
        <v>1033</v>
      </c>
      <c r="C322" s="92">
        <v>4.8099999999999997E-5</v>
      </c>
      <c r="D322" s="92">
        <v>4.6600000000000001E-5</v>
      </c>
      <c r="E322" s="236">
        <v>19408.619999999995</v>
      </c>
      <c r="F322" s="236">
        <v>20914</v>
      </c>
      <c r="G322" s="236">
        <v>102084</v>
      </c>
      <c r="H322" s="236"/>
      <c r="I322" s="237">
        <v>1918</v>
      </c>
      <c r="J322" s="237">
        <v>89458</v>
      </c>
      <c r="K322" s="237">
        <v>6992</v>
      </c>
      <c r="L322" s="236">
        <v>606</v>
      </c>
      <c r="M322" s="236"/>
      <c r="N322" s="237">
        <v>3577</v>
      </c>
      <c r="O322" s="237">
        <v>33019</v>
      </c>
      <c r="P322" s="237">
        <v>0</v>
      </c>
      <c r="Q322" s="236">
        <v>557</v>
      </c>
      <c r="R322" s="237">
        <f t="shared" si="4"/>
        <v>56439</v>
      </c>
      <c r="S322" s="236"/>
      <c r="T322" s="237">
        <v>27286</v>
      </c>
      <c r="U322" s="238">
        <v>-115</v>
      </c>
      <c r="V322" s="238">
        <v>27171</v>
      </c>
    </row>
    <row r="323" spans="1:22">
      <c r="A323" s="231">
        <v>93321</v>
      </c>
      <c r="B323" s="232" t="s">
        <v>1034</v>
      </c>
      <c r="C323" s="92">
        <v>7.4706E-3</v>
      </c>
      <c r="D323" s="92">
        <v>7.7070000000000003E-3</v>
      </c>
      <c r="E323" s="236">
        <v>2840093.51</v>
      </c>
      <c r="F323" s="236">
        <v>3458855</v>
      </c>
      <c r="G323" s="236">
        <v>15855116</v>
      </c>
      <c r="H323" s="236"/>
      <c r="I323" s="237">
        <v>297890</v>
      </c>
      <c r="J323" s="237">
        <v>13894136</v>
      </c>
      <c r="K323" s="237">
        <v>1085934</v>
      </c>
      <c r="L323" s="236">
        <v>0</v>
      </c>
      <c r="M323" s="236"/>
      <c r="N323" s="237">
        <v>555581</v>
      </c>
      <c r="O323" s="237">
        <v>5128253</v>
      </c>
      <c r="P323" s="237">
        <v>0</v>
      </c>
      <c r="Q323" s="236">
        <v>746070</v>
      </c>
      <c r="R323" s="237">
        <f t="shared" si="4"/>
        <v>8765883</v>
      </c>
      <c r="S323" s="236"/>
      <c r="T323" s="237">
        <v>4237840</v>
      </c>
      <c r="U323" s="238">
        <v>-276901</v>
      </c>
      <c r="V323" s="238">
        <v>3960939</v>
      </c>
    </row>
    <row r="324" spans="1:22">
      <c r="A324" s="231">
        <v>93323</v>
      </c>
      <c r="B324" s="232" t="s">
        <v>1035</v>
      </c>
      <c r="C324" s="92">
        <v>1.0200000000000001E-5</v>
      </c>
      <c r="D324" s="92">
        <v>1.4600000000000001E-5</v>
      </c>
      <c r="E324" s="236">
        <v>5325.71</v>
      </c>
      <c r="F324" s="236">
        <v>6552</v>
      </c>
      <c r="G324" s="236">
        <v>21648</v>
      </c>
      <c r="H324" s="236"/>
      <c r="I324" s="237">
        <v>406.72500000000002</v>
      </c>
      <c r="J324" s="237">
        <v>18970</v>
      </c>
      <c r="K324" s="237">
        <v>1483</v>
      </c>
      <c r="L324" s="236">
        <v>2836</v>
      </c>
      <c r="M324" s="236"/>
      <c r="N324" s="237">
        <v>759</v>
      </c>
      <c r="O324" s="237">
        <v>7002</v>
      </c>
      <c r="P324" s="237">
        <v>0</v>
      </c>
      <c r="Q324" s="236">
        <v>1485</v>
      </c>
      <c r="R324" s="237">
        <f t="shared" si="4"/>
        <v>11968</v>
      </c>
      <c r="S324" s="236"/>
      <c r="T324" s="237">
        <v>5786</v>
      </c>
      <c r="U324" s="238">
        <v>784</v>
      </c>
      <c r="V324" s="238">
        <v>6570</v>
      </c>
    </row>
    <row r="325" spans="1:22">
      <c r="A325" s="231">
        <v>93331</v>
      </c>
      <c r="B325" s="232" t="s">
        <v>1036</v>
      </c>
      <c r="C325" s="92">
        <v>1.3090000000000001E-4</v>
      </c>
      <c r="D325" s="92">
        <v>1.1909999999999999E-4</v>
      </c>
      <c r="E325" s="236">
        <v>46762.55</v>
      </c>
      <c r="F325" s="236">
        <v>53451</v>
      </c>
      <c r="G325" s="236">
        <v>277814</v>
      </c>
      <c r="H325" s="236"/>
      <c r="I325" s="237">
        <v>5220</v>
      </c>
      <c r="J325" s="237">
        <v>243453</v>
      </c>
      <c r="K325" s="237">
        <v>19028</v>
      </c>
      <c r="L325" s="236">
        <v>4668</v>
      </c>
      <c r="M325" s="236"/>
      <c r="N325" s="237">
        <v>9735</v>
      </c>
      <c r="O325" s="237">
        <v>89857</v>
      </c>
      <c r="P325" s="237">
        <v>0</v>
      </c>
      <c r="Q325" s="236">
        <v>9208</v>
      </c>
      <c r="R325" s="237">
        <f t="shared" si="4"/>
        <v>153596</v>
      </c>
      <c r="S325" s="236"/>
      <c r="T325" s="237">
        <v>74256</v>
      </c>
      <c r="U325" s="238">
        <v>-1109</v>
      </c>
      <c r="V325" s="238">
        <v>73147</v>
      </c>
    </row>
    <row r="326" spans="1:22">
      <c r="A326" s="231">
        <v>93333</v>
      </c>
      <c r="B326" s="232" t="s">
        <v>1037</v>
      </c>
      <c r="C326" s="92">
        <v>1.9990000000000001E-4</v>
      </c>
      <c r="D326" s="92">
        <v>2.1479999999999999E-4</v>
      </c>
      <c r="E326" s="236">
        <v>201284.12</v>
      </c>
      <c r="F326" s="236">
        <v>96401</v>
      </c>
      <c r="G326" s="236">
        <v>424255</v>
      </c>
      <c r="H326" s="236"/>
      <c r="I326" s="237">
        <v>7971</v>
      </c>
      <c r="J326" s="237">
        <v>371782</v>
      </c>
      <c r="K326" s="237">
        <v>29058</v>
      </c>
      <c r="L326" s="236">
        <v>178353</v>
      </c>
      <c r="M326" s="236"/>
      <c r="N326" s="237">
        <v>14866</v>
      </c>
      <c r="O326" s="237">
        <v>137223</v>
      </c>
      <c r="P326" s="237">
        <v>0</v>
      </c>
      <c r="Q326" s="236">
        <v>0</v>
      </c>
      <c r="R326" s="237">
        <f t="shared" si="4"/>
        <v>234559</v>
      </c>
      <c r="S326" s="236"/>
      <c r="T326" s="237">
        <v>113397</v>
      </c>
      <c r="U326" s="238">
        <v>56479</v>
      </c>
      <c r="V326" s="238">
        <v>169876</v>
      </c>
    </row>
    <row r="327" spans="1:22">
      <c r="A327" s="231">
        <v>93341</v>
      </c>
      <c r="B327" s="232" t="s">
        <v>1038</v>
      </c>
      <c r="C327" s="92">
        <v>2.73E-5</v>
      </c>
      <c r="D327" s="92">
        <v>2.6699999999999998E-5</v>
      </c>
      <c r="E327" s="236">
        <v>12880.649999999998</v>
      </c>
      <c r="F327" s="236">
        <v>11983</v>
      </c>
      <c r="G327" s="236">
        <v>57940</v>
      </c>
      <c r="H327" s="236"/>
      <c r="I327" s="237">
        <v>1089</v>
      </c>
      <c r="J327" s="237">
        <v>50774</v>
      </c>
      <c r="K327" s="237">
        <v>3968</v>
      </c>
      <c r="L327" s="236">
        <v>2789</v>
      </c>
      <c r="M327" s="236"/>
      <c r="N327" s="237">
        <v>2030</v>
      </c>
      <c r="O327" s="237">
        <v>18740</v>
      </c>
      <c r="P327" s="237">
        <v>0</v>
      </c>
      <c r="Q327" s="236">
        <v>0</v>
      </c>
      <c r="R327" s="237">
        <f t="shared" si="4"/>
        <v>32034</v>
      </c>
      <c r="S327" s="236"/>
      <c r="T327" s="237">
        <v>15486</v>
      </c>
      <c r="U327" s="238">
        <v>923</v>
      </c>
      <c r="V327" s="238">
        <v>16410</v>
      </c>
    </row>
    <row r="328" spans="1:22">
      <c r="A328" s="231">
        <v>93351</v>
      </c>
      <c r="B328" s="232" t="s">
        <v>1039</v>
      </c>
      <c r="C328" s="92">
        <v>1.5999999999999999E-5</v>
      </c>
      <c r="D328" s="92">
        <v>5.4999999999999999E-6</v>
      </c>
      <c r="E328" s="236">
        <v>10006.02</v>
      </c>
      <c r="F328" s="236">
        <v>2468</v>
      </c>
      <c r="G328" s="236">
        <v>33957.360000000001</v>
      </c>
      <c r="H328" s="236"/>
      <c r="I328" s="237">
        <v>638</v>
      </c>
      <c r="J328" s="237">
        <v>29757</v>
      </c>
      <c r="K328" s="237">
        <v>2326</v>
      </c>
      <c r="L328" s="236">
        <v>8409</v>
      </c>
      <c r="M328" s="236"/>
      <c r="N328" s="237">
        <v>1190</v>
      </c>
      <c r="O328" s="237">
        <v>10983</v>
      </c>
      <c r="P328" s="237">
        <v>0</v>
      </c>
      <c r="Q328" s="236">
        <v>6601</v>
      </c>
      <c r="R328" s="237">
        <f t="shared" si="4"/>
        <v>18774</v>
      </c>
      <c r="S328" s="236"/>
      <c r="T328" s="237">
        <v>9076</v>
      </c>
      <c r="U328" s="238">
        <v>-253</v>
      </c>
      <c r="V328" s="238">
        <v>8823</v>
      </c>
    </row>
    <row r="329" spans="1:22">
      <c r="A329" s="231">
        <v>93401</v>
      </c>
      <c r="B329" s="232" t="s">
        <v>1040</v>
      </c>
      <c r="C329" s="92">
        <v>1.37997E-2</v>
      </c>
      <c r="D329" s="92">
        <v>1.4001899999999999E-2</v>
      </c>
      <c r="E329" s="236">
        <v>5646375.2899999991</v>
      </c>
      <c r="F329" s="236">
        <v>6283969</v>
      </c>
      <c r="G329" s="236">
        <v>29287586</v>
      </c>
      <c r="H329" s="236"/>
      <c r="I329" s="237">
        <v>550263</v>
      </c>
      <c r="J329" s="237">
        <v>25665262</v>
      </c>
      <c r="K329" s="237">
        <v>2005938</v>
      </c>
      <c r="L329" s="236">
        <v>111475</v>
      </c>
      <c r="M329" s="236"/>
      <c r="N329" s="237">
        <v>1026270</v>
      </c>
      <c r="O329" s="237">
        <v>9472914</v>
      </c>
      <c r="P329" s="237">
        <v>0</v>
      </c>
      <c r="Q329" s="236">
        <v>309143</v>
      </c>
      <c r="R329" s="237">
        <f t="shared" ref="R329:R392" si="5">IF(J329&gt;O329,J329-O329,O329-J329)</f>
        <v>16192348</v>
      </c>
      <c r="S329" s="236"/>
      <c r="T329" s="237">
        <v>7828142</v>
      </c>
      <c r="U329" s="238">
        <v>-83612</v>
      </c>
      <c r="V329" s="238">
        <v>7744530</v>
      </c>
    </row>
    <row r="330" spans="1:22">
      <c r="A330" s="231">
        <v>93402</v>
      </c>
      <c r="B330" s="232" t="s">
        <v>1041</v>
      </c>
      <c r="C330" s="92">
        <v>9.2999999999999997E-5</v>
      </c>
      <c r="D330" s="92">
        <v>9.4400000000000004E-5</v>
      </c>
      <c r="E330" s="236">
        <v>35918.379999999997</v>
      </c>
      <c r="F330" s="236">
        <v>42366</v>
      </c>
      <c r="G330" s="236">
        <v>197377</v>
      </c>
      <c r="H330" s="236"/>
      <c r="I330" s="237">
        <v>3708.375</v>
      </c>
      <c r="J330" s="237">
        <v>172965</v>
      </c>
      <c r="K330" s="237">
        <v>13519</v>
      </c>
      <c r="L330" s="236">
        <v>9628</v>
      </c>
      <c r="M330" s="236"/>
      <c r="N330" s="237">
        <v>6916</v>
      </c>
      <c r="O330" s="237">
        <v>63841</v>
      </c>
      <c r="P330" s="237">
        <v>0</v>
      </c>
      <c r="Q330" s="236">
        <v>2607</v>
      </c>
      <c r="R330" s="237">
        <f t="shared" si="5"/>
        <v>109124</v>
      </c>
      <c r="S330" s="236"/>
      <c r="T330" s="237">
        <v>52756</v>
      </c>
      <c r="U330" s="238">
        <v>3407</v>
      </c>
      <c r="V330" s="238">
        <v>56163</v>
      </c>
    </row>
    <row r="331" spans="1:22">
      <c r="A331" s="231">
        <v>93406</v>
      </c>
      <c r="B331" s="232" t="s">
        <v>1042</v>
      </c>
      <c r="C331" s="92">
        <v>7.1170000000000001E-4</v>
      </c>
      <c r="D331" s="92">
        <v>7.0850000000000004E-4</v>
      </c>
      <c r="E331" s="236">
        <v>298926.93</v>
      </c>
      <c r="F331" s="236">
        <v>317971</v>
      </c>
      <c r="G331" s="236">
        <v>1510466</v>
      </c>
      <c r="H331" s="236"/>
      <c r="I331" s="237">
        <v>28379</v>
      </c>
      <c r="J331" s="237">
        <v>1323650</v>
      </c>
      <c r="K331" s="237">
        <v>103453</v>
      </c>
      <c r="L331" s="236">
        <v>45100</v>
      </c>
      <c r="M331" s="236"/>
      <c r="N331" s="237">
        <v>52928</v>
      </c>
      <c r="O331" s="237">
        <v>488552</v>
      </c>
      <c r="P331" s="237">
        <v>0</v>
      </c>
      <c r="Q331" s="236">
        <v>0</v>
      </c>
      <c r="R331" s="237">
        <f t="shared" si="5"/>
        <v>835098</v>
      </c>
      <c r="S331" s="236"/>
      <c r="T331" s="237">
        <v>403725</v>
      </c>
      <c r="U331" s="238">
        <v>19044</v>
      </c>
      <c r="V331" s="238">
        <v>422769</v>
      </c>
    </row>
    <row r="332" spans="1:22">
      <c r="A332" s="231">
        <v>93408</v>
      </c>
      <c r="B332" s="232" t="s">
        <v>1043</v>
      </c>
      <c r="C332" s="92">
        <v>1.8967999999999999E-3</v>
      </c>
      <c r="D332" s="92">
        <v>1.7309000000000001E-3</v>
      </c>
      <c r="E332" s="236">
        <v>0</v>
      </c>
      <c r="F332" s="236">
        <v>776818</v>
      </c>
      <c r="G332" s="236">
        <v>4025645</v>
      </c>
      <c r="H332" s="236"/>
      <c r="I332" s="237">
        <v>75635</v>
      </c>
      <c r="J332" s="237">
        <v>3527748</v>
      </c>
      <c r="K332" s="237">
        <v>275721</v>
      </c>
      <c r="L332" s="236">
        <v>321789</v>
      </c>
      <c r="M332" s="236"/>
      <c r="N332" s="237">
        <v>141063</v>
      </c>
      <c r="O332" s="237">
        <v>1302074</v>
      </c>
      <c r="P332" s="237">
        <v>0</v>
      </c>
      <c r="Q332" s="236">
        <v>529672</v>
      </c>
      <c r="R332" s="237">
        <f t="shared" si="5"/>
        <v>2225674</v>
      </c>
      <c r="S332" s="236"/>
      <c r="T332" s="237">
        <v>1075996</v>
      </c>
      <c r="U332" s="238">
        <v>10994</v>
      </c>
      <c r="V332" s="238">
        <v>1086990</v>
      </c>
    </row>
    <row r="333" spans="1:22">
      <c r="A333" s="231">
        <v>93411</v>
      </c>
      <c r="B333" s="232" t="s">
        <v>1044</v>
      </c>
      <c r="C333" s="92">
        <v>1.73309E-2</v>
      </c>
      <c r="D333" s="92">
        <v>1.8002500000000001E-2</v>
      </c>
      <c r="E333" s="236">
        <v>7066227.2200000007</v>
      </c>
      <c r="F333" s="236">
        <v>8079414</v>
      </c>
      <c r="G333" s="236">
        <v>36781976</v>
      </c>
      <c r="H333" s="236"/>
      <c r="I333" s="237">
        <v>691070</v>
      </c>
      <c r="J333" s="237">
        <v>32232736</v>
      </c>
      <c r="K333" s="237">
        <v>2519237</v>
      </c>
      <c r="L333" s="236">
        <v>0</v>
      </c>
      <c r="M333" s="236"/>
      <c r="N333" s="237">
        <v>1288882</v>
      </c>
      <c r="O333" s="237">
        <v>11896935</v>
      </c>
      <c r="P333" s="237">
        <v>0</v>
      </c>
      <c r="Q333" s="236">
        <v>963900</v>
      </c>
      <c r="R333" s="237">
        <f t="shared" si="5"/>
        <v>20335801</v>
      </c>
      <c r="S333" s="236"/>
      <c r="T333" s="237">
        <v>9831282</v>
      </c>
      <c r="U333" s="238">
        <v>-369146</v>
      </c>
      <c r="V333" s="238">
        <v>9462137</v>
      </c>
    </row>
    <row r="334" spans="1:22">
      <c r="A334" s="231">
        <v>93413</v>
      </c>
      <c r="B334" s="232" t="s">
        <v>1045</v>
      </c>
      <c r="C334" s="92">
        <v>8.0130000000000002E-4</v>
      </c>
      <c r="D334" s="92">
        <v>8.6039999999999999E-4</v>
      </c>
      <c r="E334" s="236">
        <v>344103.62</v>
      </c>
      <c r="F334" s="236">
        <v>386142</v>
      </c>
      <c r="G334" s="236">
        <v>1700627</v>
      </c>
      <c r="H334" s="236"/>
      <c r="I334" s="237">
        <v>31952</v>
      </c>
      <c r="J334" s="237">
        <v>1490291</v>
      </c>
      <c r="K334" s="237">
        <v>116478</v>
      </c>
      <c r="L334" s="236">
        <v>0</v>
      </c>
      <c r="M334" s="236"/>
      <c r="N334" s="237">
        <v>59592</v>
      </c>
      <c r="O334" s="237">
        <v>550059</v>
      </c>
      <c r="P334" s="237">
        <v>0</v>
      </c>
      <c r="Q334" s="236">
        <v>52213</v>
      </c>
      <c r="R334" s="237">
        <f t="shared" si="5"/>
        <v>940232</v>
      </c>
      <c r="S334" s="236"/>
      <c r="T334" s="237">
        <v>454553</v>
      </c>
      <c r="U334" s="238">
        <v>-17374</v>
      </c>
      <c r="V334" s="238">
        <v>437179</v>
      </c>
    </row>
    <row r="335" spans="1:22">
      <c r="A335" s="231">
        <v>93417</v>
      </c>
      <c r="B335" s="232" t="s">
        <v>1046</v>
      </c>
      <c r="C335" s="92">
        <v>4.1130000000000002E-4</v>
      </c>
      <c r="D335" s="92">
        <v>4.2470000000000002E-4</v>
      </c>
      <c r="E335" s="236">
        <v>180698.52000000002</v>
      </c>
      <c r="F335" s="236">
        <v>190603</v>
      </c>
      <c r="G335" s="236">
        <v>872916</v>
      </c>
      <c r="H335" s="236"/>
      <c r="I335" s="237">
        <v>16401</v>
      </c>
      <c r="J335" s="237">
        <v>764953</v>
      </c>
      <c r="K335" s="237">
        <v>59787</v>
      </c>
      <c r="L335" s="236">
        <v>29582</v>
      </c>
      <c r="M335" s="236"/>
      <c r="N335" s="237">
        <v>30588</v>
      </c>
      <c r="O335" s="237">
        <v>282340</v>
      </c>
      <c r="P335" s="237">
        <v>0</v>
      </c>
      <c r="Q335" s="236">
        <v>0</v>
      </c>
      <c r="R335" s="237">
        <f t="shared" si="5"/>
        <v>482613</v>
      </c>
      <c r="S335" s="236"/>
      <c r="T335" s="237">
        <v>233318</v>
      </c>
      <c r="U335" s="238">
        <v>14150</v>
      </c>
      <c r="V335" s="238">
        <v>247468</v>
      </c>
    </row>
    <row r="336" spans="1:22">
      <c r="A336" s="231">
        <v>93421</v>
      </c>
      <c r="B336" s="232" t="s">
        <v>1047</v>
      </c>
      <c r="C336" s="92">
        <v>2.1646E-3</v>
      </c>
      <c r="D336" s="92">
        <v>2.2629E-3</v>
      </c>
      <c r="E336" s="236">
        <v>806585.66999999993</v>
      </c>
      <c r="F336" s="236">
        <v>1015576</v>
      </c>
      <c r="G336" s="236">
        <v>4594006</v>
      </c>
      <c r="H336" s="236"/>
      <c r="I336" s="237">
        <v>86313</v>
      </c>
      <c r="J336" s="237">
        <v>4025814</v>
      </c>
      <c r="K336" s="237">
        <v>314648</v>
      </c>
      <c r="L336" s="236">
        <v>0</v>
      </c>
      <c r="M336" s="236"/>
      <c r="N336" s="237">
        <v>160979</v>
      </c>
      <c r="O336" s="237">
        <v>1485907</v>
      </c>
      <c r="P336" s="237">
        <v>0</v>
      </c>
      <c r="Q336" s="236">
        <v>286111</v>
      </c>
      <c r="R336" s="237">
        <f t="shared" si="5"/>
        <v>2539907</v>
      </c>
      <c r="S336" s="236"/>
      <c r="T336" s="237">
        <v>1227910</v>
      </c>
      <c r="U336" s="238">
        <v>-103829</v>
      </c>
      <c r="V336" s="238">
        <v>1124081</v>
      </c>
    </row>
    <row r="337" spans="1:22">
      <c r="A337" s="231">
        <v>93431</v>
      </c>
      <c r="B337" s="232" t="s">
        <v>1048</v>
      </c>
      <c r="C337" s="92">
        <v>1.127E-4</v>
      </c>
      <c r="D337" s="92">
        <v>1.3469999999999999E-4</v>
      </c>
      <c r="E337" s="236">
        <v>53587.649999999994</v>
      </c>
      <c r="F337" s="236">
        <v>60453</v>
      </c>
      <c r="G337" s="236">
        <v>239187</v>
      </c>
      <c r="H337" s="236"/>
      <c r="I337" s="237">
        <v>4494</v>
      </c>
      <c r="J337" s="237">
        <v>209604</v>
      </c>
      <c r="K337" s="237">
        <v>16382</v>
      </c>
      <c r="L337" s="236">
        <v>1676</v>
      </c>
      <c r="M337" s="236"/>
      <c r="N337" s="237">
        <v>8381</v>
      </c>
      <c r="O337" s="237">
        <v>77364</v>
      </c>
      <c r="P337" s="237">
        <v>0</v>
      </c>
      <c r="Q337" s="236">
        <v>7450</v>
      </c>
      <c r="R337" s="237">
        <f t="shared" si="5"/>
        <v>132240</v>
      </c>
      <c r="S337" s="236"/>
      <c r="T337" s="237">
        <v>63931</v>
      </c>
      <c r="U337" s="238">
        <v>-1211</v>
      </c>
      <c r="V337" s="238">
        <v>62721</v>
      </c>
    </row>
    <row r="338" spans="1:22">
      <c r="A338" s="231">
        <v>93441</v>
      </c>
      <c r="B338" s="232" t="s">
        <v>1049</v>
      </c>
      <c r="C338" s="92">
        <v>1.4970000000000001E-4</v>
      </c>
      <c r="D338" s="92">
        <v>1.3239999999999999E-4</v>
      </c>
      <c r="E338" s="236">
        <v>71652.759999999995</v>
      </c>
      <c r="F338" s="236">
        <v>59420</v>
      </c>
      <c r="G338" s="236">
        <v>317714</v>
      </c>
      <c r="H338" s="236"/>
      <c r="I338" s="237">
        <v>5969</v>
      </c>
      <c r="J338" s="237">
        <v>278418</v>
      </c>
      <c r="K338" s="237">
        <v>21761</v>
      </c>
      <c r="L338" s="236">
        <v>34771</v>
      </c>
      <c r="M338" s="236"/>
      <c r="N338" s="237">
        <v>11133</v>
      </c>
      <c r="O338" s="237">
        <v>102763</v>
      </c>
      <c r="P338" s="237">
        <v>0</v>
      </c>
      <c r="Q338" s="236">
        <v>0</v>
      </c>
      <c r="R338" s="237">
        <f t="shared" si="5"/>
        <v>175655</v>
      </c>
      <c r="S338" s="236"/>
      <c r="T338" s="237">
        <v>84920</v>
      </c>
      <c r="U338" s="238">
        <v>12654</v>
      </c>
      <c r="V338" s="238">
        <v>97574</v>
      </c>
    </row>
    <row r="339" spans="1:22">
      <c r="A339" s="231">
        <v>93442</v>
      </c>
      <c r="B339" s="232" t="s">
        <v>1050</v>
      </c>
      <c r="C339" s="92">
        <v>1.3540000000000001E-4</v>
      </c>
      <c r="D339" s="92">
        <v>1.7799999999999999E-4</v>
      </c>
      <c r="E339" s="236">
        <v>53217.95</v>
      </c>
      <c r="F339" s="236">
        <v>79885</v>
      </c>
      <c r="G339" s="236">
        <v>287364</v>
      </c>
      <c r="H339" s="236"/>
      <c r="I339" s="237">
        <v>5399</v>
      </c>
      <c r="J339" s="237">
        <v>251823</v>
      </c>
      <c r="K339" s="237">
        <v>19682</v>
      </c>
      <c r="L339" s="236">
        <v>6718</v>
      </c>
      <c r="M339" s="236"/>
      <c r="N339" s="237">
        <v>10070</v>
      </c>
      <c r="O339" s="237">
        <v>92946</v>
      </c>
      <c r="P339" s="237">
        <v>0</v>
      </c>
      <c r="Q339" s="236">
        <v>29938</v>
      </c>
      <c r="R339" s="237">
        <f t="shared" si="5"/>
        <v>158877</v>
      </c>
      <c r="S339" s="236"/>
      <c r="T339" s="237">
        <v>76808</v>
      </c>
      <c r="U339" s="238">
        <v>-6567</v>
      </c>
      <c r="V339" s="238">
        <v>70241</v>
      </c>
    </row>
    <row r="340" spans="1:22">
      <c r="A340" s="231">
        <v>93451</v>
      </c>
      <c r="B340" s="232" t="s">
        <v>1051</v>
      </c>
      <c r="C340" s="92">
        <v>7.6899999999999999E-5</v>
      </c>
      <c r="D340" s="92">
        <v>7.6699999999999994E-5</v>
      </c>
      <c r="E340" s="236">
        <v>41952.18</v>
      </c>
      <c r="F340" s="236">
        <v>34422</v>
      </c>
      <c r="G340" s="236">
        <v>163208</v>
      </c>
      <c r="H340" s="236"/>
      <c r="I340" s="237">
        <v>3066</v>
      </c>
      <c r="J340" s="237">
        <v>143022</v>
      </c>
      <c r="K340" s="237">
        <v>11178</v>
      </c>
      <c r="L340" s="236">
        <v>18732</v>
      </c>
      <c r="M340" s="236"/>
      <c r="N340" s="237">
        <v>5719</v>
      </c>
      <c r="O340" s="237">
        <v>52789</v>
      </c>
      <c r="P340" s="237">
        <v>0</v>
      </c>
      <c r="Q340" s="236">
        <v>2999</v>
      </c>
      <c r="R340" s="237">
        <f t="shared" si="5"/>
        <v>90233</v>
      </c>
      <c r="S340" s="236"/>
      <c r="T340" s="237">
        <v>43623</v>
      </c>
      <c r="U340" s="238">
        <v>4342</v>
      </c>
      <c r="V340" s="238">
        <v>47965</v>
      </c>
    </row>
    <row r="341" spans="1:22">
      <c r="A341" s="231">
        <v>93461</v>
      </c>
      <c r="B341" s="232" t="s">
        <v>1052</v>
      </c>
      <c r="C341" s="92">
        <v>1.7200000000000001E-5</v>
      </c>
      <c r="D341" s="92">
        <v>1.7200000000000001E-5</v>
      </c>
      <c r="E341" s="236">
        <v>7470.840000000002</v>
      </c>
      <c r="F341" s="236">
        <v>7719</v>
      </c>
      <c r="G341" s="236">
        <v>36504</v>
      </c>
      <c r="H341" s="236"/>
      <c r="I341" s="237">
        <v>685.85</v>
      </c>
      <c r="J341" s="237">
        <v>31989</v>
      </c>
      <c r="K341" s="237">
        <v>2500</v>
      </c>
      <c r="L341" s="236">
        <v>695</v>
      </c>
      <c r="M341" s="236"/>
      <c r="N341" s="237">
        <v>1279</v>
      </c>
      <c r="O341" s="237">
        <v>11807</v>
      </c>
      <c r="P341" s="237">
        <v>0</v>
      </c>
      <c r="Q341" s="236">
        <v>0</v>
      </c>
      <c r="R341" s="237">
        <f t="shared" si="5"/>
        <v>20182</v>
      </c>
      <c r="S341" s="236"/>
      <c r="T341" s="237">
        <v>9757</v>
      </c>
      <c r="U341" s="238">
        <v>226</v>
      </c>
      <c r="V341" s="238">
        <v>9983</v>
      </c>
    </row>
    <row r="342" spans="1:22">
      <c r="A342" s="231">
        <v>93471</v>
      </c>
      <c r="B342" s="232" t="s">
        <v>1053</v>
      </c>
      <c r="C342" s="92">
        <v>1.1800000000000001E-5</v>
      </c>
      <c r="D342" s="92">
        <v>1.34E-5</v>
      </c>
      <c r="E342" s="236">
        <v>7905.1299999999992</v>
      </c>
      <c r="F342" s="236">
        <v>6014</v>
      </c>
      <c r="G342" s="236">
        <v>25044</v>
      </c>
      <c r="H342" s="236"/>
      <c r="I342" s="237">
        <v>471</v>
      </c>
      <c r="J342" s="237">
        <v>21946</v>
      </c>
      <c r="K342" s="237">
        <v>1715</v>
      </c>
      <c r="L342" s="236">
        <v>2187</v>
      </c>
      <c r="M342" s="236"/>
      <c r="N342" s="237">
        <v>878</v>
      </c>
      <c r="O342" s="237">
        <v>8100</v>
      </c>
      <c r="P342" s="237">
        <v>0</v>
      </c>
      <c r="Q342" s="236">
        <v>127</v>
      </c>
      <c r="R342" s="237">
        <f t="shared" si="5"/>
        <v>13846</v>
      </c>
      <c r="S342" s="236"/>
      <c r="T342" s="237">
        <v>6694</v>
      </c>
      <c r="U342" s="238">
        <v>563</v>
      </c>
      <c r="V342" s="238">
        <v>7256</v>
      </c>
    </row>
    <row r="343" spans="1:22">
      <c r="A343" s="231">
        <v>93501</v>
      </c>
      <c r="B343" s="232" t="s">
        <v>1054</v>
      </c>
      <c r="C343" s="92">
        <v>3.4039000000000001E-3</v>
      </c>
      <c r="D343" s="92">
        <v>3.4708E-3</v>
      </c>
      <c r="E343" s="236">
        <v>1347598.72</v>
      </c>
      <c r="F343" s="236">
        <v>1557674</v>
      </c>
      <c r="G343" s="236">
        <v>7224216</v>
      </c>
      <c r="H343" s="236"/>
      <c r="I343" s="237">
        <v>135731</v>
      </c>
      <c r="J343" s="237">
        <v>6330716</v>
      </c>
      <c r="K343" s="237">
        <v>494794</v>
      </c>
      <c r="L343" s="236">
        <v>165283</v>
      </c>
      <c r="M343" s="236"/>
      <c r="N343" s="237">
        <v>253145</v>
      </c>
      <c r="O343" s="237">
        <v>2336634</v>
      </c>
      <c r="P343" s="237">
        <v>0</v>
      </c>
      <c r="Q343" s="236">
        <v>77725</v>
      </c>
      <c r="R343" s="237">
        <f t="shared" si="5"/>
        <v>3994082</v>
      </c>
      <c r="S343" s="236"/>
      <c r="T343" s="237">
        <v>1930927</v>
      </c>
      <c r="U343" s="238">
        <v>52932</v>
      </c>
      <c r="V343" s="238">
        <v>1983859</v>
      </c>
    </row>
    <row r="344" spans="1:22">
      <c r="A344" s="231">
        <v>93511</v>
      </c>
      <c r="B344" s="232" t="s">
        <v>1055</v>
      </c>
      <c r="C344" s="92">
        <v>9.8999999999999994E-5</v>
      </c>
      <c r="D344" s="92">
        <v>1.142E-4</v>
      </c>
      <c r="E344" s="236">
        <v>40720.79</v>
      </c>
      <c r="F344" s="236">
        <v>51252</v>
      </c>
      <c r="G344" s="236">
        <v>210111</v>
      </c>
      <c r="H344" s="236"/>
      <c r="I344" s="237">
        <v>3948</v>
      </c>
      <c r="J344" s="237">
        <v>184124</v>
      </c>
      <c r="K344" s="237">
        <v>14391</v>
      </c>
      <c r="L344" s="236">
        <v>5204</v>
      </c>
      <c r="M344" s="236"/>
      <c r="N344" s="237">
        <v>7363</v>
      </c>
      <c r="O344" s="237">
        <v>67959</v>
      </c>
      <c r="P344" s="237">
        <v>0</v>
      </c>
      <c r="Q344" s="236">
        <v>14645</v>
      </c>
      <c r="R344" s="237">
        <f t="shared" si="5"/>
        <v>116165</v>
      </c>
      <c r="S344" s="236"/>
      <c r="T344" s="237">
        <v>56160</v>
      </c>
      <c r="U344" s="238">
        <v>-1792</v>
      </c>
      <c r="V344" s="238">
        <v>54368</v>
      </c>
    </row>
    <row r="345" spans="1:22">
      <c r="A345" s="231">
        <v>93517</v>
      </c>
      <c r="B345" s="232" t="s">
        <v>1056</v>
      </c>
      <c r="C345" s="92">
        <v>6.4999999999999996E-6</v>
      </c>
      <c r="D345" s="92">
        <v>6.6000000000000003E-6</v>
      </c>
      <c r="E345" s="236">
        <v>4035.72</v>
      </c>
      <c r="F345" s="236">
        <v>2962</v>
      </c>
      <c r="G345" s="236">
        <v>13795</v>
      </c>
      <c r="H345" s="236"/>
      <c r="I345" s="237">
        <v>259.1875</v>
      </c>
      <c r="J345" s="237">
        <v>12089</v>
      </c>
      <c r="K345" s="237">
        <v>945</v>
      </c>
      <c r="L345" s="236">
        <v>3198</v>
      </c>
      <c r="M345" s="236"/>
      <c r="N345" s="237">
        <v>483</v>
      </c>
      <c r="O345" s="237">
        <v>4462</v>
      </c>
      <c r="P345" s="237">
        <v>0</v>
      </c>
      <c r="Q345" s="236">
        <v>1011</v>
      </c>
      <c r="R345" s="237">
        <f t="shared" si="5"/>
        <v>7627</v>
      </c>
      <c r="S345" s="236"/>
      <c r="T345" s="237">
        <v>3687</v>
      </c>
      <c r="U345" s="238">
        <v>528</v>
      </c>
      <c r="V345" s="238">
        <v>4215</v>
      </c>
    </row>
    <row r="346" spans="1:22">
      <c r="A346" s="231">
        <v>93521</v>
      </c>
      <c r="B346" s="232" t="s">
        <v>1057</v>
      </c>
      <c r="C346" s="92">
        <v>5.6389999999999999E-4</v>
      </c>
      <c r="D346" s="92">
        <v>4.75E-4</v>
      </c>
      <c r="E346" s="236">
        <v>183430.59999999998</v>
      </c>
      <c r="F346" s="236">
        <v>213177.15</v>
      </c>
      <c r="G346" s="236">
        <v>1196785</v>
      </c>
      <c r="H346" s="236"/>
      <c r="I346" s="237">
        <v>22486</v>
      </c>
      <c r="J346" s="237">
        <v>1048765</v>
      </c>
      <c r="K346" s="237">
        <v>81969</v>
      </c>
      <c r="L346" s="236">
        <v>9662</v>
      </c>
      <c r="M346" s="236"/>
      <c r="N346" s="237">
        <v>41937</v>
      </c>
      <c r="O346" s="237">
        <v>387094</v>
      </c>
      <c r="P346" s="237">
        <v>0</v>
      </c>
      <c r="Q346" s="236">
        <v>10656</v>
      </c>
      <c r="R346" s="237">
        <f t="shared" si="5"/>
        <v>661671</v>
      </c>
      <c r="S346" s="236"/>
      <c r="T346" s="237">
        <v>319883</v>
      </c>
      <c r="U346" s="238">
        <v>-2591</v>
      </c>
      <c r="V346" s="238">
        <v>317292</v>
      </c>
    </row>
    <row r="347" spans="1:22">
      <c r="A347" s="231">
        <v>93527</v>
      </c>
      <c r="B347" s="232" t="s">
        <v>1058</v>
      </c>
      <c r="C347" s="92">
        <v>5.4E-6</v>
      </c>
      <c r="D347" s="92">
        <v>5.4E-6</v>
      </c>
      <c r="E347" s="236">
        <v>8301.4599999999991</v>
      </c>
      <c r="F347" s="236">
        <v>2423</v>
      </c>
      <c r="G347" s="236">
        <v>11461</v>
      </c>
      <c r="H347" s="236"/>
      <c r="I347" s="237">
        <v>215.32499999999999</v>
      </c>
      <c r="J347" s="237">
        <v>10043</v>
      </c>
      <c r="K347" s="237">
        <v>785</v>
      </c>
      <c r="L347" s="236">
        <v>11237</v>
      </c>
      <c r="M347" s="236"/>
      <c r="N347" s="237">
        <v>402</v>
      </c>
      <c r="O347" s="237">
        <v>3707</v>
      </c>
      <c r="P347" s="237">
        <v>0</v>
      </c>
      <c r="Q347" s="236">
        <v>0</v>
      </c>
      <c r="R347" s="237">
        <f t="shared" si="5"/>
        <v>6336</v>
      </c>
      <c r="S347" s="236"/>
      <c r="T347" s="237">
        <v>3063</v>
      </c>
      <c r="U347" s="238">
        <v>3941</v>
      </c>
      <c r="V347" s="238">
        <v>7005</v>
      </c>
    </row>
    <row r="348" spans="1:22">
      <c r="A348" s="231">
        <v>93531</v>
      </c>
      <c r="B348" s="232" t="s">
        <v>1059</v>
      </c>
      <c r="C348" s="92">
        <v>2.4000000000000001E-5</v>
      </c>
      <c r="D348" s="92">
        <v>2.4700000000000001E-5</v>
      </c>
      <c r="E348" s="236">
        <v>11692.23</v>
      </c>
      <c r="F348" s="236">
        <v>11085</v>
      </c>
      <c r="G348" s="236">
        <v>50936.04</v>
      </c>
      <c r="H348" s="236"/>
      <c r="I348" s="237">
        <v>957</v>
      </c>
      <c r="J348" s="237">
        <v>44636</v>
      </c>
      <c r="K348" s="237">
        <v>3489</v>
      </c>
      <c r="L348" s="236">
        <v>1068</v>
      </c>
      <c r="M348" s="236"/>
      <c r="N348" s="237">
        <v>1785</v>
      </c>
      <c r="O348" s="237">
        <v>16475</v>
      </c>
      <c r="P348" s="237">
        <v>0</v>
      </c>
      <c r="Q348" s="236">
        <v>2182</v>
      </c>
      <c r="R348" s="237">
        <f t="shared" si="5"/>
        <v>28161</v>
      </c>
      <c r="S348" s="236"/>
      <c r="T348" s="237">
        <v>13614</v>
      </c>
      <c r="U348" s="238">
        <v>-801</v>
      </c>
      <c r="V348" s="238">
        <v>12814</v>
      </c>
    </row>
    <row r="349" spans="1:22">
      <c r="A349" s="231">
        <v>93537</v>
      </c>
      <c r="B349" s="232" t="s">
        <v>1060</v>
      </c>
      <c r="C349" s="92">
        <v>1.17E-5</v>
      </c>
      <c r="D349" s="92">
        <v>1.13E-5</v>
      </c>
      <c r="E349" s="236">
        <v>3538.9599999999996</v>
      </c>
      <c r="F349" s="236">
        <v>5071</v>
      </c>
      <c r="G349" s="236">
        <v>24831</v>
      </c>
      <c r="H349" s="236"/>
      <c r="I349" s="237">
        <v>467</v>
      </c>
      <c r="J349" s="237">
        <v>21760</v>
      </c>
      <c r="K349" s="237">
        <v>1701</v>
      </c>
      <c r="L349" s="236">
        <v>0</v>
      </c>
      <c r="M349" s="236"/>
      <c r="N349" s="237">
        <v>870</v>
      </c>
      <c r="O349" s="237">
        <v>8032</v>
      </c>
      <c r="P349" s="237">
        <v>0</v>
      </c>
      <c r="Q349" s="236">
        <v>976</v>
      </c>
      <c r="R349" s="237">
        <f t="shared" si="5"/>
        <v>13728</v>
      </c>
      <c r="S349" s="236"/>
      <c r="T349" s="237">
        <v>6637</v>
      </c>
      <c r="U349" s="238">
        <v>-276</v>
      </c>
      <c r="V349" s="238">
        <v>6361</v>
      </c>
    </row>
    <row r="350" spans="1:22">
      <c r="A350" s="231">
        <v>93541</v>
      </c>
      <c r="B350" s="232" t="s">
        <v>1061</v>
      </c>
      <c r="C350" s="92">
        <v>1.061E-4</v>
      </c>
      <c r="D350" s="92">
        <v>1.069E-4</v>
      </c>
      <c r="E350" s="236">
        <v>43705.780000000006</v>
      </c>
      <c r="F350" s="236">
        <v>47976</v>
      </c>
      <c r="G350" s="236">
        <v>225180</v>
      </c>
      <c r="H350" s="236"/>
      <c r="I350" s="237">
        <v>4231</v>
      </c>
      <c r="J350" s="237">
        <v>197329</v>
      </c>
      <c r="K350" s="237">
        <v>15423</v>
      </c>
      <c r="L350" s="236">
        <v>8559</v>
      </c>
      <c r="M350" s="236"/>
      <c r="N350" s="237">
        <v>7891</v>
      </c>
      <c r="O350" s="237">
        <v>72833</v>
      </c>
      <c r="P350" s="237">
        <v>0</v>
      </c>
      <c r="Q350" s="236">
        <v>1155</v>
      </c>
      <c r="R350" s="237">
        <f t="shared" si="5"/>
        <v>124496</v>
      </c>
      <c r="S350" s="236"/>
      <c r="T350" s="237">
        <v>60187</v>
      </c>
      <c r="U350" s="238">
        <v>3927</v>
      </c>
      <c r="V350" s="238">
        <v>64114</v>
      </c>
    </row>
    <row r="351" spans="1:22">
      <c r="A351" s="231">
        <v>93601</v>
      </c>
      <c r="B351" s="232" t="s">
        <v>1062</v>
      </c>
      <c r="C351" s="92">
        <v>1.1139899999999999E-2</v>
      </c>
      <c r="D351" s="92">
        <v>1.09906E-2</v>
      </c>
      <c r="E351" s="236">
        <v>4591072.71</v>
      </c>
      <c r="F351" s="236">
        <v>4932515</v>
      </c>
      <c r="G351" s="236">
        <v>23642600</v>
      </c>
      <c r="H351" s="236"/>
      <c r="I351" s="237">
        <v>444204</v>
      </c>
      <c r="J351" s="237">
        <v>20718454</v>
      </c>
      <c r="K351" s="237">
        <v>1619307</v>
      </c>
      <c r="L351" s="236">
        <v>88715</v>
      </c>
      <c r="M351" s="236"/>
      <c r="N351" s="237">
        <v>828463</v>
      </c>
      <c r="O351" s="237">
        <v>7647073</v>
      </c>
      <c r="P351" s="237">
        <v>0</v>
      </c>
      <c r="Q351" s="236">
        <v>158818</v>
      </c>
      <c r="R351" s="237">
        <f t="shared" si="5"/>
        <v>13071381</v>
      </c>
      <c r="S351" s="236"/>
      <c r="T351" s="237">
        <v>6319320</v>
      </c>
      <c r="U351" s="238">
        <v>-40519</v>
      </c>
      <c r="V351" s="238">
        <v>6278801</v>
      </c>
    </row>
    <row r="352" spans="1:22">
      <c r="A352" s="231">
        <v>93602</v>
      </c>
      <c r="B352" s="232" t="s">
        <v>1063</v>
      </c>
      <c r="C352" s="92">
        <v>1.7200000000000001E-4</v>
      </c>
      <c r="D352" s="92">
        <v>1.873E-4</v>
      </c>
      <c r="E352" s="236">
        <v>65294.78</v>
      </c>
      <c r="F352" s="236">
        <v>84059</v>
      </c>
      <c r="G352" s="236">
        <v>365041.62</v>
      </c>
      <c r="H352" s="236"/>
      <c r="I352" s="237">
        <v>6858.5</v>
      </c>
      <c r="J352" s="237">
        <v>319893</v>
      </c>
      <c r="K352" s="237">
        <v>25002</v>
      </c>
      <c r="L352" s="236">
        <v>1192</v>
      </c>
      <c r="M352" s="236"/>
      <c r="N352" s="237">
        <v>12791</v>
      </c>
      <c r="O352" s="237">
        <v>118071</v>
      </c>
      <c r="P352" s="237">
        <v>0</v>
      </c>
      <c r="Q352" s="236">
        <v>14459</v>
      </c>
      <c r="R352" s="237">
        <f t="shared" si="5"/>
        <v>201822</v>
      </c>
      <c r="S352" s="236"/>
      <c r="T352" s="237">
        <v>97570</v>
      </c>
      <c r="U352" s="238">
        <v>-3774</v>
      </c>
      <c r="V352" s="238">
        <v>93797</v>
      </c>
    </row>
    <row r="353" spans="1:22">
      <c r="A353" s="231">
        <v>93609</v>
      </c>
      <c r="B353" s="232" t="s">
        <v>1064</v>
      </c>
      <c r="C353" s="92">
        <v>3.0569E-3</v>
      </c>
      <c r="D353" s="92">
        <v>2.777E-3</v>
      </c>
      <c r="E353" s="236">
        <v>1250738.1199999999</v>
      </c>
      <c r="F353" s="236">
        <v>1246301</v>
      </c>
      <c r="G353" s="236">
        <v>6487766</v>
      </c>
      <c r="H353" s="236"/>
      <c r="I353" s="237">
        <v>121894</v>
      </c>
      <c r="J353" s="237">
        <v>5685351</v>
      </c>
      <c r="K353" s="237">
        <v>444354</v>
      </c>
      <c r="L353" s="236">
        <v>575194</v>
      </c>
      <c r="M353" s="236"/>
      <c r="N353" s="237">
        <v>227339</v>
      </c>
      <c r="O353" s="237">
        <v>2098433</v>
      </c>
      <c r="P353" s="237">
        <v>0</v>
      </c>
      <c r="Q353" s="236">
        <v>0</v>
      </c>
      <c r="R353" s="237">
        <f t="shared" si="5"/>
        <v>3586918</v>
      </c>
      <c r="S353" s="236"/>
      <c r="T353" s="237">
        <v>1734085</v>
      </c>
      <c r="U353" s="238">
        <v>238417</v>
      </c>
      <c r="V353" s="238">
        <v>1972502</v>
      </c>
    </row>
    <row r="354" spans="1:22">
      <c r="A354" s="231">
        <v>93610</v>
      </c>
      <c r="B354" s="232" t="s">
        <v>1065</v>
      </c>
      <c r="C354" s="92">
        <v>6.4999999999999996E-6</v>
      </c>
      <c r="D354" s="92">
        <v>1.84E-5</v>
      </c>
      <c r="E354" s="236">
        <v>5057.0400000000009</v>
      </c>
      <c r="F354" s="236">
        <v>8258</v>
      </c>
      <c r="G354" s="236">
        <v>13795</v>
      </c>
      <c r="H354" s="236"/>
      <c r="I354" s="237">
        <v>259.1875</v>
      </c>
      <c r="J354" s="237">
        <v>12089</v>
      </c>
      <c r="K354" s="237">
        <v>945</v>
      </c>
      <c r="L354" s="236">
        <v>3285</v>
      </c>
      <c r="M354" s="236"/>
      <c r="N354" s="237">
        <v>483</v>
      </c>
      <c r="O354" s="237">
        <v>4462</v>
      </c>
      <c r="P354" s="237">
        <v>0</v>
      </c>
      <c r="Q354" s="236">
        <v>4553</v>
      </c>
      <c r="R354" s="237">
        <f t="shared" si="5"/>
        <v>7627</v>
      </c>
      <c r="S354" s="236"/>
      <c r="T354" s="237">
        <v>3687</v>
      </c>
      <c r="U354" s="238">
        <v>154</v>
      </c>
      <c r="V354" s="238">
        <v>3842</v>
      </c>
    </row>
    <row r="355" spans="1:22">
      <c r="A355" s="231">
        <v>93611</v>
      </c>
      <c r="B355" s="232" t="s">
        <v>1066</v>
      </c>
      <c r="C355" s="92">
        <v>6.9325000000000003E-3</v>
      </c>
      <c r="D355" s="92">
        <v>6.9034999999999999E-3</v>
      </c>
      <c r="E355" s="236">
        <v>2795516.27</v>
      </c>
      <c r="F355" s="236">
        <v>3098249</v>
      </c>
      <c r="G355" s="236">
        <v>14713087</v>
      </c>
      <c r="H355" s="236"/>
      <c r="I355" s="237">
        <v>276433</v>
      </c>
      <c r="J355" s="237">
        <v>12893355</v>
      </c>
      <c r="K355" s="237">
        <v>1007715</v>
      </c>
      <c r="L355" s="236">
        <v>0</v>
      </c>
      <c r="M355" s="236"/>
      <c r="N355" s="237">
        <v>515563</v>
      </c>
      <c r="O355" s="237">
        <v>4758870</v>
      </c>
      <c r="P355" s="237">
        <v>0</v>
      </c>
      <c r="Q355" s="236">
        <v>266414</v>
      </c>
      <c r="R355" s="237">
        <f t="shared" si="5"/>
        <v>8134485</v>
      </c>
      <c r="S355" s="236"/>
      <c r="T355" s="237">
        <v>3932592</v>
      </c>
      <c r="U355" s="238">
        <v>-113352</v>
      </c>
      <c r="V355" s="238">
        <v>3819240</v>
      </c>
    </row>
    <row r="356" spans="1:22">
      <c r="A356" s="231">
        <v>93617</v>
      </c>
      <c r="B356" s="232" t="s">
        <v>1067</v>
      </c>
      <c r="C356" s="92">
        <v>9.5000000000000005E-5</v>
      </c>
      <c r="D356" s="92">
        <v>7.9200000000000001E-5</v>
      </c>
      <c r="E356" s="236">
        <v>46064</v>
      </c>
      <c r="F356" s="236">
        <v>35544</v>
      </c>
      <c r="G356" s="236">
        <v>201622</v>
      </c>
      <c r="H356" s="236"/>
      <c r="I356" s="237">
        <v>3788.125</v>
      </c>
      <c r="J356" s="237">
        <v>176685</v>
      </c>
      <c r="K356" s="237">
        <v>13809</v>
      </c>
      <c r="L356" s="236">
        <v>28939</v>
      </c>
      <c r="M356" s="236"/>
      <c r="N356" s="237">
        <v>7065</v>
      </c>
      <c r="O356" s="237">
        <v>65213.51</v>
      </c>
      <c r="P356" s="237">
        <v>0</v>
      </c>
      <c r="Q356" s="236">
        <v>0</v>
      </c>
      <c r="R356" s="237">
        <f t="shared" si="5"/>
        <v>111471.48999999999</v>
      </c>
      <c r="S356" s="236"/>
      <c r="T356" s="237">
        <v>53891</v>
      </c>
      <c r="U356" s="238">
        <v>10007</v>
      </c>
      <c r="V356" s="238">
        <v>63898</v>
      </c>
    </row>
    <row r="357" spans="1:22">
      <c r="A357" s="231">
        <v>93618</v>
      </c>
      <c r="B357" s="232" t="s">
        <v>1068</v>
      </c>
      <c r="C357" s="92">
        <v>1.17E-5</v>
      </c>
      <c r="D357" s="92">
        <v>1.0200000000000001E-5</v>
      </c>
      <c r="E357" s="236">
        <v>22628.949999999997</v>
      </c>
      <c r="F357" s="236">
        <v>4578</v>
      </c>
      <c r="G357" s="236">
        <v>24831</v>
      </c>
      <c r="H357" s="236"/>
      <c r="I357" s="237">
        <v>467</v>
      </c>
      <c r="J357" s="237">
        <v>21760</v>
      </c>
      <c r="K357" s="237">
        <v>1701</v>
      </c>
      <c r="L357" s="236">
        <v>27424</v>
      </c>
      <c r="M357" s="236"/>
      <c r="N357" s="237">
        <v>870</v>
      </c>
      <c r="O357" s="237">
        <v>8032</v>
      </c>
      <c r="P357" s="237">
        <v>0</v>
      </c>
      <c r="Q357" s="236">
        <v>0</v>
      </c>
      <c r="R357" s="237">
        <f t="shared" si="5"/>
        <v>13728</v>
      </c>
      <c r="S357" s="236"/>
      <c r="T357" s="237">
        <v>6637</v>
      </c>
      <c r="U357" s="238">
        <v>8505</v>
      </c>
      <c r="V357" s="238">
        <v>15142</v>
      </c>
    </row>
    <row r="358" spans="1:22">
      <c r="A358" s="231">
        <v>93621</v>
      </c>
      <c r="B358" s="232" t="s">
        <v>1069</v>
      </c>
      <c r="C358" s="92">
        <v>8.5320000000000003E-4</v>
      </c>
      <c r="D358" s="92">
        <v>9.5949999999999996E-4</v>
      </c>
      <c r="E358" s="236">
        <v>330203.31</v>
      </c>
      <c r="F358" s="236">
        <v>430618</v>
      </c>
      <c r="G358" s="236">
        <v>1810776</v>
      </c>
      <c r="H358" s="236"/>
      <c r="I358" s="237">
        <v>34021.35</v>
      </c>
      <c r="J358" s="237">
        <v>1586817</v>
      </c>
      <c r="K358" s="237">
        <v>124022</v>
      </c>
      <c r="L358" s="236">
        <v>0</v>
      </c>
      <c r="M358" s="236"/>
      <c r="N358" s="237">
        <v>63452</v>
      </c>
      <c r="O358" s="237">
        <v>585686</v>
      </c>
      <c r="P358" s="237">
        <v>0</v>
      </c>
      <c r="Q358" s="236">
        <v>118410</v>
      </c>
      <c r="R358" s="237">
        <f t="shared" si="5"/>
        <v>1001131</v>
      </c>
      <c r="S358" s="236"/>
      <c r="T358" s="237">
        <v>483994</v>
      </c>
      <c r="U358" s="238">
        <v>-38643</v>
      </c>
      <c r="V358" s="238">
        <v>445351</v>
      </c>
    </row>
    <row r="359" spans="1:22">
      <c r="A359" s="231">
        <v>93623</v>
      </c>
      <c r="B359" s="232" t="s">
        <v>1070</v>
      </c>
      <c r="C359" s="92">
        <v>1.2500000000000001E-5</v>
      </c>
      <c r="D359" s="92">
        <v>1.24E-5</v>
      </c>
      <c r="E359" s="236">
        <v>8240.5799999999981</v>
      </c>
      <c r="F359" s="236">
        <v>5565</v>
      </c>
      <c r="G359" s="236">
        <v>26529.1875</v>
      </c>
      <c r="H359" s="236"/>
      <c r="I359" s="237">
        <v>498.4375</v>
      </c>
      <c r="J359" s="237">
        <v>23248</v>
      </c>
      <c r="K359" s="237">
        <v>1817</v>
      </c>
      <c r="L359" s="236">
        <v>4315</v>
      </c>
      <c r="M359" s="236"/>
      <c r="N359" s="237">
        <v>930</v>
      </c>
      <c r="O359" s="237">
        <v>8581</v>
      </c>
      <c r="P359" s="237">
        <v>0</v>
      </c>
      <c r="Q359" s="236">
        <v>2</v>
      </c>
      <c r="R359" s="237">
        <f t="shared" si="5"/>
        <v>14667</v>
      </c>
      <c r="S359" s="236"/>
      <c r="T359" s="237">
        <v>7091</v>
      </c>
      <c r="U359" s="238">
        <v>1289</v>
      </c>
      <c r="V359" s="238">
        <v>8380</v>
      </c>
    </row>
    <row r="360" spans="1:22">
      <c r="A360" s="231">
        <v>93631</v>
      </c>
      <c r="B360" s="232" t="s">
        <v>1071</v>
      </c>
      <c r="C360" s="92">
        <v>2.3440000000000001E-4</v>
      </c>
      <c r="D360" s="92">
        <v>2.3680000000000001E-4</v>
      </c>
      <c r="E360" s="236">
        <v>87285.229999999981</v>
      </c>
      <c r="F360" s="236">
        <v>106274</v>
      </c>
      <c r="G360" s="236">
        <v>497475</v>
      </c>
      <c r="H360" s="236"/>
      <c r="I360" s="237">
        <v>9347</v>
      </c>
      <c r="J360" s="237">
        <v>435947</v>
      </c>
      <c r="K360" s="237">
        <v>34073</v>
      </c>
      <c r="L360" s="236">
        <v>874</v>
      </c>
      <c r="M360" s="236"/>
      <c r="N360" s="237">
        <v>17432</v>
      </c>
      <c r="O360" s="237">
        <v>160906</v>
      </c>
      <c r="P360" s="237">
        <v>0</v>
      </c>
      <c r="Q360" s="236">
        <v>17303</v>
      </c>
      <c r="R360" s="237">
        <f t="shared" si="5"/>
        <v>275041</v>
      </c>
      <c r="S360" s="236"/>
      <c r="T360" s="237">
        <v>132968</v>
      </c>
      <c r="U360" s="238">
        <v>-4881</v>
      </c>
      <c r="V360" s="238">
        <v>128086</v>
      </c>
    </row>
    <row r="361" spans="1:22">
      <c r="A361" s="231">
        <v>93641</v>
      </c>
      <c r="B361" s="232" t="s">
        <v>1072</v>
      </c>
      <c r="C361" s="92">
        <v>4.3550000000000001E-4</v>
      </c>
      <c r="D361" s="92">
        <v>4.3100000000000001E-4</v>
      </c>
      <c r="E361" s="236">
        <v>182885.7</v>
      </c>
      <c r="F361" s="236">
        <v>193430</v>
      </c>
      <c r="G361" s="236">
        <v>924277</v>
      </c>
      <c r="H361" s="236"/>
      <c r="I361" s="237">
        <v>17365.5625</v>
      </c>
      <c r="J361" s="237">
        <v>809961</v>
      </c>
      <c r="K361" s="237">
        <v>63305</v>
      </c>
      <c r="L361" s="236">
        <v>21571</v>
      </c>
      <c r="M361" s="236"/>
      <c r="N361" s="237">
        <v>32388</v>
      </c>
      <c r="O361" s="237">
        <v>298952</v>
      </c>
      <c r="P361" s="237">
        <v>0</v>
      </c>
      <c r="Q361" s="236">
        <v>0</v>
      </c>
      <c r="R361" s="237">
        <f t="shared" si="5"/>
        <v>511009</v>
      </c>
      <c r="S361" s="236"/>
      <c r="T361" s="237">
        <v>247046</v>
      </c>
      <c r="U361" s="238">
        <v>7537</v>
      </c>
      <c r="V361" s="238">
        <v>254583</v>
      </c>
    </row>
    <row r="362" spans="1:22">
      <c r="A362" s="231">
        <v>93647</v>
      </c>
      <c r="B362" s="232" t="s">
        <v>1073</v>
      </c>
      <c r="C362" s="92">
        <v>6.1E-6</v>
      </c>
      <c r="D362" s="92">
        <v>6.0000000000000002E-6</v>
      </c>
      <c r="E362" s="236">
        <v>7779.1400000000012</v>
      </c>
      <c r="F362" s="236">
        <v>2693</v>
      </c>
      <c r="G362" s="236">
        <v>12946</v>
      </c>
      <c r="H362" s="236"/>
      <c r="I362" s="237">
        <v>243.23750000000001</v>
      </c>
      <c r="J362" s="237">
        <v>11345</v>
      </c>
      <c r="K362" s="237">
        <v>887</v>
      </c>
      <c r="L362" s="236">
        <v>10457</v>
      </c>
      <c r="M362" s="236"/>
      <c r="N362" s="237">
        <v>454</v>
      </c>
      <c r="O362" s="237">
        <v>4187</v>
      </c>
      <c r="P362" s="237">
        <v>0</v>
      </c>
      <c r="Q362" s="236">
        <v>0</v>
      </c>
      <c r="R362" s="237">
        <f t="shared" si="5"/>
        <v>7158</v>
      </c>
      <c r="S362" s="236"/>
      <c r="T362" s="237">
        <v>3460</v>
      </c>
      <c r="U362" s="238">
        <v>3397</v>
      </c>
      <c r="V362" s="238">
        <v>6857</v>
      </c>
    </row>
    <row r="363" spans="1:22">
      <c r="A363" s="231">
        <v>93651</v>
      </c>
      <c r="B363" s="232" t="s">
        <v>1074</v>
      </c>
      <c r="C363" s="92">
        <v>4.282E-4</v>
      </c>
      <c r="D363" s="92">
        <v>4.216E-4</v>
      </c>
      <c r="E363" s="236">
        <v>158412.88</v>
      </c>
      <c r="F363" s="236">
        <v>189212</v>
      </c>
      <c r="G363" s="236">
        <v>908784</v>
      </c>
      <c r="H363" s="236"/>
      <c r="I363" s="237">
        <v>17074</v>
      </c>
      <c r="J363" s="237">
        <v>796384</v>
      </c>
      <c r="K363" s="237">
        <v>62244</v>
      </c>
      <c r="L363" s="236">
        <v>9033</v>
      </c>
      <c r="M363" s="236"/>
      <c r="N363" s="237">
        <v>31845</v>
      </c>
      <c r="O363" s="237">
        <v>293941</v>
      </c>
      <c r="P363" s="237">
        <v>0</v>
      </c>
      <c r="Q363" s="236">
        <v>11722</v>
      </c>
      <c r="R363" s="237">
        <f t="shared" si="5"/>
        <v>502443</v>
      </c>
      <c r="S363" s="236"/>
      <c r="T363" s="237">
        <v>242905</v>
      </c>
      <c r="U363" s="238">
        <v>-139</v>
      </c>
      <c r="V363" s="238">
        <v>242766</v>
      </c>
    </row>
    <row r="364" spans="1:22">
      <c r="A364" s="231">
        <v>93661</v>
      </c>
      <c r="B364" s="232" t="s">
        <v>1075</v>
      </c>
      <c r="C364" s="92">
        <v>1.3420000000000001E-4</v>
      </c>
      <c r="D364" s="92">
        <v>1.2750000000000001E-4</v>
      </c>
      <c r="E364" s="236">
        <v>60285.130000000005</v>
      </c>
      <c r="F364" s="236">
        <v>57221</v>
      </c>
      <c r="G364" s="236">
        <v>284817</v>
      </c>
      <c r="H364" s="236"/>
      <c r="I364" s="237">
        <v>5351</v>
      </c>
      <c r="J364" s="237">
        <v>249591</v>
      </c>
      <c r="K364" s="237">
        <v>19507</v>
      </c>
      <c r="L364" s="236">
        <v>12174</v>
      </c>
      <c r="M364" s="236"/>
      <c r="N364" s="237">
        <v>9980</v>
      </c>
      <c r="O364" s="237">
        <v>92123</v>
      </c>
      <c r="P364" s="237">
        <v>0</v>
      </c>
      <c r="Q364" s="236">
        <v>0</v>
      </c>
      <c r="R364" s="237">
        <f t="shared" si="5"/>
        <v>157468</v>
      </c>
      <c r="S364" s="236"/>
      <c r="T364" s="237">
        <v>76127</v>
      </c>
      <c r="U364" s="238">
        <v>3955</v>
      </c>
      <c r="V364" s="238">
        <v>80082</v>
      </c>
    </row>
    <row r="365" spans="1:22">
      <c r="A365" s="231">
        <v>93671</v>
      </c>
      <c r="B365" s="232" t="s">
        <v>1076</v>
      </c>
      <c r="C365" s="92">
        <v>3.6900000000000002E-4</v>
      </c>
      <c r="D365" s="92">
        <v>3.5710000000000001E-4</v>
      </c>
      <c r="E365" s="236">
        <v>141320.09</v>
      </c>
      <c r="F365" s="236">
        <v>160264</v>
      </c>
      <c r="G365" s="236">
        <v>783142</v>
      </c>
      <c r="H365" s="236"/>
      <c r="I365" s="237">
        <v>14714</v>
      </c>
      <c r="J365" s="237">
        <v>686282</v>
      </c>
      <c r="K365" s="237">
        <v>53638</v>
      </c>
      <c r="L365" s="236">
        <v>67993</v>
      </c>
      <c r="M365" s="236"/>
      <c r="N365" s="237">
        <v>27442</v>
      </c>
      <c r="O365" s="237">
        <v>253303</v>
      </c>
      <c r="P365" s="237">
        <v>0</v>
      </c>
      <c r="Q365" s="236">
        <v>1836</v>
      </c>
      <c r="R365" s="237">
        <f t="shared" si="5"/>
        <v>432979</v>
      </c>
      <c r="S365" s="236"/>
      <c r="T365" s="237">
        <v>209322</v>
      </c>
      <c r="U365" s="238">
        <v>28852</v>
      </c>
      <c r="V365" s="238">
        <v>238174</v>
      </c>
    </row>
    <row r="366" spans="1:22">
      <c r="A366" s="231">
        <v>93677</v>
      </c>
      <c r="B366" s="232" t="s">
        <v>98</v>
      </c>
      <c r="C366" s="92">
        <v>0</v>
      </c>
      <c r="D366" s="92">
        <v>0</v>
      </c>
      <c r="E366" s="236">
        <v>0</v>
      </c>
      <c r="F366" s="236">
        <v>0</v>
      </c>
      <c r="G366" s="236">
        <v>0</v>
      </c>
      <c r="H366" s="236"/>
      <c r="I366" s="237">
        <v>0</v>
      </c>
      <c r="J366" s="237">
        <v>0</v>
      </c>
      <c r="K366" s="237">
        <v>0</v>
      </c>
      <c r="L366" s="236">
        <v>0</v>
      </c>
      <c r="M366" s="236"/>
      <c r="N366" s="237">
        <v>0</v>
      </c>
      <c r="O366" s="237">
        <v>0</v>
      </c>
      <c r="P366" s="237">
        <v>0</v>
      </c>
      <c r="Q366" s="236">
        <v>1443</v>
      </c>
      <c r="R366" s="237">
        <f t="shared" si="5"/>
        <v>0</v>
      </c>
      <c r="S366" s="236"/>
      <c r="T366" s="237">
        <v>0</v>
      </c>
      <c r="U366" s="238">
        <v>-725</v>
      </c>
      <c r="V366" s="238">
        <v>-725</v>
      </c>
    </row>
    <row r="367" spans="1:22">
      <c r="A367" s="231">
        <v>93681</v>
      </c>
      <c r="B367" s="232" t="s">
        <v>1077</v>
      </c>
      <c r="C367" s="92">
        <v>1.1010000000000001E-4</v>
      </c>
      <c r="D367" s="92">
        <v>1.2769999999999999E-4</v>
      </c>
      <c r="E367" s="236">
        <v>44347.75</v>
      </c>
      <c r="F367" s="236">
        <v>57311</v>
      </c>
      <c r="G367" s="236">
        <v>233669</v>
      </c>
      <c r="H367" s="236"/>
      <c r="I367" s="237">
        <v>4390</v>
      </c>
      <c r="J367" s="237">
        <v>204769</v>
      </c>
      <c r="K367" s="237">
        <v>16004</v>
      </c>
      <c r="L367" s="236">
        <v>409</v>
      </c>
      <c r="M367" s="236"/>
      <c r="N367" s="237">
        <v>8188</v>
      </c>
      <c r="O367" s="237">
        <v>75579</v>
      </c>
      <c r="P367" s="237">
        <v>0</v>
      </c>
      <c r="Q367" s="236">
        <v>17487</v>
      </c>
      <c r="R367" s="237">
        <f t="shared" si="5"/>
        <v>129190</v>
      </c>
      <c r="S367" s="236"/>
      <c r="T367" s="237">
        <v>62456</v>
      </c>
      <c r="U367" s="238">
        <v>-6141</v>
      </c>
      <c r="V367" s="238">
        <v>56315</v>
      </c>
    </row>
    <row r="368" spans="1:22">
      <c r="A368" s="231">
        <v>93691</v>
      </c>
      <c r="B368" s="232" t="s">
        <v>1078</v>
      </c>
      <c r="C368" s="92">
        <v>1.1251E-3</v>
      </c>
      <c r="D368" s="92">
        <v>1.1314999999999999E-3</v>
      </c>
      <c r="E368" s="236">
        <v>407119.95</v>
      </c>
      <c r="F368" s="236">
        <v>507810</v>
      </c>
      <c r="G368" s="236">
        <v>2387839</v>
      </c>
      <c r="H368" s="236"/>
      <c r="I368" s="237">
        <v>44863</v>
      </c>
      <c r="J368" s="237">
        <v>2092508</v>
      </c>
      <c r="K368" s="237">
        <v>163546</v>
      </c>
      <c r="L368" s="236">
        <v>0</v>
      </c>
      <c r="M368" s="236"/>
      <c r="N368" s="237">
        <v>83673</v>
      </c>
      <c r="O368" s="237">
        <v>772334</v>
      </c>
      <c r="P368" s="237">
        <v>0</v>
      </c>
      <c r="Q368" s="236">
        <v>90621</v>
      </c>
      <c r="R368" s="237">
        <f t="shared" si="5"/>
        <v>1320174</v>
      </c>
      <c r="S368" s="236"/>
      <c r="T368" s="237">
        <v>638234</v>
      </c>
      <c r="U368" s="238">
        <v>-28965</v>
      </c>
      <c r="V368" s="238">
        <v>609269</v>
      </c>
    </row>
    <row r="369" spans="1:22">
      <c r="A369" s="231">
        <v>93701</v>
      </c>
      <c r="B369" s="232" t="s">
        <v>1941</v>
      </c>
      <c r="C369" s="92">
        <v>4.6200000000000001E-4</v>
      </c>
      <c r="D369" s="92">
        <v>4.7169999999999997E-4</v>
      </c>
      <c r="E369" s="236">
        <v>182681.63</v>
      </c>
      <c r="F369" s="236">
        <v>211696</v>
      </c>
      <c r="G369" s="236">
        <v>980518.77</v>
      </c>
      <c r="H369" s="236"/>
      <c r="I369" s="237">
        <v>18422.25</v>
      </c>
      <c r="J369" s="237">
        <v>859247</v>
      </c>
      <c r="K369" s="237">
        <v>67157</v>
      </c>
      <c r="L369" s="236">
        <v>13714</v>
      </c>
      <c r="M369" s="236"/>
      <c r="N369" s="237">
        <v>34358</v>
      </c>
      <c r="O369" s="237">
        <v>317144</v>
      </c>
      <c r="P369" s="237">
        <v>0</v>
      </c>
      <c r="Q369" s="236">
        <v>11063</v>
      </c>
      <c r="R369" s="237">
        <f t="shared" si="5"/>
        <v>542103</v>
      </c>
      <c r="S369" s="236"/>
      <c r="T369" s="237">
        <v>262078</v>
      </c>
      <c r="U369" s="238">
        <v>2925</v>
      </c>
      <c r="V369" s="238">
        <v>265003</v>
      </c>
    </row>
    <row r="370" spans="1:22">
      <c r="A370" s="231">
        <v>93704</v>
      </c>
      <c r="B370" s="232" t="s">
        <v>1080</v>
      </c>
      <c r="C370" s="92">
        <v>3.3000000000000002E-6</v>
      </c>
      <c r="D370" s="92">
        <v>3.3000000000000002E-6</v>
      </c>
      <c r="E370" s="236">
        <v>1805.1600000000005</v>
      </c>
      <c r="F370" s="236">
        <v>1481</v>
      </c>
      <c r="G370" s="236">
        <v>7004</v>
      </c>
      <c r="H370" s="236"/>
      <c r="I370" s="237">
        <v>131.58750000000001</v>
      </c>
      <c r="J370" s="237">
        <v>6137</v>
      </c>
      <c r="K370" s="237">
        <v>480</v>
      </c>
      <c r="L370" s="236">
        <v>430</v>
      </c>
      <c r="M370" s="236"/>
      <c r="N370" s="237">
        <v>245</v>
      </c>
      <c r="O370" s="237">
        <v>2265</v>
      </c>
      <c r="P370" s="237">
        <v>0</v>
      </c>
      <c r="Q370" s="236">
        <v>97.51</v>
      </c>
      <c r="R370" s="237">
        <f t="shared" si="5"/>
        <v>3872</v>
      </c>
      <c r="S370" s="236"/>
      <c r="T370" s="237">
        <v>1872</v>
      </c>
      <c r="U370" s="238">
        <v>69</v>
      </c>
      <c r="V370" s="238">
        <v>1941</v>
      </c>
    </row>
    <row r="371" spans="1:22">
      <c r="A371" s="231">
        <v>93801</v>
      </c>
      <c r="B371" s="232" t="s">
        <v>1081</v>
      </c>
      <c r="C371" s="92">
        <v>5.4180000000000005E-4</v>
      </c>
      <c r="D371" s="92">
        <v>4.4959999999999998E-4</v>
      </c>
      <c r="E371" s="236">
        <v>326497.91999999998</v>
      </c>
      <c r="F371" s="236">
        <v>201778</v>
      </c>
      <c r="G371" s="236">
        <v>1149881</v>
      </c>
      <c r="H371" s="236"/>
      <c r="I371" s="237">
        <v>21604</v>
      </c>
      <c r="J371" s="237">
        <v>1007662</v>
      </c>
      <c r="K371" s="237">
        <v>78757</v>
      </c>
      <c r="L371" s="236">
        <v>156479</v>
      </c>
      <c r="M371" s="236"/>
      <c r="N371" s="237">
        <v>40293</v>
      </c>
      <c r="O371" s="237">
        <v>371923</v>
      </c>
      <c r="P371" s="237">
        <v>0</v>
      </c>
      <c r="Q371" s="236">
        <v>2943</v>
      </c>
      <c r="R371" s="237">
        <f t="shared" si="5"/>
        <v>635739</v>
      </c>
      <c r="S371" s="236"/>
      <c r="T371" s="237">
        <v>307346</v>
      </c>
      <c r="U371" s="238">
        <v>41370</v>
      </c>
      <c r="V371" s="238">
        <v>348716</v>
      </c>
    </row>
    <row r="372" spans="1:22">
      <c r="A372" s="231">
        <v>93803</v>
      </c>
      <c r="B372" s="232" t="s">
        <v>1082</v>
      </c>
      <c r="C372" s="92">
        <v>1.4469999999999999E-4</v>
      </c>
      <c r="D372" s="92">
        <v>1.582E-4</v>
      </c>
      <c r="E372" s="236">
        <v>49766.119999999995</v>
      </c>
      <c r="F372" s="236">
        <v>70999</v>
      </c>
      <c r="G372" s="236">
        <v>307102</v>
      </c>
      <c r="H372" s="236"/>
      <c r="I372" s="237">
        <v>5770</v>
      </c>
      <c r="J372" s="237">
        <v>269119</v>
      </c>
      <c r="K372" s="237">
        <v>21034</v>
      </c>
      <c r="L372" s="236">
        <v>0</v>
      </c>
      <c r="M372" s="236"/>
      <c r="N372" s="237">
        <v>10761</v>
      </c>
      <c r="O372" s="237">
        <v>99330</v>
      </c>
      <c r="P372" s="237">
        <v>0</v>
      </c>
      <c r="Q372" s="236">
        <v>34507</v>
      </c>
      <c r="R372" s="237">
        <f t="shared" si="5"/>
        <v>169789</v>
      </c>
      <c r="S372" s="236"/>
      <c r="T372" s="237">
        <v>82084</v>
      </c>
      <c r="U372" s="238">
        <v>-12391</v>
      </c>
      <c r="V372" s="238">
        <v>69693</v>
      </c>
    </row>
    <row r="373" spans="1:22">
      <c r="A373" s="231">
        <v>93806</v>
      </c>
      <c r="B373" s="232" t="s">
        <v>1083</v>
      </c>
      <c r="C373" s="92">
        <v>7.3700000000000002E-5</v>
      </c>
      <c r="D373" s="92">
        <v>7.7899999999999996E-5</v>
      </c>
      <c r="E373" s="236">
        <v>32242.28</v>
      </c>
      <c r="F373" s="236">
        <v>34961</v>
      </c>
      <c r="G373" s="236">
        <v>156416</v>
      </c>
      <c r="H373" s="236"/>
      <c r="I373" s="237">
        <v>2939</v>
      </c>
      <c r="J373" s="237">
        <v>137070</v>
      </c>
      <c r="K373" s="237">
        <v>10713</v>
      </c>
      <c r="L373" s="236">
        <v>1793</v>
      </c>
      <c r="M373" s="236"/>
      <c r="N373" s="237">
        <v>5481</v>
      </c>
      <c r="O373" s="237">
        <v>50592</v>
      </c>
      <c r="P373" s="237">
        <v>0</v>
      </c>
      <c r="Q373" s="236">
        <v>19837</v>
      </c>
      <c r="R373" s="237">
        <f t="shared" si="5"/>
        <v>86478</v>
      </c>
      <c r="S373" s="236"/>
      <c r="T373" s="237">
        <v>41808</v>
      </c>
      <c r="U373" s="238">
        <v>-9153</v>
      </c>
      <c r="V373" s="238">
        <v>32655</v>
      </c>
    </row>
    <row r="374" spans="1:22">
      <c r="A374" s="231">
        <v>93821</v>
      </c>
      <c r="B374" s="232" t="s">
        <v>1084</v>
      </c>
      <c r="C374" s="92">
        <v>5.7200000000000001E-5</v>
      </c>
      <c r="D374" s="92">
        <v>5.2899999999999998E-5</v>
      </c>
      <c r="E374" s="236">
        <v>45354.71</v>
      </c>
      <c r="F374" s="236">
        <v>23741</v>
      </c>
      <c r="G374" s="236">
        <v>121398</v>
      </c>
      <c r="H374" s="236"/>
      <c r="I374" s="237">
        <v>2280.85</v>
      </c>
      <c r="J374" s="237">
        <v>106383</v>
      </c>
      <c r="K374" s="237">
        <v>8315</v>
      </c>
      <c r="L374" s="236">
        <v>26142</v>
      </c>
      <c r="M374" s="236"/>
      <c r="N374" s="237">
        <v>4254</v>
      </c>
      <c r="O374" s="237">
        <v>39265</v>
      </c>
      <c r="P374" s="237">
        <v>0</v>
      </c>
      <c r="Q374" s="236">
        <v>0</v>
      </c>
      <c r="R374" s="237">
        <f t="shared" si="5"/>
        <v>67118</v>
      </c>
      <c r="S374" s="236"/>
      <c r="T374" s="237">
        <v>32448</v>
      </c>
      <c r="U374" s="238">
        <v>7718</v>
      </c>
      <c r="V374" s="238">
        <v>40166</v>
      </c>
    </row>
    <row r="375" spans="1:22">
      <c r="A375" s="231">
        <v>93901</v>
      </c>
      <c r="B375" s="232" t="s">
        <v>1085</v>
      </c>
      <c r="C375" s="92">
        <v>1.8059E-3</v>
      </c>
      <c r="D375" s="92">
        <v>1.7983999999999999E-3</v>
      </c>
      <c r="E375" s="236">
        <v>780735.88</v>
      </c>
      <c r="F375" s="236">
        <v>807111</v>
      </c>
      <c r="G375" s="236">
        <v>3832725</v>
      </c>
      <c r="H375" s="236"/>
      <c r="I375" s="237">
        <v>72010</v>
      </c>
      <c r="J375" s="237">
        <v>3358689</v>
      </c>
      <c r="K375" s="237">
        <v>262507</v>
      </c>
      <c r="L375" s="236">
        <v>66837</v>
      </c>
      <c r="M375" s="236"/>
      <c r="N375" s="237">
        <v>134303</v>
      </c>
      <c r="O375" s="237">
        <v>1239675</v>
      </c>
      <c r="P375" s="237">
        <v>0</v>
      </c>
      <c r="Q375" s="236">
        <v>0</v>
      </c>
      <c r="R375" s="237">
        <f t="shared" si="5"/>
        <v>2119014</v>
      </c>
      <c r="S375" s="236"/>
      <c r="T375" s="237">
        <v>1024431</v>
      </c>
      <c r="U375" s="238">
        <v>21679</v>
      </c>
      <c r="V375" s="238">
        <v>1046110</v>
      </c>
    </row>
    <row r="376" spans="1:22">
      <c r="A376" s="231">
        <v>93904</v>
      </c>
      <c r="B376" s="232" t="s">
        <v>1086</v>
      </c>
      <c r="C376" s="92">
        <v>2.4700000000000001E-5</v>
      </c>
      <c r="D376" s="92">
        <v>2.5700000000000001E-5</v>
      </c>
      <c r="E376" s="236">
        <v>12993.06</v>
      </c>
      <c r="F376" s="236">
        <v>11534</v>
      </c>
      <c r="G376" s="236">
        <v>52422</v>
      </c>
      <c r="H376" s="236"/>
      <c r="I376" s="237">
        <v>984.91250000000002</v>
      </c>
      <c r="J376" s="237">
        <v>45938</v>
      </c>
      <c r="K376" s="237">
        <v>3590</v>
      </c>
      <c r="L376" s="236">
        <v>4911</v>
      </c>
      <c r="M376" s="236"/>
      <c r="N376" s="237">
        <v>1837</v>
      </c>
      <c r="O376" s="237">
        <v>16956</v>
      </c>
      <c r="P376" s="237">
        <v>0</v>
      </c>
      <c r="Q376" s="236">
        <v>56</v>
      </c>
      <c r="R376" s="237">
        <f t="shared" si="5"/>
        <v>28982</v>
      </c>
      <c r="S376" s="236"/>
      <c r="T376" s="237">
        <v>14012</v>
      </c>
      <c r="U376" s="238">
        <v>1550</v>
      </c>
      <c r="V376" s="238">
        <v>15562</v>
      </c>
    </row>
    <row r="377" spans="1:22">
      <c r="A377" s="231">
        <v>93906</v>
      </c>
      <c r="B377" s="232" t="s">
        <v>1087</v>
      </c>
      <c r="C377" s="92">
        <v>3.4513E-3</v>
      </c>
      <c r="D377" s="92">
        <v>3.4020000000000001E-3</v>
      </c>
      <c r="E377" s="236">
        <v>1324474.51</v>
      </c>
      <c r="F377" s="236">
        <v>1526797</v>
      </c>
      <c r="G377" s="236">
        <v>7324815</v>
      </c>
      <c r="H377" s="236"/>
      <c r="I377" s="237">
        <v>137621</v>
      </c>
      <c r="J377" s="237">
        <v>6418873</v>
      </c>
      <c r="K377" s="237">
        <v>501684</v>
      </c>
      <c r="L377" s="236">
        <v>30117</v>
      </c>
      <c r="M377" s="236"/>
      <c r="N377" s="237">
        <v>256670</v>
      </c>
      <c r="O377" s="237">
        <v>2369172</v>
      </c>
      <c r="P377" s="237">
        <v>0</v>
      </c>
      <c r="Q377" s="236">
        <v>185682</v>
      </c>
      <c r="R377" s="237">
        <f t="shared" si="5"/>
        <v>4049701</v>
      </c>
      <c r="S377" s="236"/>
      <c r="T377" s="237">
        <v>1957815</v>
      </c>
      <c r="U377" s="238">
        <v>-46065</v>
      </c>
      <c r="V377" s="238">
        <v>1911751</v>
      </c>
    </row>
    <row r="378" spans="1:22">
      <c r="A378" s="231">
        <v>93908</v>
      </c>
      <c r="B378" s="232" t="s">
        <v>1942</v>
      </c>
      <c r="C378" s="92">
        <v>5.0239999999999996E-4</v>
      </c>
      <c r="D378" s="92">
        <v>5.1309999999999995E-4</v>
      </c>
      <c r="E378" s="236">
        <v>209822.77999999997</v>
      </c>
      <c r="F378" s="236">
        <v>230276</v>
      </c>
      <c r="G378" s="236">
        <v>1066261</v>
      </c>
      <c r="H378" s="236"/>
      <c r="I378" s="237">
        <v>20033</v>
      </c>
      <c r="J378" s="237">
        <v>934385</v>
      </c>
      <c r="K378" s="237">
        <v>73029</v>
      </c>
      <c r="L378" s="236">
        <v>8428</v>
      </c>
      <c r="M378" s="236"/>
      <c r="N378" s="237">
        <v>37363</v>
      </c>
      <c r="O378" s="237">
        <v>344876</v>
      </c>
      <c r="P378" s="237">
        <v>0</v>
      </c>
      <c r="Q378" s="236">
        <v>25053</v>
      </c>
      <c r="R378" s="237">
        <f t="shared" si="5"/>
        <v>589509</v>
      </c>
      <c r="S378" s="236"/>
      <c r="T378" s="237">
        <v>284996</v>
      </c>
      <c r="U378" s="238">
        <v>-4339</v>
      </c>
      <c r="V378" s="238">
        <v>280657</v>
      </c>
    </row>
    <row r="379" spans="1:22">
      <c r="A379" s="231">
        <v>93910</v>
      </c>
      <c r="B379" s="232" t="s">
        <v>1089</v>
      </c>
      <c r="C379" s="92">
        <v>2.9129999999999998E-4</v>
      </c>
      <c r="D379" s="92">
        <v>2.8830000000000001E-4</v>
      </c>
      <c r="E379" s="236">
        <v>105004.28000000001</v>
      </c>
      <c r="F379" s="236">
        <v>129387</v>
      </c>
      <c r="G379" s="236">
        <v>618236</v>
      </c>
      <c r="H379" s="236"/>
      <c r="I379" s="237">
        <v>11616</v>
      </c>
      <c r="J379" s="237">
        <v>541772</v>
      </c>
      <c r="K379" s="237">
        <v>42344</v>
      </c>
      <c r="L379" s="236">
        <v>0</v>
      </c>
      <c r="M379" s="236"/>
      <c r="N379" s="237">
        <v>21664</v>
      </c>
      <c r="O379" s="237">
        <v>199965</v>
      </c>
      <c r="P379" s="237">
        <v>0</v>
      </c>
      <c r="Q379" s="236">
        <v>27549</v>
      </c>
      <c r="R379" s="237">
        <f t="shared" si="5"/>
        <v>341807</v>
      </c>
      <c r="S379" s="236"/>
      <c r="T379" s="237">
        <v>165245</v>
      </c>
      <c r="U379" s="238">
        <v>-10320</v>
      </c>
      <c r="V379" s="238">
        <v>154925</v>
      </c>
    </row>
    <row r="380" spans="1:22">
      <c r="A380" s="231">
        <v>93911</v>
      </c>
      <c r="B380" s="232" t="s">
        <v>1090</v>
      </c>
      <c r="C380" s="92">
        <v>6.9890000000000002E-4</v>
      </c>
      <c r="D380" s="92">
        <v>7.1869999999999996E-4</v>
      </c>
      <c r="E380" s="236">
        <v>267489.03999999998</v>
      </c>
      <c r="F380" s="236">
        <v>322548</v>
      </c>
      <c r="G380" s="236">
        <v>1483300</v>
      </c>
      <c r="H380" s="236"/>
      <c r="I380" s="237">
        <v>27869</v>
      </c>
      <c r="J380" s="237">
        <v>1299844</v>
      </c>
      <c r="K380" s="237">
        <v>101593</v>
      </c>
      <c r="L380" s="236">
        <v>21802</v>
      </c>
      <c r="M380" s="236"/>
      <c r="N380" s="237">
        <v>51976</v>
      </c>
      <c r="O380" s="237">
        <v>479765</v>
      </c>
      <c r="P380" s="237">
        <v>0</v>
      </c>
      <c r="Q380" s="236">
        <v>26554</v>
      </c>
      <c r="R380" s="237">
        <f t="shared" si="5"/>
        <v>820079</v>
      </c>
      <c r="S380" s="236"/>
      <c r="T380" s="237">
        <v>396464</v>
      </c>
      <c r="U380" s="238">
        <v>1748</v>
      </c>
      <c r="V380" s="238">
        <v>398212</v>
      </c>
    </row>
    <row r="381" spans="1:22">
      <c r="A381" s="231">
        <v>93913</v>
      </c>
      <c r="B381" s="232" t="s">
        <v>1091</v>
      </c>
      <c r="C381" s="92">
        <v>6.2600000000000004E-5</v>
      </c>
      <c r="D381" s="92">
        <v>5.5699999999999999E-5</v>
      </c>
      <c r="E381" s="236">
        <v>25969.759999999998</v>
      </c>
      <c r="F381" s="236">
        <v>24998</v>
      </c>
      <c r="G381" s="236">
        <v>132858</v>
      </c>
      <c r="H381" s="236"/>
      <c r="I381" s="237">
        <v>2496</v>
      </c>
      <c r="J381" s="237">
        <v>116426</v>
      </c>
      <c r="K381" s="237">
        <v>9100</v>
      </c>
      <c r="L381" s="236">
        <v>3917</v>
      </c>
      <c r="M381" s="236"/>
      <c r="N381" s="237">
        <v>4655</v>
      </c>
      <c r="O381" s="237">
        <v>42972</v>
      </c>
      <c r="P381" s="237">
        <v>0</v>
      </c>
      <c r="Q381" s="236">
        <v>1335</v>
      </c>
      <c r="R381" s="237">
        <f t="shared" si="5"/>
        <v>73454</v>
      </c>
      <c r="S381" s="236"/>
      <c r="T381" s="237">
        <v>35511</v>
      </c>
      <c r="U381" s="238">
        <v>530</v>
      </c>
      <c r="V381" s="238">
        <v>36041</v>
      </c>
    </row>
    <row r="382" spans="1:22">
      <c r="A382" s="231">
        <v>93914</v>
      </c>
      <c r="B382" s="232" t="s">
        <v>1092</v>
      </c>
      <c r="C382" s="92">
        <v>9.0999999999999993E-6</v>
      </c>
      <c r="D382" s="92">
        <v>1.0000000000000001E-5</v>
      </c>
      <c r="E382" s="236">
        <v>5837.72</v>
      </c>
      <c r="F382" s="236">
        <v>4488</v>
      </c>
      <c r="G382" s="236">
        <v>19313</v>
      </c>
      <c r="H382" s="236"/>
      <c r="I382" s="237">
        <v>363</v>
      </c>
      <c r="J382" s="237">
        <v>16925</v>
      </c>
      <c r="K382" s="237">
        <v>1323</v>
      </c>
      <c r="L382" s="236">
        <v>3108</v>
      </c>
      <c r="M382" s="236"/>
      <c r="N382" s="237">
        <v>677</v>
      </c>
      <c r="O382" s="237">
        <v>6247</v>
      </c>
      <c r="P382" s="237">
        <v>0</v>
      </c>
      <c r="Q382" s="236">
        <v>0</v>
      </c>
      <c r="R382" s="237">
        <f t="shared" si="5"/>
        <v>10678</v>
      </c>
      <c r="S382" s="236"/>
      <c r="T382" s="237">
        <v>5162</v>
      </c>
      <c r="U382" s="238">
        <v>1124</v>
      </c>
      <c r="V382" s="238">
        <v>6287</v>
      </c>
    </row>
    <row r="383" spans="1:22">
      <c r="A383" s="231">
        <v>93921</v>
      </c>
      <c r="B383" s="232" t="s">
        <v>1093</v>
      </c>
      <c r="C383" s="92">
        <v>2.7139999999999998E-4</v>
      </c>
      <c r="D383" s="92">
        <v>2.8130000000000001E-4</v>
      </c>
      <c r="E383" s="236">
        <v>109806.1</v>
      </c>
      <c r="F383" s="236">
        <v>126246</v>
      </c>
      <c r="G383" s="236">
        <v>576002</v>
      </c>
      <c r="H383" s="236"/>
      <c r="I383" s="237">
        <v>10822</v>
      </c>
      <c r="J383" s="237">
        <v>504761</v>
      </c>
      <c r="K383" s="237">
        <v>39451</v>
      </c>
      <c r="L383" s="236">
        <v>14895</v>
      </c>
      <c r="M383" s="236"/>
      <c r="N383" s="237">
        <v>20184</v>
      </c>
      <c r="O383" s="237">
        <v>186305</v>
      </c>
      <c r="P383" s="237">
        <v>0</v>
      </c>
      <c r="Q383" s="236">
        <v>6797</v>
      </c>
      <c r="R383" s="237">
        <f t="shared" si="5"/>
        <v>318456</v>
      </c>
      <c r="S383" s="236"/>
      <c r="T383" s="237">
        <v>153957</v>
      </c>
      <c r="U383" s="238">
        <v>4443</v>
      </c>
      <c r="V383" s="238">
        <v>158400</v>
      </c>
    </row>
    <row r="384" spans="1:22">
      <c r="A384" s="231">
        <v>93931</v>
      </c>
      <c r="B384" s="232" t="s">
        <v>1094</v>
      </c>
      <c r="C384" s="92">
        <v>5.2260000000000002E-4</v>
      </c>
      <c r="D384" s="92">
        <v>5.1309999999999995E-4</v>
      </c>
      <c r="E384" s="236">
        <v>190729.08000000002</v>
      </c>
      <c r="F384" s="236">
        <v>230276</v>
      </c>
      <c r="G384" s="236">
        <v>1109132</v>
      </c>
      <c r="H384" s="236"/>
      <c r="I384" s="237">
        <v>20839</v>
      </c>
      <c r="J384" s="237">
        <v>971953</v>
      </c>
      <c r="K384" s="237">
        <v>75966</v>
      </c>
      <c r="L384" s="236">
        <v>197494</v>
      </c>
      <c r="M384" s="236"/>
      <c r="N384" s="237">
        <v>38865</v>
      </c>
      <c r="O384" s="237">
        <v>358743</v>
      </c>
      <c r="P384" s="237">
        <v>0</v>
      </c>
      <c r="Q384" s="236">
        <v>14064</v>
      </c>
      <c r="R384" s="237">
        <f t="shared" si="5"/>
        <v>613210</v>
      </c>
      <c r="S384" s="236"/>
      <c r="T384" s="237">
        <v>296455</v>
      </c>
      <c r="U384" s="238">
        <v>86279</v>
      </c>
      <c r="V384" s="238">
        <v>382733</v>
      </c>
    </row>
    <row r="385" spans="1:22">
      <c r="A385" s="231">
        <v>94001</v>
      </c>
      <c r="B385" s="232" t="s">
        <v>1095</v>
      </c>
      <c r="C385" s="92">
        <v>9.0240000000000003E-4</v>
      </c>
      <c r="D385" s="92">
        <v>8.1820000000000005E-4</v>
      </c>
      <c r="E385" s="236">
        <v>359460.23999999993</v>
      </c>
      <c r="F385" s="236">
        <v>367203</v>
      </c>
      <c r="G385" s="236">
        <v>1915195</v>
      </c>
      <c r="H385" s="236"/>
      <c r="I385" s="237">
        <v>35983</v>
      </c>
      <c r="J385" s="237">
        <v>1678321</v>
      </c>
      <c r="K385" s="237">
        <v>131174</v>
      </c>
      <c r="L385" s="236">
        <v>36363</v>
      </c>
      <c r="M385" s="236"/>
      <c r="N385" s="237">
        <v>67111</v>
      </c>
      <c r="O385" s="237">
        <v>619460</v>
      </c>
      <c r="P385" s="237">
        <v>0</v>
      </c>
      <c r="Q385" s="236">
        <v>53646</v>
      </c>
      <c r="R385" s="237">
        <f t="shared" si="5"/>
        <v>1058861</v>
      </c>
      <c r="S385" s="236"/>
      <c r="T385" s="237">
        <v>511904</v>
      </c>
      <c r="U385" s="238">
        <v>-17058</v>
      </c>
      <c r="V385" s="238">
        <v>494846</v>
      </c>
    </row>
    <row r="386" spans="1:22">
      <c r="A386" s="231">
        <v>94002</v>
      </c>
      <c r="B386" s="232" t="s">
        <v>1096</v>
      </c>
      <c r="C386" s="92">
        <v>7.6000000000000001E-6</v>
      </c>
      <c r="D386" s="92">
        <v>8.3000000000000002E-6</v>
      </c>
      <c r="E386" s="236">
        <v>4360.1499999999987</v>
      </c>
      <c r="F386" s="236">
        <v>3725</v>
      </c>
      <c r="G386" s="236">
        <v>16130</v>
      </c>
      <c r="H386" s="236"/>
      <c r="I386" s="237">
        <v>303.05</v>
      </c>
      <c r="J386" s="237">
        <v>14135</v>
      </c>
      <c r="K386" s="237">
        <v>1105</v>
      </c>
      <c r="L386" s="236">
        <v>867</v>
      </c>
      <c r="M386" s="236"/>
      <c r="N386" s="237">
        <v>565</v>
      </c>
      <c r="O386" s="237">
        <v>5217</v>
      </c>
      <c r="P386" s="237">
        <v>0</v>
      </c>
      <c r="Q386" s="236">
        <v>430</v>
      </c>
      <c r="R386" s="237">
        <f t="shared" si="5"/>
        <v>8918</v>
      </c>
      <c r="S386" s="236"/>
      <c r="T386" s="237">
        <v>4311</v>
      </c>
      <c r="U386" s="238">
        <v>34</v>
      </c>
      <c r="V386" s="238">
        <v>4345</v>
      </c>
    </row>
    <row r="387" spans="1:22">
      <c r="A387" s="231">
        <v>94004</v>
      </c>
      <c r="B387" s="232" t="s">
        <v>1097</v>
      </c>
      <c r="C387" s="92">
        <v>2.7999999999999999E-6</v>
      </c>
      <c r="D387" s="92">
        <v>2.2000000000000001E-6</v>
      </c>
      <c r="E387" s="236">
        <v>2638.89</v>
      </c>
      <c r="F387" s="236">
        <v>987</v>
      </c>
      <c r="G387" s="236">
        <v>5943</v>
      </c>
      <c r="H387" s="236"/>
      <c r="I387" s="237">
        <v>112</v>
      </c>
      <c r="J387" s="237">
        <v>5208</v>
      </c>
      <c r="K387" s="237">
        <v>407</v>
      </c>
      <c r="L387" s="236">
        <v>1506</v>
      </c>
      <c r="M387" s="236"/>
      <c r="N387" s="237">
        <v>208</v>
      </c>
      <c r="O387" s="237">
        <v>1922</v>
      </c>
      <c r="P387" s="237">
        <v>0</v>
      </c>
      <c r="Q387" s="236">
        <v>1224</v>
      </c>
      <c r="R387" s="237">
        <f t="shared" si="5"/>
        <v>3286</v>
      </c>
      <c r="S387" s="236"/>
      <c r="T387" s="237">
        <v>1588</v>
      </c>
      <c r="U387" s="238">
        <v>-207</v>
      </c>
      <c r="V387" s="238">
        <v>1381</v>
      </c>
    </row>
    <row r="388" spans="1:22">
      <c r="A388" s="231">
        <v>94005</v>
      </c>
      <c r="B388" s="232" t="s">
        <v>1098</v>
      </c>
      <c r="C388" s="92">
        <v>5.4999999999999999E-6</v>
      </c>
      <c r="D388" s="92">
        <v>6.2999999999999998E-6</v>
      </c>
      <c r="E388" s="236">
        <v>0</v>
      </c>
      <c r="F388" s="236">
        <v>2827</v>
      </c>
      <c r="G388" s="236">
        <v>11673</v>
      </c>
      <c r="H388" s="236"/>
      <c r="I388" s="237">
        <v>219.3125</v>
      </c>
      <c r="J388" s="237">
        <v>10229</v>
      </c>
      <c r="K388" s="237">
        <v>799</v>
      </c>
      <c r="L388" s="236">
        <v>0</v>
      </c>
      <c r="M388" s="236"/>
      <c r="N388" s="237">
        <v>409</v>
      </c>
      <c r="O388" s="237">
        <v>3776</v>
      </c>
      <c r="P388" s="237">
        <v>0</v>
      </c>
      <c r="Q388" s="236">
        <v>3798</v>
      </c>
      <c r="R388" s="237">
        <f t="shared" si="5"/>
        <v>6453</v>
      </c>
      <c r="S388" s="236"/>
      <c r="T388" s="237">
        <v>3120</v>
      </c>
      <c r="U388" s="238">
        <v>-1174</v>
      </c>
      <c r="V388" s="238">
        <v>1946</v>
      </c>
    </row>
    <row r="389" spans="1:22">
      <c r="A389" s="231">
        <v>94011</v>
      </c>
      <c r="B389" s="232" t="s">
        <v>1099</v>
      </c>
      <c r="C389" s="92">
        <v>2.5599999999999999E-5</v>
      </c>
      <c r="D389" s="92">
        <v>1.3900000000000001E-5</v>
      </c>
      <c r="E389" s="236">
        <v>8013.12</v>
      </c>
      <c r="F389" s="236">
        <v>6238</v>
      </c>
      <c r="G389" s="236">
        <v>54332</v>
      </c>
      <c r="H389" s="236"/>
      <c r="I389" s="237">
        <v>1020.8</v>
      </c>
      <c r="J389" s="237">
        <v>47612</v>
      </c>
      <c r="K389" s="237">
        <v>3721</v>
      </c>
      <c r="L389" s="236">
        <v>4341</v>
      </c>
      <c r="M389" s="236"/>
      <c r="N389" s="237">
        <v>1904</v>
      </c>
      <c r="O389" s="237">
        <v>17573</v>
      </c>
      <c r="P389" s="237">
        <v>0</v>
      </c>
      <c r="Q389" s="236">
        <v>1019</v>
      </c>
      <c r="R389" s="237">
        <f t="shared" si="5"/>
        <v>30039</v>
      </c>
      <c r="S389" s="236"/>
      <c r="T389" s="237">
        <v>14522</v>
      </c>
      <c r="U389" s="238">
        <v>639</v>
      </c>
      <c r="V389" s="238">
        <v>15161</v>
      </c>
    </row>
    <row r="390" spans="1:22">
      <c r="A390" s="231">
        <v>94021</v>
      </c>
      <c r="B390" s="232" t="s">
        <v>1100</v>
      </c>
      <c r="C390" s="92">
        <v>8.1699999999999994E-5</v>
      </c>
      <c r="D390" s="92">
        <v>7.6899999999999999E-5</v>
      </c>
      <c r="E390" s="236">
        <v>34891.089999999997</v>
      </c>
      <c r="F390" s="236">
        <v>34512</v>
      </c>
      <c r="G390" s="236">
        <v>173395</v>
      </c>
      <c r="H390" s="236"/>
      <c r="I390" s="237">
        <v>3258</v>
      </c>
      <c r="J390" s="237">
        <v>151949</v>
      </c>
      <c r="K390" s="237">
        <v>11876</v>
      </c>
      <c r="L390" s="236">
        <v>14318</v>
      </c>
      <c r="M390" s="236"/>
      <c r="N390" s="237">
        <v>6076</v>
      </c>
      <c r="O390" s="237">
        <v>56084</v>
      </c>
      <c r="P390" s="237">
        <v>0</v>
      </c>
      <c r="Q390" s="236">
        <v>0</v>
      </c>
      <c r="R390" s="237">
        <f t="shared" si="5"/>
        <v>95865</v>
      </c>
      <c r="S390" s="236"/>
      <c r="T390" s="237">
        <v>46346</v>
      </c>
      <c r="U390" s="238">
        <v>5712</v>
      </c>
      <c r="V390" s="238">
        <v>52058</v>
      </c>
    </row>
    <row r="391" spans="1:22">
      <c r="A391" s="231">
        <v>94031</v>
      </c>
      <c r="B391" s="232" t="s">
        <v>1101</v>
      </c>
      <c r="C391" s="92">
        <v>8.1000000000000004E-6</v>
      </c>
      <c r="D391" s="92">
        <v>6.9E-6</v>
      </c>
      <c r="E391" s="236">
        <v>7705.65</v>
      </c>
      <c r="F391" s="236">
        <v>3097</v>
      </c>
      <c r="G391" s="236">
        <v>17191</v>
      </c>
      <c r="H391" s="236"/>
      <c r="I391" s="237">
        <v>322.98750000000001</v>
      </c>
      <c r="J391" s="237">
        <v>15065</v>
      </c>
      <c r="K391" s="237">
        <v>1177</v>
      </c>
      <c r="L391" s="236">
        <v>8044</v>
      </c>
      <c r="M391" s="236"/>
      <c r="N391" s="237">
        <v>602</v>
      </c>
      <c r="O391" s="237">
        <v>5560</v>
      </c>
      <c r="P391" s="237">
        <v>0</v>
      </c>
      <c r="Q391" s="236">
        <v>81.59</v>
      </c>
      <c r="R391" s="237">
        <f t="shared" si="5"/>
        <v>9505</v>
      </c>
      <c r="S391" s="236"/>
      <c r="T391" s="237">
        <v>4595</v>
      </c>
      <c r="U391" s="238">
        <v>2417</v>
      </c>
      <c r="V391" s="238">
        <v>7012</v>
      </c>
    </row>
    <row r="392" spans="1:22">
      <c r="A392" s="231">
        <v>94101</v>
      </c>
      <c r="B392" s="232" t="s">
        <v>1102</v>
      </c>
      <c r="C392" s="92">
        <v>1.85028E-2</v>
      </c>
      <c r="D392" s="92">
        <v>1.9464599999999999E-2</v>
      </c>
      <c r="E392" s="236">
        <v>7542805.6200000001</v>
      </c>
      <c r="F392" s="236">
        <v>8735596</v>
      </c>
      <c r="G392" s="236">
        <v>39269140</v>
      </c>
      <c r="H392" s="236"/>
      <c r="I392" s="237">
        <v>737799.15</v>
      </c>
      <c r="J392" s="237">
        <v>34412285</v>
      </c>
      <c r="K392" s="237">
        <v>2689586</v>
      </c>
      <c r="L392" s="236">
        <v>420795</v>
      </c>
      <c r="M392" s="236"/>
      <c r="N392" s="237">
        <v>1376035</v>
      </c>
      <c r="O392" s="237">
        <v>12701395</v>
      </c>
      <c r="P392" s="237">
        <v>0</v>
      </c>
      <c r="Q392" s="236">
        <v>1094802</v>
      </c>
      <c r="R392" s="237">
        <f t="shared" si="5"/>
        <v>21710890</v>
      </c>
      <c r="S392" s="236"/>
      <c r="T392" s="237">
        <v>10496065</v>
      </c>
      <c r="U392" s="238">
        <v>-261265</v>
      </c>
      <c r="V392" s="238">
        <v>10234799</v>
      </c>
    </row>
    <row r="393" spans="1:22">
      <c r="A393" s="231">
        <v>94102</v>
      </c>
      <c r="B393" s="232" t="s">
        <v>1103</v>
      </c>
      <c r="C393" s="92">
        <v>2.7569999999999998E-4</v>
      </c>
      <c r="D393" s="92">
        <v>2.7809999999999998E-4</v>
      </c>
      <c r="E393" s="236">
        <v>89848.97</v>
      </c>
      <c r="F393" s="236">
        <v>124810</v>
      </c>
      <c r="G393" s="236">
        <v>585128</v>
      </c>
      <c r="H393" s="236"/>
      <c r="I393" s="237">
        <v>10994</v>
      </c>
      <c r="J393" s="237">
        <v>512758</v>
      </c>
      <c r="K393" s="237">
        <v>40076</v>
      </c>
      <c r="L393" s="236">
        <v>5166</v>
      </c>
      <c r="M393" s="236"/>
      <c r="N393" s="237">
        <v>20504</v>
      </c>
      <c r="O393" s="237">
        <v>189256</v>
      </c>
      <c r="P393" s="237">
        <v>0</v>
      </c>
      <c r="Q393" s="236">
        <v>36634</v>
      </c>
      <c r="R393" s="237">
        <f t="shared" ref="R393:R456" si="6">IF(J393&gt;O393,J393-O393,O393-J393)</f>
        <v>323502</v>
      </c>
      <c r="S393" s="236"/>
      <c r="T393" s="237">
        <v>156396</v>
      </c>
      <c r="U393" s="238">
        <v>-8485</v>
      </c>
      <c r="V393" s="238">
        <v>147911</v>
      </c>
    </row>
    <row r="394" spans="1:22">
      <c r="A394" s="231">
        <v>94108</v>
      </c>
      <c r="B394" s="232" t="s">
        <v>1104</v>
      </c>
      <c r="C394" s="92">
        <v>3.1809999999999998E-4</v>
      </c>
      <c r="D394" s="92">
        <v>3.991E-4</v>
      </c>
      <c r="E394" s="236">
        <v>100947.51999999999</v>
      </c>
      <c r="F394" s="236">
        <v>179114</v>
      </c>
      <c r="G394" s="236">
        <v>675115</v>
      </c>
      <c r="H394" s="236"/>
      <c r="I394" s="237">
        <v>12684</v>
      </c>
      <c r="J394" s="237">
        <v>591616</v>
      </c>
      <c r="K394" s="237">
        <v>46239</v>
      </c>
      <c r="L394" s="236">
        <v>0</v>
      </c>
      <c r="M394" s="236"/>
      <c r="N394" s="237">
        <v>23657</v>
      </c>
      <c r="O394" s="237">
        <v>218362</v>
      </c>
      <c r="P394" s="237">
        <v>0</v>
      </c>
      <c r="Q394" s="236">
        <v>121376</v>
      </c>
      <c r="R394" s="237">
        <f t="shared" si="6"/>
        <v>373254</v>
      </c>
      <c r="S394" s="236"/>
      <c r="T394" s="237">
        <v>180448</v>
      </c>
      <c r="U394" s="238">
        <v>-40521</v>
      </c>
      <c r="V394" s="238">
        <v>139927</v>
      </c>
    </row>
    <row r="395" spans="1:22">
      <c r="A395" s="231">
        <v>94109</v>
      </c>
      <c r="B395" s="232" t="s">
        <v>1105</v>
      </c>
      <c r="C395" s="92">
        <v>1.0399999999999999E-4</v>
      </c>
      <c r="D395" s="92">
        <v>1.359E-4</v>
      </c>
      <c r="E395" s="236">
        <v>30807.5</v>
      </c>
      <c r="F395" s="236">
        <v>60991</v>
      </c>
      <c r="G395" s="236">
        <v>220722.84</v>
      </c>
      <c r="H395" s="236"/>
      <c r="I395" s="237">
        <v>4147</v>
      </c>
      <c r="J395" s="237">
        <v>193424</v>
      </c>
      <c r="K395" s="237">
        <v>15118</v>
      </c>
      <c r="L395" s="236">
        <v>1600</v>
      </c>
      <c r="M395" s="236"/>
      <c r="N395" s="237">
        <v>7734</v>
      </c>
      <c r="O395" s="237">
        <v>71392</v>
      </c>
      <c r="P395" s="237">
        <v>0</v>
      </c>
      <c r="Q395" s="236">
        <v>33989</v>
      </c>
      <c r="R395" s="237">
        <f t="shared" si="6"/>
        <v>122032</v>
      </c>
      <c r="S395" s="236"/>
      <c r="T395" s="237">
        <v>58996</v>
      </c>
      <c r="U395" s="238">
        <v>-8690</v>
      </c>
      <c r="V395" s="238">
        <v>50306</v>
      </c>
    </row>
    <row r="396" spans="1:22">
      <c r="A396" s="231">
        <v>94111</v>
      </c>
      <c r="B396" s="232" t="s">
        <v>1106</v>
      </c>
      <c r="C396" s="92">
        <v>2.5623300000000002E-2</v>
      </c>
      <c r="D396" s="92">
        <v>2.7054000000000002E-2</v>
      </c>
      <c r="E396" s="236">
        <v>10028319.130000001</v>
      </c>
      <c r="F396" s="236">
        <v>12141673</v>
      </c>
      <c r="G396" s="236">
        <v>54381226</v>
      </c>
      <c r="H396" s="236"/>
      <c r="I396" s="237">
        <v>1021729</v>
      </c>
      <c r="J396" s="237">
        <v>47655290</v>
      </c>
      <c r="K396" s="237">
        <v>3724629</v>
      </c>
      <c r="L396" s="236">
        <v>15132</v>
      </c>
      <c r="M396" s="236"/>
      <c r="N396" s="237">
        <v>1905579</v>
      </c>
      <c r="O396" s="237">
        <v>17589319</v>
      </c>
      <c r="P396" s="237">
        <v>0</v>
      </c>
      <c r="Q396" s="236">
        <v>1552982</v>
      </c>
      <c r="R396" s="237">
        <f t="shared" si="6"/>
        <v>30065971</v>
      </c>
      <c r="S396" s="236"/>
      <c r="T396" s="237">
        <v>14535304</v>
      </c>
      <c r="U396" s="238">
        <v>-430419</v>
      </c>
      <c r="V396" s="238">
        <v>14104885</v>
      </c>
    </row>
    <row r="397" spans="1:22">
      <c r="A397" s="231">
        <v>94112</v>
      </c>
      <c r="B397" s="232" t="s">
        <v>1107</v>
      </c>
      <c r="C397" s="92">
        <v>1.6530000000000001E-4</v>
      </c>
      <c r="D397" s="92">
        <v>1.6909999999999999E-4</v>
      </c>
      <c r="E397" s="236">
        <v>58678.14</v>
      </c>
      <c r="F397" s="236">
        <v>75891</v>
      </c>
      <c r="G397" s="236">
        <v>350822</v>
      </c>
      <c r="H397" s="236"/>
      <c r="I397" s="237">
        <v>6591</v>
      </c>
      <c r="J397" s="237">
        <v>307432</v>
      </c>
      <c r="K397" s="237">
        <v>24028</v>
      </c>
      <c r="L397" s="236">
        <v>0</v>
      </c>
      <c r="M397" s="236"/>
      <c r="N397" s="237">
        <v>12293</v>
      </c>
      <c r="O397" s="237">
        <v>113472</v>
      </c>
      <c r="P397" s="237">
        <v>0</v>
      </c>
      <c r="Q397" s="236">
        <v>20904</v>
      </c>
      <c r="R397" s="237">
        <f t="shared" si="6"/>
        <v>193960</v>
      </c>
      <c r="S397" s="236"/>
      <c r="T397" s="237">
        <v>93770</v>
      </c>
      <c r="U397" s="238">
        <v>-7213</v>
      </c>
      <c r="V397" s="238">
        <v>86557</v>
      </c>
    </row>
    <row r="398" spans="1:22">
      <c r="A398" s="231">
        <v>94117</v>
      </c>
      <c r="B398" s="232" t="s">
        <v>1108</v>
      </c>
      <c r="C398" s="92">
        <v>4.0709999999999997E-4</v>
      </c>
      <c r="D398" s="92">
        <v>4.17E-4</v>
      </c>
      <c r="E398" s="236">
        <v>162037.82999999999</v>
      </c>
      <c r="F398" s="236">
        <v>187147</v>
      </c>
      <c r="G398" s="236">
        <v>864003</v>
      </c>
      <c r="H398" s="236"/>
      <c r="I398" s="237">
        <v>16233</v>
      </c>
      <c r="J398" s="237">
        <v>757142</v>
      </c>
      <c r="K398" s="237">
        <v>59176</v>
      </c>
      <c r="L398" s="236">
        <v>12662</v>
      </c>
      <c r="M398" s="236"/>
      <c r="N398" s="237">
        <v>30276</v>
      </c>
      <c r="O398" s="237">
        <v>279457</v>
      </c>
      <c r="P398" s="237">
        <v>0</v>
      </c>
      <c r="Q398" s="236">
        <v>9635</v>
      </c>
      <c r="R398" s="237">
        <f t="shared" si="6"/>
        <v>477685</v>
      </c>
      <c r="S398" s="236"/>
      <c r="T398" s="237">
        <v>230935</v>
      </c>
      <c r="U398" s="238">
        <v>2033</v>
      </c>
      <c r="V398" s="238">
        <v>232968</v>
      </c>
    </row>
    <row r="399" spans="1:22">
      <c r="A399" s="231">
        <v>94118</v>
      </c>
      <c r="B399" s="232" t="s">
        <v>1109</v>
      </c>
      <c r="C399" s="92">
        <v>1.63E-4</v>
      </c>
      <c r="D399" s="92">
        <v>1.918E-4</v>
      </c>
      <c r="E399" s="236">
        <v>53075.589999999989</v>
      </c>
      <c r="F399" s="236">
        <v>86079</v>
      </c>
      <c r="G399" s="236">
        <v>345941</v>
      </c>
      <c r="H399" s="236"/>
      <c r="I399" s="237">
        <v>6499.625</v>
      </c>
      <c r="J399" s="237">
        <v>303154</v>
      </c>
      <c r="K399" s="237">
        <v>23694</v>
      </c>
      <c r="L399" s="236">
        <v>0</v>
      </c>
      <c r="M399" s="236"/>
      <c r="N399" s="237">
        <v>12122</v>
      </c>
      <c r="O399" s="237">
        <v>111893</v>
      </c>
      <c r="P399" s="237">
        <v>0</v>
      </c>
      <c r="Q399" s="236">
        <v>58615</v>
      </c>
      <c r="R399" s="237">
        <f t="shared" si="6"/>
        <v>191261</v>
      </c>
      <c r="S399" s="236"/>
      <c r="T399" s="237">
        <v>92465</v>
      </c>
      <c r="U399" s="238">
        <v>-20217</v>
      </c>
      <c r="V399" s="238">
        <v>72248</v>
      </c>
    </row>
    <row r="400" spans="1:22">
      <c r="A400" s="231">
        <v>94121</v>
      </c>
      <c r="B400" s="232" t="s">
        <v>1110</v>
      </c>
      <c r="C400" s="92">
        <v>1.12823E-2</v>
      </c>
      <c r="D400" s="92">
        <v>1.20112E-2</v>
      </c>
      <c r="E400" s="236">
        <v>4810509.83</v>
      </c>
      <c r="F400" s="236">
        <v>5390554</v>
      </c>
      <c r="G400" s="236">
        <v>23944820</v>
      </c>
      <c r="H400" s="236"/>
      <c r="I400" s="237">
        <v>449882</v>
      </c>
      <c r="J400" s="237">
        <v>20983295</v>
      </c>
      <c r="K400" s="237">
        <v>1640006</v>
      </c>
      <c r="L400" s="236">
        <v>42878</v>
      </c>
      <c r="M400" s="236"/>
      <c r="N400" s="237">
        <v>839053</v>
      </c>
      <c r="O400" s="237">
        <v>7744825</v>
      </c>
      <c r="P400" s="237">
        <v>0</v>
      </c>
      <c r="Q400" s="236">
        <v>429585</v>
      </c>
      <c r="R400" s="237">
        <f t="shared" si="6"/>
        <v>13238470</v>
      </c>
      <c r="S400" s="236"/>
      <c r="T400" s="237">
        <v>6400099</v>
      </c>
      <c r="U400" s="238">
        <v>-137554</v>
      </c>
      <c r="V400" s="238">
        <v>6262545</v>
      </c>
    </row>
    <row r="401" spans="1:22">
      <c r="A401" s="231">
        <v>94127</v>
      </c>
      <c r="B401" s="232" t="s">
        <v>1111</v>
      </c>
      <c r="C401" s="92">
        <v>1.528E-4</v>
      </c>
      <c r="D401" s="92">
        <v>1.4530000000000001E-4</v>
      </c>
      <c r="E401" s="236">
        <v>61107.729999999996</v>
      </c>
      <c r="F401" s="236">
        <v>65210</v>
      </c>
      <c r="G401" s="236">
        <v>324293</v>
      </c>
      <c r="H401" s="236"/>
      <c r="I401" s="237">
        <v>6092.9</v>
      </c>
      <c r="J401" s="237">
        <v>284184</v>
      </c>
      <c r="K401" s="237">
        <v>22211</v>
      </c>
      <c r="L401" s="236">
        <v>3883</v>
      </c>
      <c r="M401" s="236"/>
      <c r="N401" s="237">
        <v>11364</v>
      </c>
      <c r="O401" s="237">
        <v>104891</v>
      </c>
      <c r="P401" s="237">
        <v>0</v>
      </c>
      <c r="Q401" s="236">
        <v>617</v>
      </c>
      <c r="R401" s="237">
        <f t="shared" si="6"/>
        <v>179293</v>
      </c>
      <c r="S401" s="236"/>
      <c r="T401" s="237">
        <v>86679</v>
      </c>
      <c r="U401" s="238">
        <v>1078</v>
      </c>
      <c r="V401" s="238">
        <v>87756</v>
      </c>
    </row>
    <row r="402" spans="1:22">
      <c r="A402" s="231">
        <v>94131</v>
      </c>
      <c r="B402" s="232" t="s">
        <v>1112</v>
      </c>
      <c r="C402" s="92">
        <v>2.0049999999999999E-4</v>
      </c>
      <c r="D402" s="92">
        <v>2.0120000000000001E-4</v>
      </c>
      <c r="E402" s="236">
        <v>83859.38</v>
      </c>
      <c r="F402" s="236">
        <v>90297</v>
      </c>
      <c r="G402" s="236">
        <v>425528</v>
      </c>
      <c r="H402" s="236"/>
      <c r="I402" s="237">
        <v>7994.9375</v>
      </c>
      <c r="J402" s="237">
        <v>372898</v>
      </c>
      <c r="K402" s="237">
        <v>29145</v>
      </c>
      <c r="L402" s="236">
        <v>4546</v>
      </c>
      <c r="M402" s="236"/>
      <c r="N402" s="237">
        <v>14911</v>
      </c>
      <c r="O402" s="237">
        <v>137635</v>
      </c>
      <c r="P402" s="237">
        <v>0</v>
      </c>
      <c r="Q402" s="236">
        <v>1120</v>
      </c>
      <c r="R402" s="237">
        <f t="shared" si="6"/>
        <v>235263</v>
      </c>
      <c r="S402" s="236"/>
      <c r="T402" s="237">
        <v>113737</v>
      </c>
      <c r="U402" s="238">
        <v>979</v>
      </c>
      <c r="V402" s="238">
        <v>114716</v>
      </c>
    </row>
    <row r="403" spans="1:22">
      <c r="A403" s="231">
        <v>94151</v>
      </c>
      <c r="B403" s="232" t="s">
        <v>1113</v>
      </c>
      <c r="C403" s="92">
        <v>4.2870000000000001E-4</v>
      </c>
      <c r="D403" s="92">
        <v>4.0200000000000001E-4</v>
      </c>
      <c r="E403" s="236">
        <v>148093.01</v>
      </c>
      <c r="F403" s="236">
        <v>180415</v>
      </c>
      <c r="G403" s="236">
        <v>909845</v>
      </c>
      <c r="H403" s="236"/>
      <c r="I403" s="237">
        <v>17094</v>
      </c>
      <c r="J403" s="237">
        <v>797314</v>
      </c>
      <c r="K403" s="237">
        <v>62316</v>
      </c>
      <c r="L403" s="236">
        <v>0</v>
      </c>
      <c r="M403" s="236"/>
      <c r="N403" s="237">
        <v>31882</v>
      </c>
      <c r="O403" s="237">
        <v>294285</v>
      </c>
      <c r="P403" s="237">
        <v>0</v>
      </c>
      <c r="Q403" s="236">
        <v>19133</v>
      </c>
      <c r="R403" s="237">
        <f t="shared" si="6"/>
        <v>503029</v>
      </c>
      <c r="S403" s="236"/>
      <c r="T403" s="237">
        <v>243188</v>
      </c>
      <c r="U403" s="238">
        <v>-6795</v>
      </c>
      <c r="V403" s="238">
        <v>236393</v>
      </c>
    </row>
    <row r="404" spans="1:22">
      <c r="A404" s="231">
        <v>94157</v>
      </c>
      <c r="B404" s="232" t="s">
        <v>1114</v>
      </c>
      <c r="C404" s="92">
        <v>9.3999999999999998E-6</v>
      </c>
      <c r="D404" s="92">
        <v>8.1999999999999994E-6</v>
      </c>
      <c r="E404" s="236">
        <v>4972.8100000000013</v>
      </c>
      <c r="F404" s="236">
        <v>3680</v>
      </c>
      <c r="G404" s="236">
        <v>19950</v>
      </c>
      <c r="H404" s="236"/>
      <c r="I404" s="237">
        <v>374.82499999999999</v>
      </c>
      <c r="J404" s="237">
        <v>17483</v>
      </c>
      <c r="K404" s="237">
        <v>1366</v>
      </c>
      <c r="L404" s="236">
        <v>5150</v>
      </c>
      <c r="M404" s="236"/>
      <c r="N404" s="237">
        <v>699</v>
      </c>
      <c r="O404" s="237">
        <v>6453</v>
      </c>
      <c r="P404" s="237">
        <v>0</v>
      </c>
      <c r="Q404" s="236">
        <v>0</v>
      </c>
      <c r="R404" s="237">
        <f t="shared" si="6"/>
        <v>11030</v>
      </c>
      <c r="S404" s="236"/>
      <c r="T404" s="237">
        <v>5332</v>
      </c>
      <c r="U404" s="238">
        <v>1947</v>
      </c>
      <c r="V404" s="238">
        <v>7280</v>
      </c>
    </row>
    <row r="405" spans="1:22">
      <c r="A405" s="231">
        <v>94161</v>
      </c>
      <c r="B405" s="232" t="s">
        <v>1115</v>
      </c>
      <c r="C405" s="92">
        <v>5.7899999999999998E-5</v>
      </c>
      <c r="D405" s="92">
        <v>5.3000000000000001E-5</v>
      </c>
      <c r="E405" s="236">
        <v>21890.33</v>
      </c>
      <c r="F405" s="236">
        <v>23786</v>
      </c>
      <c r="G405" s="236">
        <v>122883</v>
      </c>
      <c r="H405" s="236"/>
      <c r="I405" s="237">
        <v>2309</v>
      </c>
      <c r="J405" s="237">
        <v>107685</v>
      </c>
      <c r="K405" s="237">
        <v>8416</v>
      </c>
      <c r="L405" s="236">
        <v>8543</v>
      </c>
      <c r="M405" s="236"/>
      <c r="N405" s="237">
        <v>4306</v>
      </c>
      <c r="O405" s="237">
        <v>39746</v>
      </c>
      <c r="P405" s="237">
        <v>0</v>
      </c>
      <c r="Q405" s="236">
        <v>0</v>
      </c>
      <c r="R405" s="237">
        <f t="shared" si="6"/>
        <v>67939</v>
      </c>
      <c r="S405" s="236"/>
      <c r="T405" s="237">
        <v>32845</v>
      </c>
      <c r="U405" s="238">
        <v>3088</v>
      </c>
      <c r="V405" s="238">
        <v>35933</v>
      </c>
    </row>
    <row r="406" spans="1:22">
      <c r="A406" s="231">
        <v>94168</v>
      </c>
      <c r="B406" s="232" t="s">
        <v>1116</v>
      </c>
      <c r="C406" s="92">
        <v>3.4E-5</v>
      </c>
      <c r="D406" s="92">
        <v>4.18E-5</v>
      </c>
      <c r="E406" s="236">
        <v>12127.4</v>
      </c>
      <c r="F406" s="236">
        <v>18760</v>
      </c>
      <c r="G406" s="236">
        <v>72159.39</v>
      </c>
      <c r="H406" s="236"/>
      <c r="I406" s="237">
        <v>1355.75</v>
      </c>
      <c r="J406" s="237">
        <v>63235</v>
      </c>
      <c r="K406" s="237">
        <v>4942</v>
      </c>
      <c r="L406" s="236">
        <v>0</v>
      </c>
      <c r="M406" s="236"/>
      <c r="N406" s="237">
        <v>2529</v>
      </c>
      <c r="O406" s="237">
        <v>23340</v>
      </c>
      <c r="P406" s="237">
        <v>0</v>
      </c>
      <c r="Q406" s="236">
        <v>13113</v>
      </c>
      <c r="R406" s="237">
        <f t="shared" si="6"/>
        <v>39895</v>
      </c>
      <c r="S406" s="236"/>
      <c r="T406" s="237">
        <v>19287</v>
      </c>
      <c r="U406" s="238">
        <v>-4643</v>
      </c>
      <c r="V406" s="238">
        <v>14644</v>
      </c>
    </row>
    <row r="407" spans="1:22">
      <c r="A407" s="231">
        <v>94171</v>
      </c>
      <c r="B407" s="232" t="s">
        <v>1117</v>
      </c>
      <c r="C407" s="92">
        <v>5.5000000000000002E-5</v>
      </c>
      <c r="D407" s="92">
        <v>5.1100000000000002E-5</v>
      </c>
      <c r="E407" s="236">
        <v>21113.95</v>
      </c>
      <c r="F407" s="236">
        <v>22933</v>
      </c>
      <c r="G407" s="236">
        <v>116728</v>
      </c>
      <c r="H407" s="236"/>
      <c r="I407" s="237">
        <v>2193.125</v>
      </c>
      <c r="J407" s="237">
        <v>102291.31</v>
      </c>
      <c r="K407" s="237">
        <v>7995</v>
      </c>
      <c r="L407" s="236">
        <v>6490</v>
      </c>
      <c r="M407" s="236"/>
      <c r="N407" s="237">
        <v>4090</v>
      </c>
      <c r="O407" s="237">
        <v>37755.19</v>
      </c>
      <c r="P407" s="237">
        <v>0</v>
      </c>
      <c r="Q407" s="236">
        <v>1733</v>
      </c>
      <c r="R407" s="237">
        <f t="shared" si="6"/>
        <v>64536.119999999995</v>
      </c>
      <c r="S407" s="236"/>
      <c r="T407" s="237">
        <v>31200</v>
      </c>
      <c r="U407" s="238">
        <v>1343</v>
      </c>
      <c r="V407" s="238">
        <v>32542</v>
      </c>
    </row>
    <row r="408" spans="1:22">
      <c r="A408" s="231">
        <v>94172</v>
      </c>
      <c r="B408" s="232" t="s">
        <v>1118</v>
      </c>
      <c r="C408" s="92">
        <v>2.6699999999999998E-4</v>
      </c>
      <c r="D408" s="92">
        <v>3.1379999999999998E-4</v>
      </c>
      <c r="E408" s="236">
        <v>80978.819999999978</v>
      </c>
      <c r="F408" s="236">
        <v>140832</v>
      </c>
      <c r="G408" s="236">
        <v>566663</v>
      </c>
      <c r="H408" s="236"/>
      <c r="I408" s="237">
        <v>10646.625</v>
      </c>
      <c r="J408" s="237">
        <v>496578</v>
      </c>
      <c r="K408" s="237">
        <v>38811</v>
      </c>
      <c r="L408" s="236">
        <v>0</v>
      </c>
      <c r="M408" s="236"/>
      <c r="N408" s="237">
        <v>19857</v>
      </c>
      <c r="O408" s="237">
        <v>183284</v>
      </c>
      <c r="P408" s="237">
        <v>0</v>
      </c>
      <c r="Q408" s="236">
        <v>98660</v>
      </c>
      <c r="R408" s="237">
        <f t="shared" si="6"/>
        <v>313294</v>
      </c>
      <c r="S408" s="236"/>
      <c r="T408" s="237">
        <v>151461</v>
      </c>
      <c r="U408" s="238">
        <v>-34663</v>
      </c>
      <c r="V408" s="238">
        <v>116798</v>
      </c>
    </row>
    <row r="409" spans="1:22">
      <c r="A409" s="231">
        <v>94201</v>
      </c>
      <c r="B409" s="232" t="s">
        <v>1119</v>
      </c>
      <c r="C409" s="92">
        <v>3.4813000000000001E-3</v>
      </c>
      <c r="D409" s="92">
        <v>3.4115E-3</v>
      </c>
      <c r="E409" s="236">
        <v>1407553.7100000002</v>
      </c>
      <c r="F409" s="236">
        <v>1531061</v>
      </c>
      <c r="G409" s="236">
        <v>7388485</v>
      </c>
      <c r="H409" s="236"/>
      <c r="I409" s="237">
        <v>138817</v>
      </c>
      <c r="J409" s="237">
        <v>6474668</v>
      </c>
      <c r="K409" s="237">
        <v>506045</v>
      </c>
      <c r="L409" s="236">
        <v>56033</v>
      </c>
      <c r="M409" s="236"/>
      <c r="N409" s="237">
        <v>258901</v>
      </c>
      <c r="O409" s="237">
        <v>2389766</v>
      </c>
      <c r="P409" s="237">
        <v>0</v>
      </c>
      <c r="Q409" s="236">
        <v>3701</v>
      </c>
      <c r="R409" s="237">
        <f t="shared" si="6"/>
        <v>4084902</v>
      </c>
      <c r="S409" s="236"/>
      <c r="T409" s="237">
        <v>1974834</v>
      </c>
      <c r="U409" s="238">
        <v>16227</v>
      </c>
      <c r="V409" s="238">
        <v>1991060</v>
      </c>
    </row>
    <row r="410" spans="1:22">
      <c r="A410" s="231">
        <v>94204</v>
      </c>
      <c r="B410" s="232" t="s">
        <v>1120</v>
      </c>
      <c r="C410" s="92">
        <v>2.4899999999999999E-5</v>
      </c>
      <c r="D410" s="92">
        <v>2.41E-5</v>
      </c>
      <c r="E410" s="236">
        <v>15445.930000000004</v>
      </c>
      <c r="F410" s="236">
        <v>10816</v>
      </c>
      <c r="G410" s="236">
        <v>52846</v>
      </c>
      <c r="H410" s="236"/>
      <c r="I410" s="237">
        <v>993</v>
      </c>
      <c r="J410" s="237">
        <v>46310</v>
      </c>
      <c r="K410" s="237">
        <v>3619</v>
      </c>
      <c r="L410" s="236">
        <v>10811</v>
      </c>
      <c r="M410" s="236"/>
      <c r="N410" s="237">
        <v>1852</v>
      </c>
      <c r="O410" s="237">
        <v>17093</v>
      </c>
      <c r="P410" s="237">
        <v>0</v>
      </c>
      <c r="Q410" s="236">
        <v>0</v>
      </c>
      <c r="R410" s="237">
        <f t="shared" si="6"/>
        <v>29217</v>
      </c>
      <c r="S410" s="236"/>
      <c r="T410" s="237">
        <v>14125</v>
      </c>
      <c r="U410" s="238">
        <v>3721</v>
      </c>
      <c r="V410" s="238">
        <v>17846</v>
      </c>
    </row>
    <row r="411" spans="1:22">
      <c r="A411" s="231">
        <v>94205</v>
      </c>
      <c r="B411" s="232" t="s">
        <v>1121</v>
      </c>
      <c r="C411" s="92">
        <v>2.6100000000000001E-5</v>
      </c>
      <c r="D411" s="92">
        <v>2.6999999999999999E-5</v>
      </c>
      <c r="E411" s="236">
        <v>12435.88</v>
      </c>
      <c r="F411" s="236">
        <v>12117</v>
      </c>
      <c r="G411" s="236">
        <v>55393</v>
      </c>
      <c r="H411" s="236"/>
      <c r="I411" s="237">
        <v>1040.7375</v>
      </c>
      <c r="J411" s="237">
        <v>48542</v>
      </c>
      <c r="K411" s="237">
        <v>3794</v>
      </c>
      <c r="L411" s="236">
        <v>2432</v>
      </c>
      <c r="M411" s="236"/>
      <c r="N411" s="237">
        <v>1941</v>
      </c>
      <c r="O411" s="237">
        <v>17917</v>
      </c>
      <c r="P411" s="237">
        <v>0</v>
      </c>
      <c r="Q411" s="236">
        <v>6726</v>
      </c>
      <c r="R411" s="237">
        <f t="shared" si="6"/>
        <v>30625</v>
      </c>
      <c r="S411" s="236"/>
      <c r="T411" s="237">
        <v>14806</v>
      </c>
      <c r="U411" s="238">
        <v>-2600</v>
      </c>
      <c r="V411" s="238">
        <v>12205</v>
      </c>
    </row>
    <row r="412" spans="1:22">
      <c r="A412" s="231">
        <v>94209</v>
      </c>
      <c r="B412" s="232" t="s">
        <v>1122</v>
      </c>
      <c r="C412" s="92">
        <v>3.2909999999999998E-4</v>
      </c>
      <c r="D412" s="92">
        <v>3.5540000000000002E-4</v>
      </c>
      <c r="E412" s="236">
        <v>141049.71999999997</v>
      </c>
      <c r="F412" s="236">
        <v>159501</v>
      </c>
      <c r="G412" s="236">
        <v>698460</v>
      </c>
      <c r="H412" s="236"/>
      <c r="I412" s="237">
        <v>13123</v>
      </c>
      <c r="J412" s="237">
        <v>612074</v>
      </c>
      <c r="K412" s="237">
        <v>47838</v>
      </c>
      <c r="L412" s="236">
        <v>24306</v>
      </c>
      <c r="M412" s="236"/>
      <c r="N412" s="237">
        <v>24475</v>
      </c>
      <c r="O412" s="237">
        <v>225913</v>
      </c>
      <c r="P412" s="237">
        <v>0</v>
      </c>
      <c r="Q412" s="236">
        <v>9712</v>
      </c>
      <c r="R412" s="237">
        <f t="shared" si="6"/>
        <v>386161</v>
      </c>
      <c r="S412" s="236"/>
      <c r="T412" s="237">
        <v>186688</v>
      </c>
      <c r="U412" s="238">
        <v>6974</v>
      </c>
      <c r="V412" s="238">
        <v>193663</v>
      </c>
    </row>
    <row r="413" spans="1:22">
      <c r="A413" s="231">
        <v>94211</v>
      </c>
      <c r="B413" s="232" t="s">
        <v>1123</v>
      </c>
      <c r="C413" s="92">
        <v>1.2400000000000001E-4</v>
      </c>
      <c r="D413" s="92">
        <v>1.217E-4</v>
      </c>
      <c r="E413" s="236">
        <v>49845.440000000002</v>
      </c>
      <c r="F413" s="236">
        <v>54618</v>
      </c>
      <c r="G413" s="236">
        <v>263170</v>
      </c>
      <c r="H413" s="236"/>
      <c r="I413" s="237">
        <v>4944.5</v>
      </c>
      <c r="J413" s="237">
        <v>230620</v>
      </c>
      <c r="K413" s="237">
        <v>18025</v>
      </c>
      <c r="L413" s="236">
        <v>334</v>
      </c>
      <c r="M413" s="236"/>
      <c r="N413" s="237">
        <v>9222</v>
      </c>
      <c r="O413" s="237">
        <v>85121</v>
      </c>
      <c r="P413" s="237">
        <v>0</v>
      </c>
      <c r="Q413" s="236">
        <v>30868</v>
      </c>
      <c r="R413" s="237">
        <f t="shared" si="6"/>
        <v>145499</v>
      </c>
      <c r="S413" s="236"/>
      <c r="T413" s="237">
        <v>70341</v>
      </c>
      <c r="U413" s="238">
        <v>-13456</v>
      </c>
      <c r="V413" s="238">
        <v>56885</v>
      </c>
    </row>
    <row r="414" spans="1:22">
      <c r="A414" s="231">
        <v>94221</v>
      </c>
      <c r="B414" s="232" t="s">
        <v>1124</v>
      </c>
      <c r="C414" s="92">
        <v>1.0705999999999999E-3</v>
      </c>
      <c r="D414" s="92">
        <v>1.1294E-3</v>
      </c>
      <c r="E414" s="236">
        <v>386218.22</v>
      </c>
      <c r="F414" s="236">
        <v>506868</v>
      </c>
      <c r="G414" s="236">
        <v>2272172</v>
      </c>
      <c r="H414" s="236"/>
      <c r="I414" s="237">
        <v>42690</v>
      </c>
      <c r="J414" s="237">
        <v>1991147</v>
      </c>
      <c r="K414" s="237">
        <v>155623</v>
      </c>
      <c r="L414" s="236">
        <v>98739</v>
      </c>
      <c r="M414" s="236"/>
      <c r="N414" s="237">
        <v>79619</v>
      </c>
      <c r="O414" s="237">
        <v>734922</v>
      </c>
      <c r="P414" s="237">
        <v>0</v>
      </c>
      <c r="Q414" s="236">
        <v>138383</v>
      </c>
      <c r="R414" s="237">
        <f t="shared" si="6"/>
        <v>1256225</v>
      </c>
      <c r="S414" s="236"/>
      <c r="T414" s="237">
        <v>607318</v>
      </c>
      <c r="U414" s="238">
        <v>-16318</v>
      </c>
      <c r="V414" s="238">
        <v>591000</v>
      </c>
    </row>
    <row r="415" spans="1:22">
      <c r="A415" s="231">
        <v>94231</v>
      </c>
      <c r="B415" s="232" t="s">
        <v>1125</v>
      </c>
      <c r="C415" s="92">
        <v>2.1269999999999999E-4</v>
      </c>
      <c r="D415" s="92">
        <v>1.9469999999999999E-4</v>
      </c>
      <c r="E415" s="236">
        <v>77695.47</v>
      </c>
      <c r="F415" s="236">
        <v>87380</v>
      </c>
      <c r="G415" s="236">
        <v>451421</v>
      </c>
      <c r="H415" s="236"/>
      <c r="I415" s="237">
        <v>8481</v>
      </c>
      <c r="J415" s="237">
        <v>395588</v>
      </c>
      <c r="K415" s="237">
        <v>30918</v>
      </c>
      <c r="L415" s="236">
        <v>1986</v>
      </c>
      <c r="M415" s="236"/>
      <c r="N415" s="237">
        <v>15818</v>
      </c>
      <c r="O415" s="237">
        <v>146010</v>
      </c>
      <c r="P415" s="237">
        <v>0</v>
      </c>
      <c r="Q415" s="236">
        <v>11747</v>
      </c>
      <c r="R415" s="237">
        <f t="shared" si="6"/>
        <v>249578</v>
      </c>
      <c r="S415" s="236"/>
      <c r="T415" s="237">
        <v>120658</v>
      </c>
      <c r="U415" s="238">
        <v>-4519</v>
      </c>
      <c r="V415" s="238">
        <v>116139</v>
      </c>
    </row>
    <row r="416" spans="1:22">
      <c r="A416" s="231">
        <v>94241</v>
      </c>
      <c r="B416" s="232" t="s">
        <v>1126</v>
      </c>
      <c r="C416" s="92">
        <v>8.4099999999999998E-5</v>
      </c>
      <c r="D416" s="92">
        <v>8.4800000000000001E-5</v>
      </c>
      <c r="E416" s="236">
        <v>37415.33</v>
      </c>
      <c r="F416" s="236">
        <v>38058</v>
      </c>
      <c r="G416" s="236">
        <v>178488</v>
      </c>
      <c r="H416" s="236"/>
      <c r="I416" s="237">
        <v>3353</v>
      </c>
      <c r="J416" s="237">
        <v>156413</v>
      </c>
      <c r="K416" s="237">
        <v>12225</v>
      </c>
      <c r="L416" s="236">
        <v>3164</v>
      </c>
      <c r="M416" s="236"/>
      <c r="N416" s="237">
        <v>6254</v>
      </c>
      <c r="O416" s="237">
        <v>57731</v>
      </c>
      <c r="P416" s="237">
        <v>0</v>
      </c>
      <c r="Q416" s="236">
        <v>1327</v>
      </c>
      <c r="R416" s="237">
        <f t="shared" si="6"/>
        <v>98682</v>
      </c>
      <c r="S416" s="236"/>
      <c r="T416" s="237">
        <v>47707</v>
      </c>
      <c r="U416" s="238">
        <v>664</v>
      </c>
      <c r="V416" s="238">
        <v>48372</v>
      </c>
    </row>
    <row r="417" spans="1:22">
      <c r="A417" s="231">
        <v>94251</v>
      </c>
      <c r="B417" s="232" t="s">
        <v>1127</v>
      </c>
      <c r="C417" s="92">
        <v>1.4E-5</v>
      </c>
      <c r="D417" s="92">
        <v>2.37E-5</v>
      </c>
      <c r="E417" s="236">
        <v>7105.57</v>
      </c>
      <c r="F417" s="236">
        <v>10636</v>
      </c>
      <c r="G417" s="236">
        <v>29712.69</v>
      </c>
      <c r="H417" s="236"/>
      <c r="I417" s="237">
        <v>558.25</v>
      </c>
      <c r="J417" s="237">
        <v>26038</v>
      </c>
      <c r="K417" s="237">
        <v>2035</v>
      </c>
      <c r="L417" s="236">
        <v>0</v>
      </c>
      <c r="M417" s="236"/>
      <c r="N417" s="237">
        <v>1041</v>
      </c>
      <c r="O417" s="237">
        <v>9610</v>
      </c>
      <c r="P417" s="237">
        <v>0</v>
      </c>
      <c r="Q417" s="236">
        <v>9627</v>
      </c>
      <c r="R417" s="237">
        <f t="shared" si="6"/>
        <v>16428</v>
      </c>
      <c r="S417" s="236"/>
      <c r="T417" s="237">
        <v>7942</v>
      </c>
      <c r="U417" s="238">
        <v>-3119</v>
      </c>
      <c r="V417" s="238">
        <v>4823</v>
      </c>
    </row>
    <row r="418" spans="1:22">
      <c r="A418" s="231">
        <v>94261</v>
      </c>
      <c r="B418" s="232" t="s">
        <v>1128</v>
      </c>
      <c r="C418" s="92">
        <v>2.9499999999999999E-5</v>
      </c>
      <c r="D418" s="92">
        <v>1.66E-5</v>
      </c>
      <c r="E418" s="236">
        <v>13526.809999999998</v>
      </c>
      <c r="F418" s="236">
        <v>7450</v>
      </c>
      <c r="G418" s="236">
        <v>62609</v>
      </c>
      <c r="H418" s="236"/>
      <c r="I418" s="237">
        <v>1176.3125</v>
      </c>
      <c r="J418" s="237">
        <v>54865</v>
      </c>
      <c r="K418" s="237">
        <v>4288</v>
      </c>
      <c r="L418" s="236">
        <v>12167</v>
      </c>
      <c r="M418" s="236"/>
      <c r="N418" s="237">
        <v>2194</v>
      </c>
      <c r="O418" s="237">
        <v>20251</v>
      </c>
      <c r="P418" s="237">
        <v>0</v>
      </c>
      <c r="Q418" s="236">
        <v>0</v>
      </c>
      <c r="R418" s="237">
        <f t="shared" si="6"/>
        <v>34614</v>
      </c>
      <c r="S418" s="236"/>
      <c r="T418" s="237">
        <v>16734</v>
      </c>
      <c r="U418" s="238">
        <v>3736</v>
      </c>
      <c r="V418" s="238">
        <v>20471</v>
      </c>
    </row>
    <row r="419" spans="1:22">
      <c r="A419" s="231">
        <v>94301</v>
      </c>
      <c r="B419" s="232" t="s">
        <v>1129</v>
      </c>
      <c r="C419" s="92">
        <v>6.0746999999999997E-3</v>
      </c>
      <c r="D419" s="92">
        <v>6.0625999999999996E-3</v>
      </c>
      <c r="E419" s="236">
        <v>2375297.7800000003</v>
      </c>
      <c r="F419" s="236">
        <v>2720859</v>
      </c>
      <c r="G419" s="236">
        <v>12892548</v>
      </c>
      <c r="H419" s="236"/>
      <c r="I419" s="237">
        <v>242229</v>
      </c>
      <c r="J419" s="237">
        <v>11297982</v>
      </c>
      <c r="K419" s="237">
        <v>883024</v>
      </c>
      <c r="L419" s="236">
        <v>18885</v>
      </c>
      <c r="M419" s="236"/>
      <c r="N419" s="237">
        <v>451769</v>
      </c>
      <c r="O419" s="237">
        <v>4170026</v>
      </c>
      <c r="P419" s="237">
        <v>0</v>
      </c>
      <c r="Q419" s="236">
        <v>169326</v>
      </c>
      <c r="R419" s="237">
        <f t="shared" si="6"/>
        <v>7127956</v>
      </c>
      <c r="S419" s="236"/>
      <c r="T419" s="237">
        <v>3445989</v>
      </c>
      <c r="U419" s="238">
        <v>-41856</v>
      </c>
      <c r="V419" s="238">
        <v>3404133</v>
      </c>
    </row>
    <row r="420" spans="1:22">
      <c r="A420" s="231">
        <v>94311</v>
      </c>
      <c r="B420" s="232" t="s">
        <v>1130</v>
      </c>
      <c r="C420" s="92">
        <v>7.4399999999999998E-4</v>
      </c>
      <c r="D420" s="92">
        <v>8.4360000000000001E-4</v>
      </c>
      <c r="E420" s="236">
        <v>317607.65000000002</v>
      </c>
      <c r="F420" s="236">
        <v>378603</v>
      </c>
      <c r="G420" s="236">
        <v>1579017.24</v>
      </c>
      <c r="H420" s="236"/>
      <c r="I420" s="237">
        <v>29667</v>
      </c>
      <c r="J420" s="237">
        <v>1383722</v>
      </c>
      <c r="K420" s="237">
        <v>108149</v>
      </c>
      <c r="L420" s="236">
        <v>5590</v>
      </c>
      <c r="M420" s="236"/>
      <c r="N420" s="237">
        <v>55331</v>
      </c>
      <c r="O420" s="237">
        <v>510725</v>
      </c>
      <c r="P420" s="237">
        <v>0</v>
      </c>
      <c r="Q420" s="236">
        <v>74131</v>
      </c>
      <c r="R420" s="237">
        <f t="shared" si="6"/>
        <v>872997</v>
      </c>
      <c r="S420" s="236"/>
      <c r="T420" s="237">
        <v>422048</v>
      </c>
      <c r="U420" s="238">
        <v>-19207</v>
      </c>
      <c r="V420" s="238">
        <v>402841</v>
      </c>
    </row>
    <row r="421" spans="1:22">
      <c r="A421" s="231">
        <v>94313</v>
      </c>
      <c r="B421" s="232" t="s">
        <v>1131</v>
      </c>
      <c r="C421" s="92">
        <v>2.0299999999999999E-5</v>
      </c>
      <c r="D421" s="92">
        <v>1.8099999999999999E-5</v>
      </c>
      <c r="E421" s="236">
        <v>12274.81</v>
      </c>
      <c r="F421" s="236">
        <v>8123</v>
      </c>
      <c r="G421" s="236">
        <v>43083</v>
      </c>
      <c r="H421" s="236"/>
      <c r="I421" s="237">
        <v>809.46249999999998</v>
      </c>
      <c r="J421" s="237">
        <v>37755</v>
      </c>
      <c r="K421" s="237">
        <v>2951</v>
      </c>
      <c r="L421" s="236">
        <v>7808</v>
      </c>
      <c r="M421" s="236"/>
      <c r="N421" s="237">
        <v>1510</v>
      </c>
      <c r="O421" s="237">
        <v>13935</v>
      </c>
      <c r="P421" s="237">
        <v>0</v>
      </c>
      <c r="Q421" s="236">
        <v>0</v>
      </c>
      <c r="R421" s="237">
        <f t="shared" si="6"/>
        <v>23820</v>
      </c>
      <c r="S421" s="236"/>
      <c r="T421" s="237">
        <v>11516</v>
      </c>
      <c r="U421" s="238">
        <v>2576</v>
      </c>
      <c r="V421" s="238">
        <v>14092</v>
      </c>
    </row>
    <row r="422" spans="1:22">
      <c r="A422" s="231">
        <v>94317</v>
      </c>
      <c r="B422" s="232" t="s">
        <v>1132</v>
      </c>
      <c r="C422" s="92">
        <v>1.2099999999999999E-5</v>
      </c>
      <c r="D422" s="92">
        <v>1.15E-5</v>
      </c>
      <c r="E422" s="236">
        <v>8376.6</v>
      </c>
      <c r="F422" s="236">
        <v>5161</v>
      </c>
      <c r="G422" s="236">
        <v>25680</v>
      </c>
      <c r="H422" s="236"/>
      <c r="I422" s="237">
        <v>482</v>
      </c>
      <c r="J422" s="237">
        <v>22504</v>
      </c>
      <c r="K422" s="237">
        <v>1759</v>
      </c>
      <c r="L422" s="236">
        <v>6768</v>
      </c>
      <c r="M422" s="236"/>
      <c r="N422" s="237">
        <v>900</v>
      </c>
      <c r="O422" s="237">
        <v>8306</v>
      </c>
      <c r="P422" s="237">
        <v>0</v>
      </c>
      <c r="Q422" s="236">
        <v>0</v>
      </c>
      <c r="R422" s="237">
        <f t="shared" si="6"/>
        <v>14198</v>
      </c>
      <c r="S422" s="236"/>
      <c r="T422" s="237">
        <v>6864</v>
      </c>
      <c r="U422" s="238">
        <v>2325</v>
      </c>
      <c r="V422" s="238">
        <v>9189</v>
      </c>
    </row>
    <row r="423" spans="1:22">
      <c r="A423" s="231">
        <v>94321</v>
      </c>
      <c r="B423" s="232" t="s">
        <v>1133</v>
      </c>
      <c r="C423" s="92">
        <v>2.7070000000000002E-4</v>
      </c>
      <c r="D423" s="92">
        <v>2.7270000000000001E-4</v>
      </c>
      <c r="E423" s="236">
        <v>94893.09</v>
      </c>
      <c r="F423" s="236">
        <v>122386</v>
      </c>
      <c r="G423" s="236">
        <v>574516</v>
      </c>
      <c r="H423" s="236"/>
      <c r="I423" s="237">
        <v>10794</v>
      </c>
      <c r="J423" s="237">
        <v>503459</v>
      </c>
      <c r="K423" s="237">
        <v>39349</v>
      </c>
      <c r="L423" s="236">
        <v>3401</v>
      </c>
      <c r="M423" s="236"/>
      <c r="N423" s="237">
        <v>20132</v>
      </c>
      <c r="O423" s="237">
        <v>185824</v>
      </c>
      <c r="P423" s="237">
        <v>0</v>
      </c>
      <c r="Q423" s="236">
        <v>21015</v>
      </c>
      <c r="R423" s="237">
        <f t="shared" si="6"/>
        <v>317635</v>
      </c>
      <c r="S423" s="236"/>
      <c r="T423" s="237">
        <v>153560</v>
      </c>
      <c r="U423" s="238">
        <v>-4393</v>
      </c>
      <c r="V423" s="238">
        <v>149167</v>
      </c>
    </row>
    <row r="424" spans="1:22">
      <c r="A424" s="231">
        <v>94331</v>
      </c>
      <c r="B424" s="232" t="s">
        <v>1134</v>
      </c>
      <c r="C424" s="92">
        <v>1.517E-4</v>
      </c>
      <c r="D424" s="92">
        <v>1.7420000000000001E-4</v>
      </c>
      <c r="E424" s="236">
        <v>69883.19</v>
      </c>
      <c r="F424" s="236">
        <v>78180</v>
      </c>
      <c r="G424" s="236">
        <v>321958</v>
      </c>
      <c r="H424" s="236"/>
      <c r="I424" s="237">
        <v>6049</v>
      </c>
      <c r="J424" s="237">
        <v>282138</v>
      </c>
      <c r="K424" s="237">
        <v>22051</v>
      </c>
      <c r="L424" s="236">
        <v>13796</v>
      </c>
      <c r="M424" s="236"/>
      <c r="N424" s="237">
        <v>11282</v>
      </c>
      <c r="O424" s="237">
        <v>104136</v>
      </c>
      <c r="P424" s="237">
        <v>0</v>
      </c>
      <c r="Q424" s="236">
        <v>6234</v>
      </c>
      <c r="R424" s="237">
        <f t="shared" si="6"/>
        <v>178002</v>
      </c>
      <c r="S424" s="236"/>
      <c r="T424" s="237">
        <v>86055</v>
      </c>
      <c r="U424" s="238">
        <v>4466</v>
      </c>
      <c r="V424" s="238">
        <v>90520</v>
      </c>
    </row>
    <row r="425" spans="1:22">
      <c r="A425" s="231">
        <v>94341</v>
      </c>
      <c r="B425" s="232" t="s">
        <v>1135</v>
      </c>
      <c r="C425" s="92">
        <v>8.1000000000000004E-5</v>
      </c>
      <c r="D425" s="92">
        <v>8.8399999999999994E-5</v>
      </c>
      <c r="E425" s="236">
        <v>31929.82</v>
      </c>
      <c r="F425" s="236">
        <v>39673</v>
      </c>
      <c r="G425" s="236">
        <v>171909</v>
      </c>
      <c r="H425" s="236"/>
      <c r="I425" s="237">
        <v>3229.875</v>
      </c>
      <c r="J425" s="237">
        <v>150647</v>
      </c>
      <c r="K425" s="237">
        <v>11774</v>
      </c>
      <c r="L425" s="236">
        <v>513</v>
      </c>
      <c r="M425" s="236"/>
      <c r="N425" s="237">
        <v>6024</v>
      </c>
      <c r="O425" s="237">
        <v>55603</v>
      </c>
      <c r="P425" s="237">
        <v>0</v>
      </c>
      <c r="Q425" s="236">
        <v>8986</v>
      </c>
      <c r="R425" s="237">
        <f t="shared" si="6"/>
        <v>95044</v>
      </c>
      <c r="S425" s="236"/>
      <c r="T425" s="237">
        <v>45949</v>
      </c>
      <c r="U425" s="238">
        <v>-3091</v>
      </c>
      <c r="V425" s="238">
        <v>42858</v>
      </c>
    </row>
    <row r="426" spans="1:22">
      <c r="A426" s="231">
        <v>94347</v>
      </c>
      <c r="B426" s="232" t="s">
        <v>1136</v>
      </c>
      <c r="C426" s="92">
        <v>1.2300000000000001E-5</v>
      </c>
      <c r="D426" s="92">
        <v>1.31E-5</v>
      </c>
      <c r="E426" s="236">
        <v>6974.9200000000037</v>
      </c>
      <c r="F426" s="236">
        <v>5879</v>
      </c>
      <c r="G426" s="236">
        <v>26105</v>
      </c>
      <c r="H426" s="236"/>
      <c r="I426" s="237">
        <v>490</v>
      </c>
      <c r="J426" s="237">
        <v>22876</v>
      </c>
      <c r="K426" s="237">
        <v>1788</v>
      </c>
      <c r="L426" s="236">
        <v>3157</v>
      </c>
      <c r="M426" s="236"/>
      <c r="N426" s="237">
        <v>915</v>
      </c>
      <c r="O426" s="237">
        <v>8443</v>
      </c>
      <c r="P426" s="237">
        <v>0</v>
      </c>
      <c r="Q426" s="236">
        <v>0</v>
      </c>
      <c r="R426" s="237">
        <f t="shared" si="6"/>
        <v>14433</v>
      </c>
      <c r="S426" s="236"/>
      <c r="T426" s="237">
        <v>6977</v>
      </c>
      <c r="U426" s="238">
        <v>1291</v>
      </c>
      <c r="V426" s="238">
        <v>8268</v>
      </c>
    </row>
    <row r="427" spans="1:22">
      <c r="A427" s="231">
        <v>94351</v>
      </c>
      <c r="B427" s="232" t="s">
        <v>1137</v>
      </c>
      <c r="C427" s="92">
        <v>2.377E-4</v>
      </c>
      <c r="D427" s="92">
        <v>2.3049999999999999E-4</v>
      </c>
      <c r="E427" s="236">
        <v>90845.03</v>
      </c>
      <c r="F427" s="236">
        <v>103447</v>
      </c>
      <c r="G427" s="236">
        <v>504479</v>
      </c>
      <c r="H427" s="236"/>
      <c r="I427" s="237">
        <v>9478</v>
      </c>
      <c r="J427" s="237">
        <v>442084</v>
      </c>
      <c r="K427" s="237">
        <v>34552</v>
      </c>
      <c r="L427" s="236">
        <v>2466</v>
      </c>
      <c r="M427" s="236"/>
      <c r="N427" s="237">
        <v>17678</v>
      </c>
      <c r="O427" s="237">
        <v>163171</v>
      </c>
      <c r="P427" s="237">
        <v>0</v>
      </c>
      <c r="Q427" s="236">
        <v>4917</v>
      </c>
      <c r="R427" s="237">
        <f t="shared" si="6"/>
        <v>278913</v>
      </c>
      <c r="S427" s="236"/>
      <c r="T427" s="237">
        <v>134840</v>
      </c>
      <c r="U427" s="238">
        <v>-1210</v>
      </c>
      <c r="V427" s="238">
        <v>133630</v>
      </c>
    </row>
    <row r="428" spans="1:22">
      <c r="A428" s="231">
        <v>94401</v>
      </c>
      <c r="B428" s="232" t="s">
        <v>1943</v>
      </c>
      <c r="C428" s="92">
        <v>3.4548999999999999E-3</v>
      </c>
      <c r="D428" s="92">
        <v>3.3264000000000002E-3</v>
      </c>
      <c r="E428" s="236">
        <v>1346130.7</v>
      </c>
      <c r="F428" s="236">
        <v>1492868</v>
      </c>
      <c r="G428" s="236">
        <v>7332455</v>
      </c>
      <c r="H428" s="236"/>
      <c r="I428" s="237">
        <v>137764</v>
      </c>
      <c r="J428" s="237">
        <v>6425568</v>
      </c>
      <c r="K428" s="237">
        <v>502208</v>
      </c>
      <c r="L428" s="236">
        <v>30696</v>
      </c>
      <c r="M428" s="236"/>
      <c r="N428" s="237">
        <v>256937</v>
      </c>
      <c r="O428" s="237">
        <v>2371644</v>
      </c>
      <c r="P428" s="237">
        <v>0</v>
      </c>
      <c r="Q428" s="236">
        <v>635</v>
      </c>
      <c r="R428" s="237">
        <f t="shared" si="6"/>
        <v>4053924</v>
      </c>
      <c r="S428" s="236"/>
      <c r="T428" s="237">
        <v>1959858</v>
      </c>
      <c r="U428" s="238">
        <v>9582</v>
      </c>
      <c r="V428" s="238">
        <v>1969439</v>
      </c>
    </row>
    <row r="429" spans="1:22">
      <c r="A429" s="231">
        <v>94402</v>
      </c>
      <c r="B429" s="232" t="s">
        <v>1139</v>
      </c>
      <c r="C429" s="92">
        <v>0</v>
      </c>
      <c r="D429" s="92">
        <v>0</v>
      </c>
      <c r="E429" s="236">
        <v>0</v>
      </c>
      <c r="F429" s="236">
        <v>0</v>
      </c>
      <c r="G429" s="236">
        <v>0</v>
      </c>
      <c r="H429" s="236"/>
      <c r="I429" s="237">
        <v>0</v>
      </c>
      <c r="J429" s="237">
        <v>0</v>
      </c>
      <c r="K429" s="237">
        <v>0</v>
      </c>
      <c r="L429" s="236">
        <v>0</v>
      </c>
      <c r="M429" s="236"/>
      <c r="N429" s="237">
        <v>0</v>
      </c>
      <c r="O429" s="237">
        <v>0</v>
      </c>
      <c r="P429" s="237">
        <v>0</v>
      </c>
      <c r="Q429" s="236">
        <v>2781798</v>
      </c>
      <c r="R429" s="237">
        <f t="shared" si="6"/>
        <v>0</v>
      </c>
      <c r="S429" s="236"/>
      <c r="T429" s="237">
        <v>0</v>
      </c>
      <c r="U429" s="238">
        <v>-1007431</v>
      </c>
      <c r="V429" s="238">
        <v>-1007431</v>
      </c>
    </row>
    <row r="430" spans="1:22">
      <c r="A430" s="231">
        <v>94408</v>
      </c>
      <c r="B430" s="232" t="s">
        <v>1141</v>
      </c>
      <c r="C430" s="92">
        <v>4.0099999999999999E-5</v>
      </c>
      <c r="D430" s="92">
        <v>1.9000000000000001E-5</v>
      </c>
      <c r="E430" s="236">
        <v>13759.910000000002</v>
      </c>
      <c r="F430" s="236">
        <v>8527</v>
      </c>
      <c r="G430" s="236">
        <v>85106</v>
      </c>
      <c r="H430" s="236"/>
      <c r="I430" s="237">
        <v>1599</v>
      </c>
      <c r="J430" s="237">
        <v>74580</v>
      </c>
      <c r="K430" s="237">
        <v>5829</v>
      </c>
      <c r="L430" s="236">
        <v>10369</v>
      </c>
      <c r="M430" s="236"/>
      <c r="N430" s="237">
        <v>2982</v>
      </c>
      <c r="O430" s="237">
        <v>27527</v>
      </c>
      <c r="P430" s="237">
        <v>0</v>
      </c>
      <c r="Q430" s="236">
        <v>3687</v>
      </c>
      <c r="R430" s="237">
        <f t="shared" si="6"/>
        <v>47053</v>
      </c>
      <c r="S430" s="236"/>
      <c r="T430" s="237">
        <v>22747</v>
      </c>
      <c r="U430" s="238">
        <v>939</v>
      </c>
      <c r="V430" s="238">
        <v>23687</v>
      </c>
    </row>
    <row r="431" spans="1:22">
      <c r="A431" s="231">
        <v>94411</v>
      </c>
      <c r="B431" s="232" t="s">
        <v>1142</v>
      </c>
      <c r="C431" s="92">
        <v>1.1592E-3</v>
      </c>
      <c r="D431" s="92">
        <v>1.1820999999999999E-3</v>
      </c>
      <c r="E431" s="236">
        <v>485425.04999999993</v>
      </c>
      <c r="F431" s="236">
        <v>530519</v>
      </c>
      <c r="G431" s="236">
        <v>2460211</v>
      </c>
      <c r="H431" s="236"/>
      <c r="I431" s="237">
        <v>46223.1</v>
      </c>
      <c r="J431" s="237">
        <v>2155929</v>
      </c>
      <c r="K431" s="237">
        <v>168502</v>
      </c>
      <c r="L431" s="236">
        <v>19239</v>
      </c>
      <c r="M431" s="236"/>
      <c r="N431" s="237">
        <v>86209</v>
      </c>
      <c r="O431" s="237">
        <v>795742</v>
      </c>
      <c r="P431" s="237">
        <v>0</v>
      </c>
      <c r="Q431" s="236">
        <v>5607</v>
      </c>
      <c r="R431" s="237">
        <f t="shared" si="6"/>
        <v>1360187</v>
      </c>
      <c r="S431" s="236"/>
      <c r="T431" s="237">
        <v>657578</v>
      </c>
      <c r="U431" s="238">
        <v>5340</v>
      </c>
      <c r="V431" s="238">
        <v>662918</v>
      </c>
    </row>
    <row r="432" spans="1:22">
      <c r="A432" s="231">
        <v>94412</v>
      </c>
      <c r="B432" s="232" t="s">
        <v>1143</v>
      </c>
      <c r="C432" s="92">
        <v>1.63E-5</v>
      </c>
      <c r="D432" s="92">
        <v>1.7200000000000001E-5</v>
      </c>
      <c r="E432" s="236">
        <v>13713.210000000001</v>
      </c>
      <c r="F432" s="236">
        <v>7719</v>
      </c>
      <c r="G432" s="236">
        <v>34594</v>
      </c>
      <c r="H432" s="236"/>
      <c r="I432" s="237">
        <v>649.96249999999998</v>
      </c>
      <c r="J432" s="237">
        <v>30315</v>
      </c>
      <c r="K432" s="237">
        <v>2369</v>
      </c>
      <c r="L432" s="236">
        <v>13305</v>
      </c>
      <c r="M432" s="236"/>
      <c r="N432" s="237">
        <v>1212</v>
      </c>
      <c r="O432" s="237">
        <v>11189</v>
      </c>
      <c r="P432" s="237">
        <v>0</v>
      </c>
      <c r="Q432" s="236">
        <v>0</v>
      </c>
      <c r="R432" s="237">
        <f t="shared" si="6"/>
        <v>19126</v>
      </c>
      <c r="S432" s="236"/>
      <c r="T432" s="237">
        <v>9246</v>
      </c>
      <c r="U432" s="238">
        <v>4869</v>
      </c>
      <c r="V432" s="238">
        <v>14116</v>
      </c>
    </row>
    <row r="433" spans="1:22">
      <c r="A433" s="231">
        <v>94421</v>
      </c>
      <c r="B433" s="232" t="s">
        <v>1144</v>
      </c>
      <c r="C433" s="92">
        <v>1.6899999999999999E-4</v>
      </c>
      <c r="D433" s="92">
        <v>1.7149999999999999E-4</v>
      </c>
      <c r="E433" s="236">
        <v>68012.739999999991</v>
      </c>
      <c r="F433" s="236">
        <v>76968</v>
      </c>
      <c r="G433" s="236">
        <v>358675</v>
      </c>
      <c r="H433" s="236"/>
      <c r="I433" s="237">
        <v>6739</v>
      </c>
      <c r="J433" s="237">
        <v>314313</v>
      </c>
      <c r="K433" s="237">
        <v>24566</v>
      </c>
      <c r="L433" s="236">
        <v>3528</v>
      </c>
      <c r="M433" s="236"/>
      <c r="N433" s="237">
        <v>12568</v>
      </c>
      <c r="O433" s="237">
        <v>116011</v>
      </c>
      <c r="P433" s="237">
        <v>0</v>
      </c>
      <c r="Q433" s="236">
        <v>12354</v>
      </c>
      <c r="R433" s="237">
        <f t="shared" si="6"/>
        <v>198302</v>
      </c>
      <c r="S433" s="236"/>
      <c r="T433" s="237">
        <v>95868</v>
      </c>
      <c r="U433" s="238">
        <v>-4340</v>
      </c>
      <c r="V433" s="238">
        <v>91529</v>
      </c>
    </row>
    <row r="434" spans="1:22">
      <c r="A434" s="231">
        <v>94427</v>
      </c>
      <c r="B434" s="232" t="s">
        <v>1145</v>
      </c>
      <c r="C434" s="92">
        <v>1.29E-5</v>
      </c>
      <c r="D434" s="92">
        <v>1.56E-5</v>
      </c>
      <c r="E434" s="236">
        <v>6501.51</v>
      </c>
      <c r="F434" s="236">
        <v>7001</v>
      </c>
      <c r="G434" s="236">
        <v>27378</v>
      </c>
      <c r="H434" s="236"/>
      <c r="I434" s="237">
        <v>514</v>
      </c>
      <c r="J434" s="237">
        <v>23992</v>
      </c>
      <c r="K434" s="237">
        <v>1875</v>
      </c>
      <c r="L434" s="236">
        <v>785</v>
      </c>
      <c r="M434" s="236"/>
      <c r="N434" s="237">
        <v>959</v>
      </c>
      <c r="O434" s="237">
        <v>8855</v>
      </c>
      <c r="P434" s="237">
        <v>0</v>
      </c>
      <c r="Q434" s="236">
        <v>709</v>
      </c>
      <c r="R434" s="237">
        <f t="shared" si="6"/>
        <v>15137</v>
      </c>
      <c r="S434" s="236"/>
      <c r="T434" s="237">
        <v>7318</v>
      </c>
      <c r="U434" s="238">
        <v>47</v>
      </c>
      <c r="V434" s="238">
        <v>7365</v>
      </c>
    </row>
    <row r="435" spans="1:22">
      <c r="A435" s="231">
        <v>94428</v>
      </c>
      <c r="B435" s="232" t="s">
        <v>1146</v>
      </c>
      <c r="C435" s="92">
        <v>7.4400000000000006E-5</v>
      </c>
      <c r="D435" s="92">
        <v>7.7799999999999994E-5</v>
      </c>
      <c r="E435" s="236">
        <v>33919.200000000012</v>
      </c>
      <c r="F435" s="236">
        <v>34916</v>
      </c>
      <c r="G435" s="236">
        <v>157902</v>
      </c>
      <c r="H435" s="236"/>
      <c r="I435" s="237">
        <v>2967</v>
      </c>
      <c r="J435" s="237">
        <v>138372</v>
      </c>
      <c r="K435" s="237">
        <v>10815</v>
      </c>
      <c r="L435" s="236">
        <v>3518</v>
      </c>
      <c r="M435" s="236"/>
      <c r="N435" s="237">
        <v>5533</v>
      </c>
      <c r="O435" s="237">
        <v>51072</v>
      </c>
      <c r="P435" s="237">
        <v>0</v>
      </c>
      <c r="Q435" s="236">
        <v>0</v>
      </c>
      <c r="R435" s="237">
        <f t="shared" si="6"/>
        <v>87300</v>
      </c>
      <c r="S435" s="236"/>
      <c r="T435" s="237">
        <v>42205</v>
      </c>
      <c r="U435" s="238">
        <v>1203</v>
      </c>
      <c r="V435" s="238">
        <v>43408</v>
      </c>
    </row>
    <row r="436" spans="1:22">
      <c r="A436" s="231">
        <v>94431</v>
      </c>
      <c r="B436" s="232" t="s">
        <v>1147</v>
      </c>
      <c r="C436" s="92">
        <v>3.7589999999999998E-4</v>
      </c>
      <c r="D436" s="92">
        <v>3.6390000000000001E-4</v>
      </c>
      <c r="E436" s="236">
        <v>261745.86000000004</v>
      </c>
      <c r="F436" s="236">
        <v>163316</v>
      </c>
      <c r="G436" s="236">
        <v>797786</v>
      </c>
      <c r="H436" s="236"/>
      <c r="I436" s="237">
        <v>14989</v>
      </c>
      <c r="J436" s="237">
        <v>699115</v>
      </c>
      <c r="K436" s="237">
        <v>54641</v>
      </c>
      <c r="L436" s="236">
        <v>140656</v>
      </c>
      <c r="M436" s="236"/>
      <c r="N436" s="237">
        <v>27955</v>
      </c>
      <c r="O436" s="237">
        <v>258040</v>
      </c>
      <c r="P436" s="237">
        <v>0</v>
      </c>
      <c r="Q436" s="236">
        <v>1228</v>
      </c>
      <c r="R436" s="237">
        <f t="shared" si="6"/>
        <v>441075</v>
      </c>
      <c r="S436" s="236"/>
      <c r="T436" s="237">
        <v>213236</v>
      </c>
      <c r="U436" s="238">
        <v>40508</v>
      </c>
      <c r="V436" s="238">
        <v>253745</v>
      </c>
    </row>
    <row r="437" spans="1:22">
      <c r="A437" s="231">
        <v>94437</v>
      </c>
      <c r="B437" s="232" t="s">
        <v>1148</v>
      </c>
      <c r="C437" s="92">
        <v>1.34E-5</v>
      </c>
      <c r="D437" s="92">
        <v>1.1600000000000001E-5</v>
      </c>
      <c r="E437" s="236">
        <v>11266.369999999999</v>
      </c>
      <c r="F437" s="236">
        <v>5206</v>
      </c>
      <c r="G437" s="236">
        <v>28439</v>
      </c>
      <c r="H437" s="236"/>
      <c r="I437" s="237">
        <v>534</v>
      </c>
      <c r="J437" s="237">
        <v>24922</v>
      </c>
      <c r="K437" s="237">
        <v>1948</v>
      </c>
      <c r="L437" s="236">
        <v>12092</v>
      </c>
      <c r="M437" s="236"/>
      <c r="N437" s="237">
        <v>997</v>
      </c>
      <c r="O437" s="237">
        <v>9199</v>
      </c>
      <c r="P437" s="237">
        <v>0</v>
      </c>
      <c r="Q437" s="236">
        <v>0</v>
      </c>
      <c r="R437" s="237">
        <f t="shared" si="6"/>
        <v>15723</v>
      </c>
      <c r="S437" s="236"/>
      <c r="T437" s="237">
        <v>7601</v>
      </c>
      <c r="U437" s="238">
        <v>4157</v>
      </c>
      <c r="V437" s="238">
        <v>11759</v>
      </c>
    </row>
    <row r="438" spans="1:22">
      <c r="A438" s="231">
        <v>94501</v>
      </c>
      <c r="B438" s="232" t="s">
        <v>1149</v>
      </c>
      <c r="C438" s="92">
        <v>5.8474E-3</v>
      </c>
      <c r="D438" s="92">
        <v>5.5922999999999997E-3</v>
      </c>
      <c r="E438" s="236">
        <v>2261129.31</v>
      </c>
      <c r="F438" s="236">
        <v>2509791</v>
      </c>
      <c r="G438" s="236">
        <v>12410142</v>
      </c>
      <c r="H438" s="236"/>
      <c r="I438" s="237">
        <v>233165</v>
      </c>
      <c r="J438" s="237">
        <v>10875240</v>
      </c>
      <c r="K438" s="237">
        <v>849984</v>
      </c>
      <c r="L438" s="236">
        <v>248127</v>
      </c>
      <c r="M438" s="236"/>
      <c r="N438" s="237">
        <v>434865</v>
      </c>
      <c r="O438" s="237">
        <v>4013995</v>
      </c>
      <c r="P438" s="237">
        <v>0</v>
      </c>
      <c r="Q438" s="236">
        <v>0</v>
      </c>
      <c r="R438" s="237">
        <f t="shared" si="6"/>
        <v>6861245</v>
      </c>
      <c r="S438" s="236"/>
      <c r="T438" s="237">
        <v>3317049</v>
      </c>
      <c r="U438" s="238">
        <v>102688</v>
      </c>
      <c r="V438" s="238">
        <v>3419736</v>
      </c>
    </row>
    <row r="439" spans="1:22">
      <c r="A439" s="231">
        <v>94511</v>
      </c>
      <c r="B439" s="232" t="s">
        <v>1150</v>
      </c>
      <c r="C439" s="92">
        <v>1.7432000000000001E-3</v>
      </c>
      <c r="D439" s="92">
        <v>1.7692999999999999E-3</v>
      </c>
      <c r="E439" s="236">
        <v>680925.99</v>
      </c>
      <c r="F439" s="236">
        <v>794051</v>
      </c>
      <c r="G439" s="236">
        <v>3699654</v>
      </c>
      <c r="H439" s="236"/>
      <c r="I439" s="237">
        <v>69510</v>
      </c>
      <c r="J439" s="237">
        <v>3242077</v>
      </c>
      <c r="K439" s="237">
        <v>253393</v>
      </c>
      <c r="L439" s="236">
        <v>224818</v>
      </c>
      <c r="M439" s="236"/>
      <c r="N439" s="237">
        <v>129640</v>
      </c>
      <c r="O439" s="237">
        <v>1196634</v>
      </c>
      <c r="P439" s="237">
        <v>0</v>
      </c>
      <c r="Q439" s="236">
        <v>42694</v>
      </c>
      <c r="R439" s="237">
        <f t="shared" si="6"/>
        <v>2045443</v>
      </c>
      <c r="S439" s="236"/>
      <c r="T439" s="237">
        <v>988863</v>
      </c>
      <c r="U439" s="238">
        <v>69976</v>
      </c>
      <c r="V439" s="238">
        <v>1058839</v>
      </c>
    </row>
    <row r="440" spans="1:22">
      <c r="A440" s="231">
        <v>94512</v>
      </c>
      <c r="B440" s="232" t="s">
        <v>1151</v>
      </c>
      <c r="C440" s="92">
        <v>0</v>
      </c>
      <c r="D440" s="92">
        <v>0</v>
      </c>
      <c r="E440" s="236">
        <v>0</v>
      </c>
      <c r="F440" s="236">
        <v>0</v>
      </c>
      <c r="G440" s="236">
        <v>0</v>
      </c>
      <c r="H440" s="236"/>
      <c r="I440" s="237">
        <v>0</v>
      </c>
      <c r="J440" s="237">
        <v>0</v>
      </c>
      <c r="K440" s="237">
        <v>0</v>
      </c>
      <c r="L440" s="236">
        <v>0</v>
      </c>
      <c r="M440" s="236"/>
      <c r="N440" s="237">
        <v>0</v>
      </c>
      <c r="O440" s="237">
        <v>0</v>
      </c>
      <c r="P440" s="237">
        <v>0</v>
      </c>
      <c r="Q440" s="236">
        <v>217292</v>
      </c>
      <c r="R440" s="237">
        <f t="shared" si="6"/>
        <v>0</v>
      </c>
      <c r="S440" s="236"/>
      <c r="T440" s="237">
        <v>0</v>
      </c>
      <c r="U440" s="238">
        <v>-78713</v>
      </c>
      <c r="V440" s="238">
        <v>-78713</v>
      </c>
    </row>
    <row r="441" spans="1:22">
      <c r="A441" s="231">
        <v>94517</v>
      </c>
      <c r="B441" s="232" t="s">
        <v>1152</v>
      </c>
      <c r="C441" s="92">
        <v>4.9599999999999999E-5</v>
      </c>
      <c r="D441" s="92">
        <v>4.9100000000000001E-5</v>
      </c>
      <c r="E441" s="236">
        <v>28272.959999999999</v>
      </c>
      <c r="F441" s="236">
        <v>22036</v>
      </c>
      <c r="G441" s="236">
        <v>105268</v>
      </c>
      <c r="H441" s="236"/>
      <c r="I441" s="237">
        <v>1977.8</v>
      </c>
      <c r="J441" s="237">
        <v>92248</v>
      </c>
      <c r="K441" s="237">
        <v>7210</v>
      </c>
      <c r="L441" s="236">
        <v>19501</v>
      </c>
      <c r="M441" s="236"/>
      <c r="N441" s="237">
        <v>3689</v>
      </c>
      <c r="O441" s="237">
        <v>34048</v>
      </c>
      <c r="P441" s="237">
        <v>0</v>
      </c>
      <c r="Q441" s="236">
        <v>0</v>
      </c>
      <c r="R441" s="237">
        <f t="shared" si="6"/>
        <v>58200</v>
      </c>
      <c r="S441" s="236"/>
      <c r="T441" s="237">
        <v>28137</v>
      </c>
      <c r="U441" s="238">
        <v>7376</v>
      </c>
      <c r="V441" s="238">
        <v>35513</v>
      </c>
    </row>
    <row r="442" spans="1:22">
      <c r="A442" s="231">
        <v>94521</v>
      </c>
      <c r="B442" s="232" t="s">
        <v>1153</v>
      </c>
      <c r="C442" s="92">
        <v>1.2410000000000001E-4</v>
      </c>
      <c r="D442" s="92">
        <v>1.6320000000000001E-4</v>
      </c>
      <c r="E442" s="236">
        <v>54157.59</v>
      </c>
      <c r="F442" s="236">
        <v>73243</v>
      </c>
      <c r="G442" s="236">
        <v>263382</v>
      </c>
      <c r="H442" s="236"/>
      <c r="I442" s="237">
        <v>4948</v>
      </c>
      <c r="J442" s="237">
        <v>230806</v>
      </c>
      <c r="K442" s="237">
        <v>18039</v>
      </c>
      <c r="L442" s="236">
        <v>5851</v>
      </c>
      <c r="M442" s="236"/>
      <c r="N442" s="237">
        <v>9229</v>
      </c>
      <c r="O442" s="237">
        <v>85189</v>
      </c>
      <c r="P442" s="237">
        <v>0</v>
      </c>
      <c r="Q442" s="236">
        <v>18701</v>
      </c>
      <c r="R442" s="237">
        <f t="shared" si="6"/>
        <v>145617</v>
      </c>
      <c r="S442" s="236"/>
      <c r="T442" s="237">
        <v>70398</v>
      </c>
      <c r="U442" s="238">
        <v>-2526</v>
      </c>
      <c r="V442" s="238">
        <v>67872</v>
      </c>
    </row>
    <row r="443" spans="1:22">
      <c r="A443" s="231">
        <v>94527</v>
      </c>
      <c r="B443" s="232" t="s">
        <v>1154</v>
      </c>
      <c r="C443" s="92">
        <v>6.3999999999999997E-6</v>
      </c>
      <c r="D443" s="92">
        <v>9.0000000000000002E-6</v>
      </c>
      <c r="E443" s="236">
        <v>0</v>
      </c>
      <c r="F443" s="236">
        <v>4039</v>
      </c>
      <c r="G443" s="236">
        <v>13583</v>
      </c>
      <c r="H443" s="236"/>
      <c r="I443" s="237">
        <v>255.2</v>
      </c>
      <c r="J443" s="237">
        <v>11903</v>
      </c>
      <c r="K443" s="237">
        <v>930</v>
      </c>
      <c r="L443" s="236">
        <v>477</v>
      </c>
      <c r="M443" s="236"/>
      <c r="N443" s="237">
        <v>476</v>
      </c>
      <c r="O443" s="237">
        <v>4393</v>
      </c>
      <c r="P443" s="237">
        <v>0</v>
      </c>
      <c r="Q443" s="236">
        <v>3557</v>
      </c>
      <c r="R443" s="237">
        <f t="shared" si="6"/>
        <v>7510</v>
      </c>
      <c r="S443" s="236"/>
      <c r="T443" s="237">
        <v>3631</v>
      </c>
      <c r="U443" s="238">
        <v>-766</v>
      </c>
      <c r="V443" s="238">
        <v>2864</v>
      </c>
    </row>
    <row r="444" spans="1:22">
      <c r="A444" s="231">
        <v>94531</v>
      </c>
      <c r="B444" s="232" t="s">
        <v>1155</v>
      </c>
      <c r="C444" s="92">
        <v>1.5500000000000001E-5</v>
      </c>
      <c r="D444" s="92">
        <v>1.66E-5</v>
      </c>
      <c r="E444" s="236">
        <v>9988.7199999999993</v>
      </c>
      <c r="F444" s="236">
        <v>7450</v>
      </c>
      <c r="G444" s="236">
        <v>32896</v>
      </c>
      <c r="H444" s="236"/>
      <c r="I444" s="237">
        <v>618.0625</v>
      </c>
      <c r="J444" s="237">
        <v>28828</v>
      </c>
      <c r="K444" s="237">
        <v>2253</v>
      </c>
      <c r="L444" s="236">
        <v>5256</v>
      </c>
      <c r="M444" s="236"/>
      <c r="N444" s="237">
        <v>1153</v>
      </c>
      <c r="O444" s="237">
        <v>10640</v>
      </c>
      <c r="P444" s="237">
        <v>0</v>
      </c>
      <c r="Q444" s="236">
        <v>0</v>
      </c>
      <c r="R444" s="237">
        <f t="shared" si="6"/>
        <v>18188</v>
      </c>
      <c r="S444" s="236"/>
      <c r="T444" s="237">
        <v>8793</v>
      </c>
      <c r="U444" s="238">
        <v>1863</v>
      </c>
      <c r="V444" s="238">
        <v>10656</v>
      </c>
    </row>
    <row r="445" spans="1:22">
      <c r="A445" s="231">
        <v>94532</v>
      </c>
      <c r="B445" s="232" t="s">
        <v>1156</v>
      </c>
      <c r="C445" s="92">
        <v>9.4099999999999997E-5</v>
      </c>
      <c r="D445" s="92">
        <v>1.155E-4</v>
      </c>
      <c r="E445" s="236">
        <v>41786.75</v>
      </c>
      <c r="F445" s="236">
        <v>51836</v>
      </c>
      <c r="G445" s="236">
        <v>199712</v>
      </c>
      <c r="H445" s="236"/>
      <c r="I445" s="237">
        <v>3752</v>
      </c>
      <c r="J445" s="237">
        <v>175011</v>
      </c>
      <c r="K445" s="237">
        <v>13678</v>
      </c>
      <c r="L445" s="236">
        <v>0</v>
      </c>
      <c r="M445" s="236"/>
      <c r="N445" s="237">
        <v>6998</v>
      </c>
      <c r="O445" s="237">
        <v>64596</v>
      </c>
      <c r="P445" s="237">
        <v>0</v>
      </c>
      <c r="Q445" s="236">
        <v>15319</v>
      </c>
      <c r="R445" s="237">
        <f t="shared" si="6"/>
        <v>110415</v>
      </c>
      <c r="S445" s="236"/>
      <c r="T445" s="237">
        <v>53380</v>
      </c>
      <c r="U445" s="238">
        <v>-5410</v>
      </c>
      <c r="V445" s="238">
        <v>47970</v>
      </c>
    </row>
    <row r="446" spans="1:22">
      <c r="A446" s="231">
        <v>94541</v>
      </c>
      <c r="B446" s="232" t="s">
        <v>1157</v>
      </c>
      <c r="C446" s="92">
        <v>2.9839999999999999E-4</v>
      </c>
      <c r="D446" s="92">
        <v>2.8739999999999999E-4</v>
      </c>
      <c r="E446" s="236">
        <v>104979.31</v>
      </c>
      <c r="F446" s="236">
        <v>128983</v>
      </c>
      <c r="G446" s="236">
        <v>633305</v>
      </c>
      <c r="H446" s="236"/>
      <c r="I446" s="237">
        <v>11899</v>
      </c>
      <c r="J446" s="237">
        <v>554977</v>
      </c>
      <c r="K446" s="237">
        <v>43376</v>
      </c>
      <c r="L446" s="236">
        <v>0</v>
      </c>
      <c r="M446" s="236"/>
      <c r="N446" s="237">
        <v>22192</v>
      </c>
      <c r="O446" s="237">
        <v>204839</v>
      </c>
      <c r="P446" s="237">
        <v>0</v>
      </c>
      <c r="Q446" s="236">
        <v>23573</v>
      </c>
      <c r="R446" s="237">
        <f t="shared" si="6"/>
        <v>350138</v>
      </c>
      <c r="S446" s="236"/>
      <c r="T446" s="237">
        <v>169273</v>
      </c>
      <c r="U446" s="238">
        <v>-7692</v>
      </c>
      <c r="V446" s="238">
        <v>161581</v>
      </c>
    </row>
    <row r="447" spans="1:22">
      <c r="A447" s="231">
        <v>94547</v>
      </c>
      <c r="B447" s="232" t="s">
        <v>1158</v>
      </c>
      <c r="C447" s="92">
        <v>1.24E-5</v>
      </c>
      <c r="D447" s="92">
        <v>1.3499999999999999E-5</v>
      </c>
      <c r="E447" s="236">
        <v>7369.380000000001</v>
      </c>
      <c r="F447" s="236">
        <v>6059</v>
      </c>
      <c r="G447" s="236">
        <v>26317</v>
      </c>
      <c r="H447" s="236"/>
      <c r="I447" s="237">
        <v>494.45</v>
      </c>
      <c r="J447" s="237">
        <v>23062</v>
      </c>
      <c r="K447" s="237">
        <v>1802</v>
      </c>
      <c r="L447" s="236">
        <v>2133</v>
      </c>
      <c r="M447" s="236"/>
      <c r="N447" s="237">
        <v>922</v>
      </c>
      <c r="O447" s="237">
        <v>8512</v>
      </c>
      <c r="P447" s="237">
        <v>0</v>
      </c>
      <c r="Q447" s="236">
        <v>0</v>
      </c>
      <c r="R447" s="237">
        <f t="shared" si="6"/>
        <v>14550</v>
      </c>
      <c r="S447" s="236"/>
      <c r="T447" s="237">
        <v>7034</v>
      </c>
      <c r="U447" s="238">
        <v>656</v>
      </c>
      <c r="V447" s="238">
        <v>7690</v>
      </c>
    </row>
    <row r="448" spans="1:22">
      <c r="A448" s="231">
        <v>94551</v>
      </c>
      <c r="B448" s="232" t="s">
        <v>1159</v>
      </c>
      <c r="C448" s="92">
        <v>4.5899999999999998E-5</v>
      </c>
      <c r="D448" s="92">
        <v>3.0599999999999998E-5</v>
      </c>
      <c r="E448" s="236">
        <v>22107.480000000003</v>
      </c>
      <c r="F448" s="236">
        <v>13733</v>
      </c>
      <c r="G448" s="236">
        <v>97415</v>
      </c>
      <c r="H448" s="236"/>
      <c r="I448" s="237">
        <v>1830</v>
      </c>
      <c r="J448" s="237">
        <v>85367</v>
      </c>
      <c r="K448" s="237">
        <v>6672</v>
      </c>
      <c r="L448" s="236">
        <v>14242</v>
      </c>
      <c r="M448" s="236"/>
      <c r="N448" s="237">
        <v>3414</v>
      </c>
      <c r="O448" s="237">
        <v>31508</v>
      </c>
      <c r="P448" s="237">
        <v>0</v>
      </c>
      <c r="Q448" s="236">
        <v>2442</v>
      </c>
      <c r="R448" s="237">
        <f t="shared" si="6"/>
        <v>53859</v>
      </c>
      <c r="S448" s="236"/>
      <c r="T448" s="237">
        <v>26038</v>
      </c>
      <c r="U448" s="238">
        <v>3648</v>
      </c>
      <c r="V448" s="238">
        <v>29686</v>
      </c>
    </row>
    <row r="449" spans="1:22">
      <c r="A449" s="231">
        <v>94601</v>
      </c>
      <c r="B449" s="232" t="s">
        <v>1160</v>
      </c>
      <c r="C449" s="92">
        <v>1.0011E-3</v>
      </c>
      <c r="D449" s="92">
        <v>9.7179999999999999E-4</v>
      </c>
      <c r="E449" s="236">
        <v>433754.10999999993</v>
      </c>
      <c r="F449" s="236">
        <v>436138</v>
      </c>
      <c r="G449" s="236">
        <v>2124670</v>
      </c>
      <c r="H449" s="236"/>
      <c r="I449" s="237">
        <v>39919</v>
      </c>
      <c r="J449" s="237">
        <v>1861888</v>
      </c>
      <c r="K449" s="237">
        <v>145521</v>
      </c>
      <c r="L449" s="236">
        <v>36047</v>
      </c>
      <c r="M449" s="236"/>
      <c r="N449" s="237">
        <v>74451</v>
      </c>
      <c r="O449" s="237">
        <v>687213</v>
      </c>
      <c r="P449" s="237">
        <v>0</v>
      </c>
      <c r="Q449" s="236">
        <v>3381</v>
      </c>
      <c r="R449" s="237">
        <f t="shared" si="6"/>
        <v>1174675</v>
      </c>
      <c r="S449" s="236"/>
      <c r="T449" s="237">
        <v>567893</v>
      </c>
      <c r="U449" s="238">
        <v>8786</v>
      </c>
      <c r="V449" s="238">
        <v>576679</v>
      </c>
    </row>
    <row r="450" spans="1:22">
      <c r="A450" s="231">
        <v>94604</v>
      </c>
      <c r="B450" s="232" t="s">
        <v>1161</v>
      </c>
      <c r="C450" s="92">
        <v>2.65E-5</v>
      </c>
      <c r="D450" s="92">
        <v>2.76E-5</v>
      </c>
      <c r="E450" s="236">
        <v>12705.000000000002</v>
      </c>
      <c r="F450" s="236">
        <v>12387</v>
      </c>
      <c r="G450" s="236">
        <v>56242</v>
      </c>
      <c r="H450" s="236"/>
      <c r="I450" s="237">
        <v>1056.6875</v>
      </c>
      <c r="J450" s="237">
        <v>49286</v>
      </c>
      <c r="K450" s="237">
        <v>3852</v>
      </c>
      <c r="L450" s="236">
        <v>1065</v>
      </c>
      <c r="M450" s="236"/>
      <c r="N450" s="237">
        <v>1971</v>
      </c>
      <c r="O450" s="237">
        <v>18191</v>
      </c>
      <c r="P450" s="237">
        <v>0</v>
      </c>
      <c r="Q450" s="236">
        <v>52</v>
      </c>
      <c r="R450" s="237">
        <f t="shared" si="6"/>
        <v>31095</v>
      </c>
      <c r="S450" s="236"/>
      <c r="T450" s="237">
        <v>15033</v>
      </c>
      <c r="U450" s="238">
        <v>272</v>
      </c>
      <c r="V450" s="238">
        <v>15304</v>
      </c>
    </row>
    <row r="451" spans="1:22">
      <c r="A451" s="231">
        <v>94606</v>
      </c>
      <c r="B451" s="232" t="s">
        <v>1162</v>
      </c>
      <c r="C451" s="92">
        <v>2.6229999999999998E-4</v>
      </c>
      <c r="D451" s="92">
        <v>2.8610000000000002E-4</v>
      </c>
      <c r="E451" s="236">
        <v>101570.82999999999</v>
      </c>
      <c r="F451" s="236">
        <v>128400</v>
      </c>
      <c r="G451" s="236">
        <v>556688</v>
      </c>
      <c r="H451" s="236"/>
      <c r="I451" s="237">
        <v>10459</v>
      </c>
      <c r="J451" s="237">
        <v>487837</v>
      </c>
      <c r="K451" s="237">
        <v>38128</v>
      </c>
      <c r="L451" s="236">
        <v>0</v>
      </c>
      <c r="M451" s="236"/>
      <c r="N451" s="237">
        <v>19507</v>
      </c>
      <c r="O451" s="237">
        <v>180058</v>
      </c>
      <c r="P451" s="237">
        <v>0</v>
      </c>
      <c r="Q451" s="236">
        <v>52213</v>
      </c>
      <c r="R451" s="237">
        <f t="shared" si="6"/>
        <v>307779</v>
      </c>
      <c r="S451" s="236"/>
      <c r="T451" s="237">
        <v>148795</v>
      </c>
      <c r="U451" s="238">
        <v>-19437</v>
      </c>
      <c r="V451" s="238">
        <v>129358</v>
      </c>
    </row>
    <row r="452" spans="1:22">
      <c r="A452" s="231">
        <v>94611</v>
      </c>
      <c r="B452" s="232" t="s">
        <v>1163</v>
      </c>
      <c r="C452" s="92">
        <v>4.4450000000000002E-4</v>
      </c>
      <c r="D452" s="92">
        <v>4.5360000000000002E-4</v>
      </c>
      <c r="E452" s="236">
        <v>189159.12</v>
      </c>
      <c r="F452" s="236">
        <v>203573</v>
      </c>
      <c r="G452" s="236">
        <v>943378</v>
      </c>
      <c r="H452" s="236"/>
      <c r="I452" s="237">
        <v>17724.4375</v>
      </c>
      <c r="J452" s="237">
        <v>826700</v>
      </c>
      <c r="K452" s="237">
        <v>64613</v>
      </c>
      <c r="L452" s="236">
        <v>3960</v>
      </c>
      <c r="M452" s="236"/>
      <c r="N452" s="237">
        <v>33057</v>
      </c>
      <c r="O452" s="237">
        <v>305131</v>
      </c>
      <c r="P452" s="237">
        <v>0</v>
      </c>
      <c r="Q452" s="236">
        <v>4915.3</v>
      </c>
      <c r="R452" s="237">
        <f t="shared" si="6"/>
        <v>521569</v>
      </c>
      <c r="S452" s="236"/>
      <c r="T452" s="237">
        <v>252151</v>
      </c>
      <c r="U452" s="238">
        <v>-1078</v>
      </c>
      <c r="V452" s="238">
        <v>251074</v>
      </c>
    </row>
    <row r="453" spans="1:22">
      <c r="A453" s="231">
        <v>94621</v>
      </c>
      <c r="B453" s="232" t="s">
        <v>1164</v>
      </c>
      <c r="C453" s="92">
        <v>1.3119999999999999E-4</v>
      </c>
      <c r="D453" s="92">
        <v>1.5200000000000001E-4</v>
      </c>
      <c r="E453" s="236">
        <v>64393.31</v>
      </c>
      <c r="F453" s="236">
        <v>68217</v>
      </c>
      <c r="G453" s="236">
        <v>278450</v>
      </c>
      <c r="H453" s="236"/>
      <c r="I453" s="237">
        <v>5232</v>
      </c>
      <c r="J453" s="237">
        <v>244011</v>
      </c>
      <c r="K453" s="237">
        <v>19071</v>
      </c>
      <c r="L453" s="236">
        <v>13237</v>
      </c>
      <c r="M453" s="236"/>
      <c r="N453" s="237">
        <v>9757</v>
      </c>
      <c r="O453" s="237">
        <v>90063</v>
      </c>
      <c r="P453" s="237">
        <v>0</v>
      </c>
      <c r="Q453" s="236">
        <v>19570</v>
      </c>
      <c r="R453" s="237">
        <f t="shared" si="6"/>
        <v>153948</v>
      </c>
      <c r="S453" s="236"/>
      <c r="T453" s="237">
        <v>74426</v>
      </c>
      <c r="U453" s="238">
        <v>-3</v>
      </c>
      <c r="V453" s="238">
        <v>74422</v>
      </c>
    </row>
    <row r="454" spans="1:22">
      <c r="A454" s="231">
        <v>94631</v>
      </c>
      <c r="B454" s="232" t="s">
        <v>1165</v>
      </c>
      <c r="C454" s="92">
        <v>3.9799999999999998E-5</v>
      </c>
      <c r="D454" s="92">
        <v>4.0299999999999997E-5</v>
      </c>
      <c r="E454" s="236">
        <v>19878.57</v>
      </c>
      <c r="F454" s="236">
        <v>18086</v>
      </c>
      <c r="G454" s="236">
        <v>84469</v>
      </c>
      <c r="H454" s="236"/>
      <c r="I454" s="237">
        <v>1587</v>
      </c>
      <c r="J454" s="237">
        <v>74022</v>
      </c>
      <c r="K454" s="237">
        <v>5785</v>
      </c>
      <c r="L454" s="236">
        <v>5170</v>
      </c>
      <c r="M454" s="236"/>
      <c r="N454" s="237">
        <v>2960</v>
      </c>
      <c r="O454" s="237">
        <v>27321</v>
      </c>
      <c r="P454" s="237">
        <v>0</v>
      </c>
      <c r="Q454" s="236">
        <v>0</v>
      </c>
      <c r="R454" s="237">
        <f t="shared" si="6"/>
        <v>46701</v>
      </c>
      <c r="S454" s="236"/>
      <c r="T454" s="237">
        <v>22577</v>
      </c>
      <c r="U454" s="238">
        <v>1734</v>
      </c>
      <c r="V454" s="238">
        <v>24311</v>
      </c>
    </row>
    <row r="455" spans="1:22">
      <c r="A455" s="231">
        <v>94641</v>
      </c>
      <c r="B455" s="232" t="s">
        <v>1166</v>
      </c>
      <c r="C455" s="92">
        <v>4.6999999999999999E-6</v>
      </c>
      <c r="D455" s="92">
        <v>4.6999999999999999E-6</v>
      </c>
      <c r="E455" s="236">
        <v>4524.25</v>
      </c>
      <c r="F455" s="236">
        <v>2109</v>
      </c>
      <c r="G455" s="236">
        <v>9975</v>
      </c>
      <c r="H455" s="236"/>
      <c r="I455" s="237">
        <v>187.41249999999999</v>
      </c>
      <c r="J455" s="237">
        <v>8741</v>
      </c>
      <c r="K455" s="237">
        <v>683</v>
      </c>
      <c r="L455" s="236">
        <v>4799</v>
      </c>
      <c r="M455" s="236"/>
      <c r="N455" s="237">
        <v>350</v>
      </c>
      <c r="O455" s="237">
        <v>3226</v>
      </c>
      <c r="P455" s="237">
        <v>0</v>
      </c>
      <c r="Q455" s="236">
        <v>0</v>
      </c>
      <c r="R455" s="237">
        <f t="shared" si="6"/>
        <v>5515</v>
      </c>
      <c r="S455" s="236"/>
      <c r="T455" s="237">
        <v>2666</v>
      </c>
      <c r="U455" s="238">
        <v>1678</v>
      </c>
      <c r="V455" s="238">
        <v>4344</v>
      </c>
    </row>
    <row r="456" spans="1:22">
      <c r="A456" s="231">
        <v>94701</v>
      </c>
      <c r="B456" s="232" t="s">
        <v>1167</v>
      </c>
      <c r="C456" s="92">
        <v>2.5636000000000001E-3</v>
      </c>
      <c r="D456" s="92">
        <v>2.6064999999999999E-3</v>
      </c>
      <c r="E456" s="236">
        <v>956457.01999999979</v>
      </c>
      <c r="F456" s="236">
        <v>1169782</v>
      </c>
      <c r="G456" s="236">
        <v>5440818</v>
      </c>
      <c r="H456" s="236"/>
      <c r="I456" s="237">
        <v>102223.55</v>
      </c>
      <c r="J456" s="237">
        <v>4767891</v>
      </c>
      <c r="K456" s="237">
        <v>372647</v>
      </c>
      <c r="L456" s="236">
        <v>75767</v>
      </c>
      <c r="M456" s="236"/>
      <c r="N456" s="237">
        <v>190652</v>
      </c>
      <c r="O456" s="237">
        <v>1759804</v>
      </c>
      <c r="P456" s="237">
        <v>0</v>
      </c>
      <c r="Q456" s="236">
        <v>100921</v>
      </c>
      <c r="R456" s="237">
        <f t="shared" si="6"/>
        <v>3008087</v>
      </c>
      <c r="S456" s="236"/>
      <c r="T456" s="237">
        <v>1454251</v>
      </c>
      <c r="U456" s="238">
        <v>4371</v>
      </c>
      <c r="V456" s="238">
        <v>1458622</v>
      </c>
    </row>
    <row r="457" spans="1:22">
      <c r="A457" s="231">
        <v>94704</v>
      </c>
      <c r="B457" s="232" t="s">
        <v>1168</v>
      </c>
      <c r="C457" s="92">
        <v>1.04E-5</v>
      </c>
      <c r="D457" s="92">
        <v>1.0900000000000001E-5</v>
      </c>
      <c r="E457" s="236">
        <v>4510.1299999999992</v>
      </c>
      <c r="F457" s="236">
        <v>4892</v>
      </c>
      <c r="G457" s="236">
        <v>22072</v>
      </c>
      <c r="H457" s="236"/>
      <c r="I457" s="237">
        <v>414.7</v>
      </c>
      <c r="J457" s="237">
        <v>19342</v>
      </c>
      <c r="K457" s="237">
        <v>1512</v>
      </c>
      <c r="L457" s="236">
        <v>147</v>
      </c>
      <c r="M457" s="236"/>
      <c r="N457" s="237">
        <v>773</v>
      </c>
      <c r="O457" s="237">
        <v>7139</v>
      </c>
      <c r="P457" s="237">
        <v>0</v>
      </c>
      <c r="Q457" s="236">
        <v>86</v>
      </c>
      <c r="R457" s="237">
        <f t="shared" ref="R457:R520" si="7">IF(J457&gt;O457,J457-O457,O457-J457)</f>
        <v>12203</v>
      </c>
      <c r="S457" s="236"/>
      <c r="T457" s="237">
        <v>5900</v>
      </c>
      <c r="U457" s="238">
        <v>47</v>
      </c>
      <c r="V457" s="238">
        <v>5946</v>
      </c>
    </row>
    <row r="458" spans="1:22">
      <c r="A458" s="231">
        <v>94711</v>
      </c>
      <c r="B458" s="232" t="s">
        <v>1169</v>
      </c>
      <c r="C458" s="92">
        <v>3.5110000000000002E-4</v>
      </c>
      <c r="D458" s="92">
        <v>3.5270000000000001E-4</v>
      </c>
      <c r="E458" s="236">
        <v>140447.14000000001</v>
      </c>
      <c r="F458" s="236">
        <v>158290</v>
      </c>
      <c r="G458" s="236">
        <v>745152</v>
      </c>
      <c r="H458" s="236"/>
      <c r="I458" s="237">
        <v>14000</v>
      </c>
      <c r="J458" s="237">
        <v>652991</v>
      </c>
      <c r="K458" s="237">
        <v>51036</v>
      </c>
      <c r="L458" s="236">
        <v>14121</v>
      </c>
      <c r="M458" s="236"/>
      <c r="N458" s="237">
        <v>26111</v>
      </c>
      <c r="O458" s="237">
        <v>241015</v>
      </c>
      <c r="P458" s="237">
        <v>0</v>
      </c>
      <c r="Q458" s="236">
        <v>8957</v>
      </c>
      <c r="R458" s="237">
        <f t="shared" si="7"/>
        <v>411976</v>
      </c>
      <c r="S458" s="236"/>
      <c r="T458" s="237">
        <v>199168</v>
      </c>
      <c r="U458" s="238">
        <v>1479</v>
      </c>
      <c r="V458" s="238">
        <v>200647</v>
      </c>
    </row>
    <row r="459" spans="1:22">
      <c r="A459" s="231">
        <v>94801</v>
      </c>
      <c r="B459" s="232" t="s">
        <v>1170</v>
      </c>
      <c r="C459" s="92">
        <v>7.6539999999999996E-4</v>
      </c>
      <c r="D459" s="92">
        <v>7.425E-4</v>
      </c>
      <c r="E459" s="236">
        <v>315763.95000000007</v>
      </c>
      <c r="F459" s="236">
        <v>333230</v>
      </c>
      <c r="G459" s="236">
        <v>1624435</v>
      </c>
      <c r="H459" s="236"/>
      <c r="I459" s="237">
        <v>30520</v>
      </c>
      <c r="J459" s="237">
        <v>1423523</v>
      </c>
      <c r="K459" s="237">
        <v>111259</v>
      </c>
      <c r="L459" s="236">
        <v>62992</v>
      </c>
      <c r="M459" s="236"/>
      <c r="N459" s="237">
        <v>56922</v>
      </c>
      <c r="O459" s="237">
        <v>525415</v>
      </c>
      <c r="P459" s="237">
        <v>0</v>
      </c>
      <c r="Q459" s="236">
        <v>0</v>
      </c>
      <c r="R459" s="237">
        <f t="shared" si="7"/>
        <v>898108</v>
      </c>
      <c r="S459" s="236"/>
      <c r="T459" s="237">
        <v>434188</v>
      </c>
      <c r="U459" s="238">
        <v>22612</v>
      </c>
      <c r="V459" s="238">
        <v>456800</v>
      </c>
    </row>
    <row r="460" spans="1:22">
      <c r="A460" s="231">
        <v>94804</v>
      </c>
      <c r="B460" s="232" t="s">
        <v>1171</v>
      </c>
      <c r="C460" s="92">
        <v>3.8E-6</v>
      </c>
      <c r="D460" s="92">
        <v>5.5999999999999997E-6</v>
      </c>
      <c r="E460" s="236">
        <v>2420.6699999999996</v>
      </c>
      <c r="F460" s="236">
        <v>2513</v>
      </c>
      <c r="G460" s="236">
        <v>8065</v>
      </c>
      <c r="H460" s="236"/>
      <c r="I460" s="237">
        <v>151.52500000000001</v>
      </c>
      <c r="J460" s="237">
        <v>7067</v>
      </c>
      <c r="K460" s="237">
        <v>552</v>
      </c>
      <c r="L460" s="236">
        <v>3516</v>
      </c>
      <c r="M460" s="236"/>
      <c r="N460" s="237">
        <v>283</v>
      </c>
      <c r="O460" s="237">
        <v>2609</v>
      </c>
      <c r="P460" s="237">
        <v>0</v>
      </c>
      <c r="Q460" s="236">
        <v>294</v>
      </c>
      <c r="R460" s="237">
        <f t="shared" si="7"/>
        <v>4458</v>
      </c>
      <c r="S460" s="236"/>
      <c r="T460" s="237">
        <v>2156</v>
      </c>
      <c r="U460" s="238">
        <v>1680</v>
      </c>
      <c r="V460" s="238">
        <v>3836</v>
      </c>
    </row>
    <row r="461" spans="1:22">
      <c r="A461" s="231">
        <v>94812</v>
      </c>
      <c r="B461" s="232" t="s">
        <v>1172</v>
      </c>
      <c r="C461" s="92">
        <v>3.3500000000000001E-5</v>
      </c>
      <c r="D461" s="92">
        <v>2.8200000000000001E-5</v>
      </c>
      <c r="E461" s="236">
        <v>17636.609999999993</v>
      </c>
      <c r="F461" s="236">
        <v>12656</v>
      </c>
      <c r="G461" s="236">
        <v>71098</v>
      </c>
      <c r="H461" s="236"/>
      <c r="I461" s="237">
        <v>1335.8125</v>
      </c>
      <c r="J461" s="237">
        <v>62305</v>
      </c>
      <c r="K461" s="237">
        <v>4870</v>
      </c>
      <c r="L461" s="236">
        <v>10393</v>
      </c>
      <c r="M461" s="236"/>
      <c r="N461" s="237">
        <v>2491</v>
      </c>
      <c r="O461" s="237">
        <v>22996</v>
      </c>
      <c r="P461" s="237">
        <v>0</v>
      </c>
      <c r="Q461" s="236">
        <v>0</v>
      </c>
      <c r="R461" s="237">
        <f t="shared" si="7"/>
        <v>39309</v>
      </c>
      <c r="S461" s="236"/>
      <c r="T461" s="237">
        <v>19004</v>
      </c>
      <c r="U461" s="238">
        <v>3222</v>
      </c>
      <c r="V461" s="238">
        <v>22225</v>
      </c>
    </row>
    <row r="462" spans="1:22">
      <c r="A462" s="231">
        <v>94901</v>
      </c>
      <c r="B462" s="232" t="s">
        <v>1173</v>
      </c>
      <c r="C462" s="92">
        <v>7.0014999999999999E-3</v>
      </c>
      <c r="D462" s="92">
        <v>6.6921999999999997E-3</v>
      </c>
      <c r="E462" s="236">
        <v>2681224.3200000003</v>
      </c>
      <c r="F462" s="236">
        <v>3003419</v>
      </c>
      <c r="G462" s="236">
        <v>14859529</v>
      </c>
      <c r="H462" s="236"/>
      <c r="I462" s="237">
        <v>279185</v>
      </c>
      <c r="J462" s="237">
        <v>13021684</v>
      </c>
      <c r="K462" s="237">
        <v>1017745</v>
      </c>
      <c r="L462" s="236">
        <v>28689</v>
      </c>
      <c r="M462" s="236"/>
      <c r="N462" s="237">
        <v>520695</v>
      </c>
      <c r="O462" s="237">
        <v>4806236</v>
      </c>
      <c r="P462" s="237">
        <v>0</v>
      </c>
      <c r="Q462" s="236">
        <v>82188</v>
      </c>
      <c r="R462" s="237">
        <f t="shared" si="7"/>
        <v>8215448</v>
      </c>
      <c r="S462" s="236"/>
      <c r="T462" s="237">
        <v>3971734</v>
      </c>
      <c r="U462" s="238">
        <v>-17216</v>
      </c>
      <c r="V462" s="238">
        <v>3954518</v>
      </c>
    </row>
    <row r="463" spans="1:22">
      <c r="A463" s="231">
        <v>94908</v>
      </c>
      <c r="B463" s="232" t="s">
        <v>1174</v>
      </c>
      <c r="C463" s="92">
        <v>3.9799999999999998E-5</v>
      </c>
      <c r="D463" s="92">
        <v>4.2799999999999997E-5</v>
      </c>
      <c r="E463" s="236">
        <v>16384.420000000002</v>
      </c>
      <c r="F463" s="236">
        <v>19208</v>
      </c>
      <c r="G463" s="236">
        <v>84469</v>
      </c>
      <c r="H463" s="236"/>
      <c r="I463" s="237">
        <v>1587</v>
      </c>
      <c r="J463" s="237">
        <v>74022</v>
      </c>
      <c r="K463" s="237">
        <v>5785</v>
      </c>
      <c r="L463" s="236">
        <v>0</v>
      </c>
      <c r="M463" s="236"/>
      <c r="N463" s="237">
        <v>2960</v>
      </c>
      <c r="O463" s="237">
        <v>27321</v>
      </c>
      <c r="P463" s="237">
        <v>0</v>
      </c>
      <c r="Q463" s="236">
        <v>5878</v>
      </c>
      <c r="R463" s="237">
        <f t="shared" si="7"/>
        <v>46701</v>
      </c>
      <c r="S463" s="236"/>
      <c r="T463" s="237">
        <v>22577</v>
      </c>
      <c r="U463" s="238">
        <v>-2269</v>
      </c>
      <c r="V463" s="238">
        <v>20308</v>
      </c>
    </row>
    <row r="464" spans="1:22">
      <c r="A464" s="231">
        <v>94911</v>
      </c>
      <c r="B464" s="232" t="s">
        <v>1175</v>
      </c>
      <c r="C464" s="92">
        <v>2.7745999999999999E-3</v>
      </c>
      <c r="D464" s="92">
        <v>2.8086000000000001E-3</v>
      </c>
      <c r="E464" s="236">
        <v>1108370.94</v>
      </c>
      <c r="F464" s="236">
        <v>1260483</v>
      </c>
      <c r="G464" s="236">
        <v>5888631</v>
      </c>
      <c r="H464" s="236"/>
      <c r="I464" s="237">
        <v>110637</v>
      </c>
      <c r="J464" s="237">
        <v>5160318</v>
      </c>
      <c r="K464" s="237">
        <v>403319</v>
      </c>
      <c r="L464" s="236">
        <v>7508</v>
      </c>
      <c r="M464" s="236"/>
      <c r="N464" s="237">
        <v>206344</v>
      </c>
      <c r="O464" s="237">
        <v>1904646</v>
      </c>
      <c r="P464" s="237">
        <v>0</v>
      </c>
      <c r="Q464" s="236">
        <v>58992</v>
      </c>
      <c r="R464" s="237">
        <f t="shared" si="7"/>
        <v>3255672</v>
      </c>
      <c r="S464" s="236"/>
      <c r="T464" s="237">
        <v>1573945</v>
      </c>
      <c r="U464" s="238">
        <v>-16182</v>
      </c>
      <c r="V464" s="238">
        <v>1557762</v>
      </c>
    </row>
    <row r="465" spans="1:22">
      <c r="A465" s="231">
        <v>94917</v>
      </c>
      <c r="B465" s="232" t="s">
        <v>1176</v>
      </c>
      <c r="C465" s="92">
        <v>3.7400000000000001E-5</v>
      </c>
      <c r="D465" s="92">
        <v>4.0399999999999999E-5</v>
      </c>
      <c r="E465" s="236">
        <v>24113.03</v>
      </c>
      <c r="F465" s="236">
        <v>18131</v>
      </c>
      <c r="G465" s="236">
        <v>79375</v>
      </c>
      <c r="H465" s="236"/>
      <c r="I465" s="237">
        <v>1491.325</v>
      </c>
      <c r="J465" s="237">
        <v>69558</v>
      </c>
      <c r="K465" s="237">
        <v>5437</v>
      </c>
      <c r="L465" s="236">
        <v>14598</v>
      </c>
      <c r="M465" s="236"/>
      <c r="N465" s="237">
        <v>2781</v>
      </c>
      <c r="O465" s="237">
        <v>25674</v>
      </c>
      <c r="P465" s="237">
        <v>0</v>
      </c>
      <c r="Q465" s="236">
        <v>0</v>
      </c>
      <c r="R465" s="237">
        <f t="shared" si="7"/>
        <v>43884</v>
      </c>
      <c r="S465" s="236"/>
      <c r="T465" s="237">
        <v>21216</v>
      </c>
      <c r="U465" s="238">
        <v>5296</v>
      </c>
      <c r="V465" s="238">
        <v>26512</v>
      </c>
    </row>
    <row r="466" spans="1:22">
      <c r="A466" s="231">
        <v>94921</v>
      </c>
      <c r="B466" s="232" t="s">
        <v>1177</v>
      </c>
      <c r="C466" s="92">
        <v>3.7063E-3</v>
      </c>
      <c r="D466" s="92">
        <v>4.0699999999999998E-3</v>
      </c>
      <c r="E466" s="236">
        <v>1372917.85</v>
      </c>
      <c r="F466" s="236">
        <v>1826592</v>
      </c>
      <c r="G466" s="236">
        <v>7866010</v>
      </c>
      <c r="H466" s="236"/>
      <c r="I466" s="237">
        <v>147789</v>
      </c>
      <c r="J466" s="237">
        <v>6893132</v>
      </c>
      <c r="K466" s="237">
        <v>538751</v>
      </c>
      <c r="L466" s="236">
        <v>0</v>
      </c>
      <c r="M466" s="236"/>
      <c r="N466" s="237">
        <v>275634</v>
      </c>
      <c r="O466" s="237">
        <v>2544219</v>
      </c>
      <c r="P466" s="237">
        <v>0</v>
      </c>
      <c r="Q466" s="236">
        <v>505665</v>
      </c>
      <c r="R466" s="237">
        <f t="shared" si="7"/>
        <v>4348913</v>
      </c>
      <c r="S466" s="236"/>
      <c r="T466" s="237">
        <v>2102469</v>
      </c>
      <c r="U466" s="238">
        <v>-155426</v>
      </c>
      <c r="V466" s="238">
        <v>1947043</v>
      </c>
    </row>
    <row r="467" spans="1:22">
      <c r="A467" s="231">
        <v>94923</v>
      </c>
      <c r="B467" s="232" t="s">
        <v>1178</v>
      </c>
      <c r="C467" s="92">
        <v>2.4499999999999999E-5</v>
      </c>
      <c r="D467" s="92">
        <v>2.9300000000000001E-5</v>
      </c>
      <c r="E467" s="236">
        <v>14093.810000000001</v>
      </c>
      <c r="F467" s="236">
        <v>13150</v>
      </c>
      <c r="G467" s="236">
        <v>51997</v>
      </c>
      <c r="H467" s="236"/>
      <c r="I467" s="237">
        <v>976.9375</v>
      </c>
      <c r="J467" s="237">
        <v>45566</v>
      </c>
      <c r="K467" s="237">
        <v>3561</v>
      </c>
      <c r="L467" s="236">
        <v>1458</v>
      </c>
      <c r="M467" s="236"/>
      <c r="N467" s="237">
        <v>1822</v>
      </c>
      <c r="O467" s="237">
        <v>16818</v>
      </c>
      <c r="P467" s="237">
        <v>0</v>
      </c>
      <c r="Q467" s="236">
        <v>173</v>
      </c>
      <c r="R467" s="237">
        <f t="shared" si="7"/>
        <v>28748</v>
      </c>
      <c r="S467" s="236"/>
      <c r="T467" s="237">
        <v>13898</v>
      </c>
      <c r="U467" s="238">
        <v>373</v>
      </c>
      <c r="V467" s="238">
        <v>14272</v>
      </c>
    </row>
    <row r="468" spans="1:22">
      <c r="A468" s="231">
        <v>94927</v>
      </c>
      <c r="B468" s="232" t="s">
        <v>1179</v>
      </c>
      <c r="C468" s="92">
        <v>3.3899999999999997E-5</v>
      </c>
      <c r="D468" s="92">
        <v>3.2700000000000002E-5</v>
      </c>
      <c r="E468" s="236">
        <v>16597.12</v>
      </c>
      <c r="F468" s="236">
        <v>14676</v>
      </c>
      <c r="G468" s="236">
        <v>71947</v>
      </c>
      <c r="H468" s="236"/>
      <c r="I468" s="237">
        <v>1352</v>
      </c>
      <c r="J468" s="237">
        <v>63049</v>
      </c>
      <c r="K468" s="237">
        <v>4928</v>
      </c>
      <c r="L468" s="236">
        <v>3081</v>
      </c>
      <c r="M468" s="236"/>
      <c r="N468" s="237">
        <v>2521</v>
      </c>
      <c r="O468" s="237">
        <v>23271</v>
      </c>
      <c r="P468" s="237">
        <v>0</v>
      </c>
      <c r="Q468" s="236">
        <v>52</v>
      </c>
      <c r="R468" s="237">
        <f t="shared" si="7"/>
        <v>39778</v>
      </c>
      <c r="S468" s="236"/>
      <c r="T468" s="237">
        <v>19230</v>
      </c>
      <c r="U468" s="238">
        <v>803</v>
      </c>
      <c r="V468" s="238">
        <v>20033</v>
      </c>
    </row>
    <row r="469" spans="1:22">
      <c r="A469" s="231">
        <v>94931</v>
      </c>
      <c r="B469" s="232" t="s">
        <v>1180</v>
      </c>
      <c r="C469" s="92">
        <v>2.1130000000000001E-4</v>
      </c>
      <c r="D469" s="92">
        <v>2.4020000000000001E-4</v>
      </c>
      <c r="E469" s="236">
        <v>88195.43</v>
      </c>
      <c r="F469" s="236">
        <v>107800</v>
      </c>
      <c r="G469" s="236">
        <v>448449</v>
      </c>
      <c r="H469" s="236"/>
      <c r="I469" s="237">
        <v>8426</v>
      </c>
      <c r="J469" s="237">
        <v>392985</v>
      </c>
      <c r="K469" s="237">
        <v>30715</v>
      </c>
      <c r="L469" s="236">
        <v>0</v>
      </c>
      <c r="M469" s="236"/>
      <c r="N469" s="237">
        <v>15714</v>
      </c>
      <c r="O469" s="237">
        <v>145049</v>
      </c>
      <c r="P469" s="237">
        <v>0</v>
      </c>
      <c r="Q469" s="236">
        <v>23880</v>
      </c>
      <c r="R469" s="237">
        <f t="shared" si="7"/>
        <v>247936</v>
      </c>
      <c r="S469" s="236"/>
      <c r="T469" s="237">
        <v>119864</v>
      </c>
      <c r="U469" s="238">
        <v>-8140</v>
      </c>
      <c r="V469" s="238">
        <v>111724</v>
      </c>
    </row>
    <row r="470" spans="1:22">
      <c r="A470" s="231">
        <v>94941</v>
      </c>
      <c r="B470" s="232" t="s">
        <v>1181</v>
      </c>
      <c r="C470" s="92">
        <v>5.2959999999999997E-4</v>
      </c>
      <c r="D470" s="92">
        <v>5.0549999999999998E-4</v>
      </c>
      <c r="E470" s="236">
        <v>202001.05</v>
      </c>
      <c r="F470" s="236">
        <v>226865</v>
      </c>
      <c r="G470" s="236">
        <v>1123989</v>
      </c>
      <c r="H470" s="236"/>
      <c r="I470" s="237">
        <v>21117.8</v>
      </c>
      <c r="J470" s="237">
        <v>984972</v>
      </c>
      <c r="K470" s="237">
        <v>76983</v>
      </c>
      <c r="L470" s="236">
        <v>96457</v>
      </c>
      <c r="M470" s="236"/>
      <c r="N470" s="237">
        <v>39386</v>
      </c>
      <c r="O470" s="237">
        <v>363548</v>
      </c>
      <c r="P470" s="237">
        <v>0</v>
      </c>
      <c r="Q470" s="236">
        <v>0</v>
      </c>
      <c r="R470" s="237">
        <f t="shared" si="7"/>
        <v>621424</v>
      </c>
      <c r="S470" s="236"/>
      <c r="T470" s="237">
        <v>300426</v>
      </c>
      <c r="U470" s="238">
        <v>42457</v>
      </c>
      <c r="V470" s="238">
        <v>342883</v>
      </c>
    </row>
    <row r="471" spans="1:22">
      <c r="A471" s="231">
        <v>95001</v>
      </c>
      <c r="B471" s="232" t="s">
        <v>1182</v>
      </c>
      <c r="C471" s="92">
        <v>2.3779000000000001E-3</v>
      </c>
      <c r="D471" s="92">
        <v>2.3674E-3</v>
      </c>
      <c r="E471" s="236">
        <v>1026879.06</v>
      </c>
      <c r="F471" s="236">
        <v>1062475</v>
      </c>
      <c r="G471" s="236">
        <v>5046700</v>
      </c>
      <c r="H471" s="236"/>
      <c r="I471" s="237">
        <v>94819</v>
      </c>
      <c r="J471" s="237">
        <v>4422518</v>
      </c>
      <c r="K471" s="237">
        <v>345654</v>
      </c>
      <c r="L471" s="236">
        <v>86860</v>
      </c>
      <c r="M471" s="236"/>
      <c r="N471" s="237">
        <v>176842</v>
      </c>
      <c r="O471" s="237">
        <v>1632328</v>
      </c>
      <c r="P471" s="237">
        <v>0</v>
      </c>
      <c r="Q471" s="236">
        <v>8022</v>
      </c>
      <c r="R471" s="237">
        <f t="shared" si="7"/>
        <v>2790190</v>
      </c>
      <c r="S471" s="236"/>
      <c r="T471" s="237">
        <v>1348909</v>
      </c>
      <c r="U471" s="238">
        <v>22510</v>
      </c>
      <c r="V471" s="238">
        <v>1371419</v>
      </c>
    </row>
    <row r="472" spans="1:22">
      <c r="A472" s="231">
        <v>95002</v>
      </c>
      <c r="B472" s="232" t="s">
        <v>1183</v>
      </c>
      <c r="C472" s="92">
        <v>2.0120000000000001E-4</v>
      </c>
      <c r="D472" s="92">
        <v>1.919E-4</v>
      </c>
      <c r="E472" s="236">
        <v>91760.39</v>
      </c>
      <c r="F472" s="236">
        <v>86124</v>
      </c>
      <c r="G472" s="236">
        <v>427014</v>
      </c>
      <c r="H472" s="236"/>
      <c r="I472" s="237">
        <v>8022.85</v>
      </c>
      <c r="J472" s="237">
        <v>374200</v>
      </c>
      <c r="K472" s="237">
        <v>29247</v>
      </c>
      <c r="L472" s="236">
        <v>17432</v>
      </c>
      <c r="M472" s="236"/>
      <c r="N472" s="237">
        <v>14963</v>
      </c>
      <c r="O472" s="237">
        <v>138115</v>
      </c>
      <c r="P472" s="237">
        <v>0</v>
      </c>
      <c r="Q472" s="236">
        <v>0</v>
      </c>
      <c r="R472" s="237">
        <f t="shared" si="7"/>
        <v>236085</v>
      </c>
      <c r="S472" s="236"/>
      <c r="T472" s="237">
        <v>114135</v>
      </c>
      <c r="U472" s="238">
        <v>5391</v>
      </c>
      <c r="V472" s="238">
        <v>119526</v>
      </c>
    </row>
    <row r="473" spans="1:22">
      <c r="A473" s="231">
        <v>95005</v>
      </c>
      <c r="B473" s="232" t="s">
        <v>1184</v>
      </c>
      <c r="C473" s="92">
        <v>2.3829999999999999E-4</v>
      </c>
      <c r="D473" s="92">
        <v>2.4499999999999999E-4</v>
      </c>
      <c r="E473" s="236">
        <v>102066.84000000001</v>
      </c>
      <c r="F473" s="236">
        <v>109954.53</v>
      </c>
      <c r="G473" s="236">
        <v>505752</v>
      </c>
      <c r="H473" s="236"/>
      <c r="I473" s="237">
        <v>9502</v>
      </c>
      <c r="J473" s="237">
        <v>443200</v>
      </c>
      <c r="K473" s="237">
        <v>34640</v>
      </c>
      <c r="L473" s="236">
        <v>23207</v>
      </c>
      <c r="M473" s="236"/>
      <c r="N473" s="237">
        <v>17722</v>
      </c>
      <c r="O473" s="237">
        <v>163583</v>
      </c>
      <c r="P473" s="237">
        <v>0</v>
      </c>
      <c r="Q473" s="236">
        <v>399</v>
      </c>
      <c r="R473" s="237">
        <f t="shared" si="7"/>
        <v>279617</v>
      </c>
      <c r="S473" s="236"/>
      <c r="T473" s="237">
        <v>135180</v>
      </c>
      <c r="U473" s="238">
        <v>9376</v>
      </c>
      <c r="V473" s="238">
        <v>144556</v>
      </c>
    </row>
    <row r="474" spans="1:22">
      <c r="A474" s="231">
        <v>95008</v>
      </c>
      <c r="B474" s="232" t="s">
        <v>1185</v>
      </c>
      <c r="C474" s="92">
        <v>1.169E-4</v>
      </c>
      <c r="D474" s="92">
        <v>1.3669999999999999E-4</v>
      </c>
      <c r="E474" s="236">
        <v>50977.440000000002</v>
      </c>
      <c r="F474" s="236">
        <v>61350</v>
      </c>
      <c r="G474" s="236">
        <v>248101</v>
      </c>
      <c r="H474" s="236"/>
      <c r="I474" s="237">
        <v>4661</v>
      </c>
      <c r="J474" s="237">
        <v>217416</v>
      </c>
      <c r="K474" s="237">
        <v>16993</v>
      </c>
      <c r="L474" s="236">
        <v>21945</v>
      </c>
      <c r="M474" s="236"/>
      <c r="N474" s="237">
        <v>8694</v>
      </c>
      <c r="O474" s="237">
        <v>80247</v>
      </c>
      <c r="P474" s="237">
        <v>0</v>
      </c>
      <c r="Q474" s="236">
        <v>8420</v>
      </c>
      <c r="R474" s="237">
        <f t="shared" si="7"/>
        <v>137169</v>
      </c>
      <c r="S474" s="236"/>
      <c r="T474" s="237">
        <v>66314</v>
      </c>
      <c r="U474" s="238">
        <v>7393</v>
      </c>
      <c r="V474" s="238">
        <v>73707</v>
      </c>
    </row>
    <row r="475" spans="1:22">
      <c r="A475" s="231">
        <v>95009</v>
      </c>
      <c r="B475" s="232" t="s">
        <v>1944</v>
      </c>
      <c r="C475" s="92">
        <v>3.9902000000000002E-3</v>
      </c>
      <c r="D475" s="92">
        <v>3.614E-3</v>
      </c>
      <c r="E475" s="236">
        <v>1651705.2100000002</v>
      </c>
      <c r="F475" s="236">
        <v>1621942</v>
      </c>
      <c r="G475" s="236">
        <v>8468541</v>
      </c>
      <c r="H475" s="236"/>
      <c r="I475" s="237">
        <v>159109</v>
      </c>
      <c r="J475" s="237">
        <v>7421142</v>
      </c>
      <c r="K475" s="237">
        <v>580019</v>
      </c>
      <c r="L475" s="236">
        <v>1306132</v>
      </c>
      <c r="M475" s="236"/>
      <c r="N475" s="237">
        <v>296747</v>
      </c>
      <c r="O475" s="237">
        <v>2739105</v>
      </c>
      <c r="P475" s="237">
        <v>0</v>
      </c>
      <c r="Q475" s="236">
        <v>0</v>
      </c>
      <c r="R475" s="237">
        <f t="shared" si="7"/>
        <v>4682037</v>
      </c>
      <c r="S475" s="236"/>
      <c r="T475" s="237">
        <v>2263517</v>
      </c>
      <c r="U475" s="238">
        <v>547444</v>
      </c>
      <c r="V475" s="238">
        <v>2810961</v>
      </c>
    </row>
    <row r="476" spans="1:22">
      <c r="A476" s="231">
        <v>95011</v>
      </c>
      <c r="B476" s="232" t="s">
        <v>1187</v>
      </c>
      <c r="C476" s="92">
        <v>1.707E-4</v>
      </c>
      <c r="D476" s="92">
        <v>1.8760000000000001E-4</v>
      </c>
      <c r="E476" s="236">
        <v>71947.840000000011</v>
      </c>
      <c r="F476" s="236">
        <v>84194</v>
      </c>
      <c r="G476" s="236">
        <v>362283</v>
      </c>
      <c r="H476" s="236"/>
      <c r="I476" s="237">
        <v>6807</v>
      </c>
      <c r="J476" s="237">
        <v>317475</v>
      </c>
      <c r="K476" s="237">
        <v>24813</v>
      </c>
      <c r="L476" s="236">
        <v>0</v>
      </c>
      <c r="M476" s="236"/>
      <c r="N476" s="237">
        <v>12695</v>
      </c>
      <c r="O476" s="237">
        <v>117178</v>
      </c>
      <c r="P476" s="237">
        <v>0</v>
      </c>
      <c r="Q476" s="236">
        <v>13568</v>
      </c>
      <c r="R476" s="237">
        <f t="shared" si="7"/>
        <v>200297</v>
      </c>
      <c r="S476" s="236"/>
      <c r="T476" s="237">
        <v>96833</v>
      </c>
      <c r="U476" s="238">
        <v>-4659</v>
      </c>
      <c r="V476" s="238">
        <v>92174</v>
      </c>
    </row>
    <row r="477" spans="1:22">
      <c r="A477" s="231">
        <v>95017</v>
      </c>
      <c r="B477" s="232" t="s">
        <v>1188</v>
      </c>
      <c r="C477" s="92">
        <v>3.5800000000000003E-5</v>
      </c>
      <c r="D477" s="92">
        <v>3.9900000000000001E-5</v>
      </c>
      <c r="E477" s="236">
        <v>21743.88</v>
      </c>
      <c r="F477" s="236">
        <v>17907</v>
      </c>
      <c r="G477" s="236">
        <v>75980</v>
      </c>
      <c r="H477" s="236"/>
      <c r="I477" s="237">
        <v>1427.5250000000001</v>
      </c>
      <c r="J477" s="237">
        <v>66582</v>
      </c>
      <c r="K477" s="237">
        <v>5204</v>
      </c>
      <c r="L477" s="236">
        <v>20942</v>
      </c>
      <c r="M477" s="236"/>
      <c r="N477" s="237">
        <v>2662</v>
      </c>
      <c r="O477" s="237">
        <v>24575</v>
      </c>
      <c r="P477" s="237">
        <v>0</v>
      </c>
      <c r="Q477" s="236">
        <v>0</v>
      </c>
      <c r="R477" s="237">
        <f t="shared" si="7"/>
        <v>42007</v>
      </c>
      <c r="S477" s="236"/>
      <c r="T477" s="237">
        <v>20308</v>
      </c>
      <c r="U477" s="238">
        <v>7629</v>
      </c>
      <c r="V477" s="238">
        <v>27937</v>
      </c>
    </row>
    <row r="478" spans="1:22">
      <c r="A478" s="231">
        <v>95101</v>
      </c>
      <c r="B478" s="232" t="s">
        <v>1189</v>
      </c>
      <c r="C478" s="92">
        <v>8.0955999999999997E-3</v>
      </c>
      <c r="D478" s="92">
        <v>7.8796000000000005E-3</v>
      </c>
      <c r="E478" s="236">
        <v>3063500.72</v>
      </c>
      <c r="F478" s="236">
        <v>3536317</v>
      </c>
      <c r="G478" s="236">
        <v>17181575</v>
      </c>
      <c r="H478" s="236"/>
      <c r="I478" s="237">
        <v>322812.05</v>
      </c>
      <c r="J478" s="237">
        <v>15056537</v>
      </c>
      <c r="K478" s="237">
        <v>1176785</v>
      </c>
      <c r="L478" s="236">
        <v>77016</v>
      </c>
      <c r="M478" s="236"/>
      <c r="N478" s="237">
        <v>602062</v>
      </c>
      <c r="O478" s="237">
        <v>5557289</v>
      </c>
      <c r="P478" s="237">
        <v>0</v>
      </c>
      <c r="Q478" s="236">
        <v>94065</v>
      </c>
      <c r="R478" s="237">
        <f t="shared" si="7"/>
        <v>9499248</v>
      </c>
      <c r="S478" s="236"/>
      <c r="T478" s="237">
        <v>4592383</v>
      </c>
      <c r="U478" s="238">
        <v>13084</v>
      </c>
      <c r="V478" s="238">
        <v>4605467</v>
      </c>
    </row>
    <row r="479" spans="1:22">
      <c r="A479" s="231">
        <v>95103</v>
      </c>
      <c r="B479" s="232" t="s">
        <v>1190</v>
      </c>
      <c r="C479" s="92">
        <v>6.02E-5</v>
      </c>
      <c r="D479" s="92">
        <v>5.91E-5</v>
      </c>
      <c r="E479" s="236">
        <v>34084.349999999991</v>
      </c>
      <c r="F479" s="236">
        <v>26524</v>
      </c>
      <c r="G479" s="236">
        <v>127765</v>
      </c>
      <c r="H479" s="236"/>
      <c r="I479" s="237">
        <v>2400.4749999999999</v>
      </c>
      <c r="J479" s="237">
        <v>111962</v>
      </c>
      <c r="K479" s="237">
        <v>8751</v>
      </c>
      <c r="L479" s="236">
        <v>41064</v>
      </c>
      <c r="M479" s="236"/>
      <c r="N479" s="237">
        <v>4477</v>
      </c>
      <c r="O479" s="237">
        <v>41325</v>
      </c>
      <c r="P479" s="237">
        <v>0</v>
      </c>
      <c r="Q479" s="236">
        <v>0</v>
      </c>
      <c r="R479" s="237">
        <f t="shared" si="7"/>
        <v>70637</v>
      </c>
      <c r="S479" s="236"/>
      <c r="T479" s="237">
        <v>34150</v>
      </c>
      <c r="U479" s="238">
        <v>17815</v>
      </c>
      <c r="V479" s="238">
        <v>51965</v>
      </c>
    </row>
    <row r="480" spans="1:22">
      <c r="A480" s="231">
        <v>95104</v>
      </c>
      <c r="B480" s="232" t="s">
        <v>1191</v>
      </c>
      <c r="C480" s="92">
        <v>1.011E-4</v>
      </c>
      <c r="D480" s="92">
        <v>1.022E-4</v>
      </c>
      <c r="E480" s="236">
        <v>48495.61</v>
      </c>
      <c r="F480" s="236">
        <v>45867</v>
      </c>
      <c r="G480" s="236">
        <v>214568</v>
      </c>
      <c r="H480" s="236"/>
      <c r="I480" s="237">
        <v>4031</v>
      </c>
      <c r="J480" s="237">
        <v>188030</v>
      </c>
      <c r="K480" s="237">
        <v>14696</v>
      </c>
      <c r="L480" s="236">
        <v>18344</v>
      </c>
      <c r="M480" s="236"/>
      <c r="N480" s="237">
        <v>7519</v>
      </c>
      <c r="O480" s="237">
        <v>69401</v>
      </c>
      <c r="P480" s="237">
        <v>0</v>
      </c>
      <c r="Q480" s="236">
        <v>0</v>
      </c>
      <c r="R480" s="237">
        <f t="shared" si="7"/>
        <v>118629</v>
      </c>
      <c r="S480" s="236"/>
      <c r="T480" s="237">
        <v>57351</v>
      </c>
      <c r="U480" s="238">
        <v>6442</v>
      </c>
      <c r="V480" s="238">
        <v>63793</v>
      </c>
    </row>
    <row r="481" spans="1:22">
      <c r="A481" s="231">
        <v>95105</v>
      </c>
      <c r="B481" s="232" t="s">
        <v>1192</v>
      </c>
      <c r="C481" s="92">
        <v>6.3700000000000003E-5</v>
      </c>
      <c r="D481" s="92">
        <v>6.2199999999999994E-5</v>
      </c>
      <c r="E481" s="236">
        <v>28733.570000000007</v>
      </c>
      <c r="F481" s="236">
        <v>27915</v>
      </c>
      <c r="G481" s="236">
        <v>135193</v>
      </c>
      <c r="H481" s="236"/>
      <c r="I481" s="237">
        <v>2540</v>
      </c>
      <c r="J481" s="237">
        <v>118472</v>
      </c>
      <c r="K481" s="237">
        <v>9259</v>
      </c>
      <c r="L481" s="236">
        <v>9013</v>
      </c>
      <c r="M481" s="236"/>
      <c r="N481" s="237">
        <v>4737</v>
      </c>
      <c r="O481" s="237">
        <v>43727</v>
      </c>
      <c r="P481" s="237">
        <v>0</v>
      </c>
      <c r="Q481" s="236">
        <v>0</v>
      </c>
      <c r="R481" s="237">
        <f t="shared" si="7"/>
        <v>74745</v>
      </c>
      <c r="S481" s="236"/>
      <c r="T481" s="237">
        <v>36135</v>
      </c>
      <c r="U481" s="238">
        <v>3391</v>
      </c>
      <c r="V481" s="238">
        <v>39526</v>
      </c>
    </row>
    <row r="482" spans="1:22">
      <c r="A482" s="231">
        <v>95106</v>
      </c>
      <c r="B482" s="232" t="s">
        <v>1193</v>
      </c>
      <c r="C482" s="92">
        <v>1.3900000000000001E-5</v>
      </c>
      <c r="D482" s="92">
        <v>5.9000000000000003E-6</v>
      </c>
      <c r="E482" s="236">
        <v>4209.76</v>
      </c>
      <c r="F482" s="236">
        <v>2648</v>
      </c>
      <c r="G482" s="236">
        <v>29500</v>
      </c>
      <c r="H482" s="236"/>
      <c r="I482" s="237">
        <v>554</v>
      </c>
      <c r="J482" s="237">
        <v>25852</v>
      </c>
      <c r="K482" s="237">
        <v>2021</v>
      </c>
      <c r="L482" s="236">
        <v>7510</v>
      </c>
      <c r="M482" s="236"/>
      <c r="N482" s="237">
        <v>1034</v>
      </c>
      <c r="O482" s="237">
        <v>9542</v>
      </c>
      <c r="P482" s="237">
        <v>0</v>
      </c>
      <c r="Q482" s="236">
        <v>0</v>
      </c>
      <c r="R482" s="237">
        <f t="shared" si="7"/>
        <v>16310</v>
      </c>
      <c r="S482" s="236"/>
      <c r="T482" s="237">
        <v>7885</v>
      </c>
      <c r="U482" s="238">
        <v>2593</v>
      </c>
      <c r="V482" s="238">
        <v>10478</v>
      </c>
    </row>
    <row r="483" spans="1:22">
      <c r="A483" s="231">
        <v>95110</v>
      </c>
      <c r="B483" s="232" t="s">
        <v>1194</v>
      </c>
      <c r="C483" s="92">
        <v>4.4609000000000003E-3</v>
      </c>
      <c r="D483" s="92">
        <v>5.5170000000000002E-3</v>
      </c>
      <c r="E483" s="236">
        <v>1868606.24</v>
      </c>
      <c r="F483" s="236">
        <v>2475996</v>
      </c>
      <c r="G483" s="236">
        <v>9467524</v>
      </c>
      <c r="H483" s="236"/>
      <c r="I483" s="237">
        <v>177878</v>
      </c>
      <c r="J483" s="237">
        <v>8296569</v>
      </c>
      <c r="K483" s="237">
        <v>648441</v>
      </c>
      <c r="L483" s="236">
        <v>0</v>
      </c>
      <c r="M483" s="236"/>
      <c r="N483" s="237">
        <v>331753</v>
      </c>
      <c r="O483" s="237">
        <v>3062220</v>
      </c>
      <c r="P483" s="237">
        <v>0</v>
      </c>
      <c r="Q483" s="236">
        <v>1586204</v>
      </c>
      <c r="R483" s="237">
        <f t="shared" si="7"/>
        <v>5234349</v>
      </c>
      <c r="S483" s="236"/>
      <c r="T483" s="237">
        <v>2530530</v>
      </c>
      <c r="U483" s="238">
        <v>-606775</v>
      </c>
      <c r="V483" s="238">
        <v>1923756</v>
      </c>
    </row>
    <row r="484" spans="1:22">
      <c r="A484" s="231">
        <v>95111</v>
      </c>
      <c r="B484" s="232" t="s">
        <v>1195</v>
      </c>
      <c r="C484" s="92">
        <v>1.0709000000000001E-3</v>
      </c>
      <c r="D484" s="92">
        <v>1.1418999999999999E-3</v>
      </c>
      <c r="E484" s="236">
        <v>392359.07</v>
      </c>
      <c r="F484" s="236">
        <v>512478</v>
      </c>
      <c r="G484" s="236">
        <v>2272809</v>
      </c>
      <c r="H484" s="236"/>
      <c r="I484" s="237">
        <v>42702</v>
      </c>
      <c r="J484" s="237">
        <v>1991705</v>
      </c>
      <c r="K484" s="237">
        <v>155667</v>
      </c>
      <c r="L484" s="236">
        <v>0</v>
      </c>
      <c r="M484" s="236"/>
      <c r="N484" s="237">
        <v>79642</v>
      </c>
      <c r="O484" s="237">
        <v>735128</v>
      </c>
      <c r="P484" s="237">
        <v>0</v>
      </c>
      <c r="Q484" s="236">
        <v>161003</v>
      </c>
      <c r="R484" s="237">
        <f t="shared" si="7"/>
        <v>1256577</v>
      </c>
      <c r="S484" s="236"/>
      <c r="T484" s="237">
        <v>607488</v>
      </c>
      <c r="U484" s="238">
        <v>-55722</v>
      </c>
      <c r="V484" s="238">
        <v>551766</v>
      </c>
    </row>
    <row r="485" spans="1:22">
      <c r="A485" s="231">
        <v>95113</v>
      </c>
      <c r="B485" s="232" t="s">
        <v>1196</v>
      </c>
      <c r="C485" s="92">
        <v>4.7500000000000003E-5</v>
      </c>
      <c r="D485" s="92">
        <v>4.4299999999999999E-5</v>
      </c>
      <c r="E485" s="236">
        <v>62344.110000000008</v>
      </c>
      <c r="F485" s="236">
        <v>19882</v>
      </c>
      <c r="G485" s="236">
        <v>100811</v>
      </c>
      <c r="H485" s="236"/>
      <c r="I485" s="237">
        <v>1894.0625</v>
      </c>
      <c r="J485" s="237">
        <v>88342</v>
      </c>
      <c r="K485" s="237">
        <v>6905</v>
      </c>
      <c r="L485" s="236">
        <v>69845</v>
      </c>
      <c r="M485" s="236"/>
      <c r="N485" s="237">
        <v>3533</v>
      </c>
      <c r="O485" s="237">
        <v>32607</v>
      </c>
      <c r="P485" s="237">
        <v>0</v>
      </c>
      <c r="Q485" s="236">
        <v>0</v>
      </c>
      <c r="R485" s="237">
        <f t="shared" si="7"/>
        <v>55735</v>
      </c>
      <c r="S485" s="236"/>
      <c r="T485" s="237">
        <v>26945</v>
      </c>
      <c r="U485" s="238">
        <v>22543</v>
      </c>
      <c r="V485" s="238">
        <v>49489</v>
      </c>
    </row>
    <row r="486" spans="1:22">
      <c r="A486" s="231">
        <v>95121</v>
      </c>
      <c r="B486" s="232" t="s">
        <v>1197</v>
      </c>
      <c r="C486" s="92">
        <v>4.9580000000000002E-4</v>
      </c>
      <c r="D486" s="92">
        <v>4.7540000000000001E-4</v>
      </c>
      <c r="E486" s="236">
        <v>201528.43</v>
      </c>
      <c r="F486" s="236">
        <v>213357</v>
      </c>
      <c r="G486" s="236">
        <v>1052254</v>
      </c>
      <c r="H486" s="236"/>
      <c r="I486" s="237">
        <v>19770</v>
      </c>
      <c r="J486" s="237">
        <v>922110</v>
      </c>
      <c r="K486" s="237">
        <v>72070</v>
      </c>
      <c r="L486" s="236">
        <v>18227</v>
      </c>
      <c r="M486" s="236"/>
      <c r="N486" s="237">
        <v>36872</v>
      </c>
      <c r="O486" s="237">
        <v>340346</v>
      </c>
      <c r="P486" s="237">
        <v>0</v>
      </c>
      <c r="Q486" s="236">
        <v>25446.13</v>
      </c>
      <c r="R486" s="237">
        <f t="shared" si="7"/>
        <v>581764</v>
      </c>
      <c r="S486" s="236"/>
      <c r="T486" s="237">
        <v>281252</v>
      </c>
      <c r="U486" s="238">
        <v>-7200</v>
      </c>
      <c r="V486" s="238">
        <v>274052</v>
      </c>
    </row>
    <row r="487" spans="1:22">
      <c r="A487" s="231">
        <v>95122</v>
      </c>
      <c r="B487" s="232" t="s">
        <v>1198</v>
      </c>
      <c r="C487" s="92">
        <v>2.7999999999999999E-6</v>
      </c>
      <c r="D487" s="92">
        <v>3.3000000000000002E-6</v>
      </c>
      <c r="E487" s="236">
        <v>2740.07</v>
      </c>
      <c r="F487" s="236">
        <v>1481</v>
      </c>
      <c r="G487" s="236">
        <v>5943</v>
      </c>
      <c r="H487" s="236"/>
      <c r="I487" s="237">
        <v>112</v>
      </c>
      <c r="J487" s="237">
        <v>5208</v>
      </c>
      <c r="K487" s="237">
        <v>407</v>
      </c>
      <c r="L487" s="236">
        <v>1558</v>
      </c>
      <c r="M487" s="236"/>
      <c r="N487" s="237">
        <v>208</v>
      </c>
      <c r="O487" s="237">
        <v>1922</v>
      </c>
      <c r="P487" s="237">
        <v>0</v>
      </c>
      <c r="Q487" s="236">
        <v>0</v>
      </c>
      <c r="R487" s="237">
        <f t="shared" si="7"/>
        <v>3286</v>
      </c>
      <c r="S487" s="236"/>
      <c r="T487" s="237">
        <v>1588</v>
      </c>
      <c r="U487" s="238">
        <v>459</v>
      </c>
      <c r="V487" s="238">
        <v>2048</v>
      </c>
    </row>
    <row r="488" spans="1:22">
      <c r="A488" s="231">
        <v>95123</v>
      </c>
      <c r="B488" s="232" t="s">
        <v>1199</v>
      </c>
      <c r="C488" s="92">
        <v>5.6700000000000003E-5</v>
      </c>
      <c r="D488" s="92">
        <v>5.1199999999999998E-5</v>
      </c>
      <c r="E488" s="236">
        <v>25666.18</v>
      </c>
      <c r="F488" s="236">
        <v>22978</v>
      </c>
      <c r="G488" s="236">
        <v>120336</v>
      </c>
      <c r="H488" s="236"/>
      <c r="I488" s="237">
        <v>2261</v>
      </c>
      <c r="J488" s="237">
        <v>105453</v>
      </c>
      <c r="K488" s="237">
        <v>8242</v>
      </c>
      <c r="L488" s="236">
        <v>8689</v>
      </c>
      <c r="M488" s="236"/>
      <c r="N488" s="237">
        <v>4217</v>
      </c>
      <c r="O488" s="237">
        <v>38922</v>
      </c>
      <c r="P488" s="237">
        <v>0</v>
      </c>
      <c r="Q488" s="236">
        <v>2933.26</v>
      </c>
      <c r="R488" s="237">
        <f t="shared" si="7"/>
        <v>66531</v>
      </c>
      <c r="S488" s="236"/>
      <c r="T488" s="237">
        <v>32164</v>
      </c>
      <c r="U488" s="238">
        <v>1144</v>
      </c>
      <c r="V488" s="238">
        <v>33309</v>
      </c>
    </row>
    <row r="489" spans="1:22">
      <c r="A489" s="231">
        <v>95131</v>
      </c>
      <c r="B489" s="232" t="s">
        <v>1200</v>
      </c>
      <c r="C489" s="92">
        <v>1.5451E-3</v>
      </c>
      <c r="D489" s="92">
        <v>1.4713E-3</v>
      </c>
      <c r="E489" s="236">
        <v>607661.46</v>
      </c>
      <c r="F489" s="236">
        <v>660311</v>
      </c>
      <c r="G489" s="236">
        <v>3279220</v>
      </c>
      <c r="H489" s="236"/>
      <c r="I489" s="237">
        <v>61611</v>
      </c>
      <c r="J489" s="237">
        <v>2873642</v>
      </c>
      <c r="K489" s="237">
        <v>224597</v>
      </c>
      <c r="L489" s="236">
        <v>53573</v>
      </c>
      <c r="M489" s="236"/>
      <c r="N489" s="237">
        <v>114908</v>
      </c>
      <c r="O489" s="237">
        <v>1060646</v>
      </c>
      <c r="P489" s="237">
        <v>0</v>
      </c>
      <c r="Q489" s="236">
        <v>1701</v>
      </c>
      <c r="R489" s="237">
        <f t="shared" si="7"/>
        <v>1812996</v>
      </c>
      <c r="S489" s="236"/>
      <c r="T489" s="237">
        <v>876487</v>
      </c>
      <c r="U489" s="238">
        <v>16429</v>
      </c>
      <c r="V489" s="238">
        <v>892916</v>
      </c>
    </row>
    <row r="490" spans="1:22">
      <c r="A490" s="231">
        <v>95141</v>
      </c>
      <c r="B490" s="232" t="s">
        <v>1201</v>
      </c>
      <c r="C490" s="92">
        <v>3.1819999999999998E-4</v>
      </c>
      <c r="D490" s="92">
        <v>2.99E-4</v>
      </c>
      <c r="E490" s="236">
        <v>115455.16</v>
      </c>
      <c r="F490" s="236">
        <v>134189</v>
      </c>
      <c r="G490" s="236">
        <v>675327</v>
      </c>
      <c r="H490" s="236"/>
      <c r="I490" s="237">
        <v>12688</v>
      </c>
      <c r="J490" s="237">
        <v>591802</v>
      </c>
      <c r="K490" s="237">
        <v>46254</v>
      </c>
      <c r="L490" s="236">
        <v>2515.36</v>
      </c>
      <c r="M490" s="236"/>
      <c r="N490" s="237">
        <v>23664</v>
      </c>
      <c r="O490" s="237">
        <v>218431</v>
      </c>
      <c r="P490" s="237">
        <v>0</v>
      </c>
      <c r="Q490" s="236">
        <v>28114</v>
      </c>
      <c r="R490" s="237">
        <f t="shared" si="7"/>
        <v>373371</v>
      </c>
      <c r="S490" s="236"/>
      <c r="T490" s="237">
        <v>180505</v>
      </c>
      <c r="U490" s="238">
        <v>-8530</v>
      </c>
      <c r="V490" s="238">
        <v>171975</v>
      </c>
    </row>
    <row r="491" spans="1:22">
      <c r="A491" s="231">
        <v>95151</v>
      </c>
      <c r="B491" s="232" t="s">
        <v>1202</v>
      </c>
      <c r="C491" s="92">
        <v>1.158E-4</v>
      </c>
      <c r="D491" s="92">
        <v>1.05E-4</v>
      </c>
      <c r="E491" s="236">
        <v>39583.1</v>
      </c>
      <c r="F491" s="236">
        <v>47123.37</v>
      </c>
      <c r="G491" s="236">
        <v>245766</v>
      </c>
      <c r="H491" s="236"/>
      <c r="I491" s="237">
        <v>4618</v>
      </c>
      <c r="J491" s="237">
        <v>215370</v>
      </c>
      <c r="K491" s="237">
        <v>16833</v>
      </c>
      <c r="L491" s="236">
        <v>732.32</v>
      </c>
      <c r="M491" s="236"/>
      <c r="N491" s="237">
        <v>8612</v>
      </c>
      <c r="O491" s="237">
        <v>79492</v>
      </c>
      <c r="P491" s="237">
        <v>0</v>
      </c>
      <c r="Q491" s="236">
        <v>5502</v>
      </c>
      <c r="R491" s="237">
        <f t="shared" si="7"/>
        <v>135878</v>
      </c>
      <c r="S491" s="236"/>
      <c r="T491" s="237">
        <v>65690</v>
      </c>
      <c r="U491" s="238">
        <v>-1532</v>
      </c>
      <c r="V491" s="238">
        <v>64158</v>
      </c>
    </row>
    <row r="492" spans="1:22">
      <c r="A492" s="231">
        <v>95161</v>
      </c>
      <c r="B492" s="232" t="s">
        <v>1203</v>
      </c>
      <c r="C492" s="92">
        <v>7.4800000000000002E-5</v>
      </c>
      <c r="D492" s="92">
        <v>7.0599999999999995E-5</v>
      </c>
      <c r="E492" s="236">
        <v>34991.979999999996</v>
      </c>
      <c r="F492" s="236">
        <v>31685</v>
      </c>
      <c r="G492" s="236">
        <v>158751</v>
      </c>
      <c r="H492" s="236"/>
      <c r="I492" s="237">
        <v>2982.65</v>
      </c>
      <c r="J492" s="237">
        <v>139116</v>
      </c>
      <c r="K492" s="237">
        <v>10873</v>
      </c>
      <c r="L492" s="236">
        <v>6290</v>
      </c>
      <c r="M492" s="236"/>
      <c r="N492" s="237">
        <v>5563</v>
      </c>
      <c r="O492" s="237">
        <v>51347</v>
      </c>
      <c r="P492" s="237">
        <v>0</v>
      </c>
      <c r="Q492" s="236">
        <v>2096</v>
      </c>
      <c r="R492" s="237">
        <f t="shared" si="7"/>
        <v>87769</v>
      </c>
      <c r="S492" s="236"/>
      <c r="T492" s="237">
        <v>42432</v>
      </c>
      <c r="U492" s="238">
        <v>1046</v>
      </c>
      <c r="V492" s="238">
        <v>43477</v>
      </c>
    </row>
    <row r="493" spans="1:22">
      <c r="A493" s="231">
        <v>95171</v>
      </c>
      <c r="B493" s="232" t="s">
        <v>1204</v>
      </c>
      <c r="C493" s="92">
        <v>1.2300000000000001E-4</v>
      </c>
      <c r="D493" s="92">
        <v>1.2740000000000001E-4</v>
      </c>
      <c r="E493" s="236">
        <v>48393.279999999999</v>
      </c>
      <c r="F493" s="236">
        <v>57176</v>
      </c>
      <c r="G493" s="236">
        <v>261047</v>
      </c>
      <c r="H493" s="236"/>
      <c r="I493" s="237">
        <v>4904.625</v>
      </c>
      <c r="J493" s="237">
        <v>228761</v>
      </c>
      <c r="K493" s="237">
        <v>17879</v>
      </c>
      <c r="L493" s="236">
        <v>10389</v>
      </c>
      <c r="M493" s="236"/>
      <c r="N493" s="237">
        <v>9147</v>
      </c>
      <c r="O493" s="237">
        <v>84434</v>
      </c>
      <c r="P493" s="237">
        <v>0</v>
      </c>
      <c r="Q493" s="236">
        <v>12793</v>
      </c>
      <c r="R493" s="237">
        <f t="shared" si="7"/>
        <v>144327</v>
      </c>
      <c r="S493" s="236"/>
      <c r="T493" s="237">
        <v>69774</v>
      </c>
      <c r="U493" s="238">
        <v>-1741</v>
      </c>
      <c r="V493" s="238">
        <v>68033</v>
      </c>
    </row>
    <row r="494" spans="1:22">
      <c r="A494" s="231">
        <v>95181</v>
      </c>
      <c r="B494" s="232" t="s">
        <v>1205</v>
      </c>
      <c r="C494" s="92">
        <v>7.7899999999999996E-5</v>
      </c>
      <c r="D494" s="92">
        <v>8.0400000000000003E-5</v>
      </c>
      <c r="E494" s="236">
        <v>26254.759999999995</v>
      </c>
      <c r="F494" s="236">
        <v>36083</v>
      </c>
      <c r="G494" s="236">
        <v>165330</v>
      </c>
      <c r="H494" s="236"/>
      <c r="I494" s="237">
        <v>3106</v>
      </c>
      <c r="J494" s="237">
        <v>144882</v>
      </c>
      <c r="K494" s="237">
        <v>11324</v>
      </c>
      <c r="L494" s="236">
        <v>1657</v>
      </c>
      <c r="M494" s="236"/>
      <c r="N494" s="237">
        <v>5793</v>
      </c>
      <c r="O494" s="237">
        <v>53475</v>
      </c>
      <c r="P494" s="237">
        <v>0</v>
      </c>
      <c r="Q494" s="236">
        <v>6539</v>
      </c>
      <c r="R494" s="237">
        <f t="shared" si="7"/>
        <v>91407</v>
      </c>
      <c r="S494" s="236"/>
      <c r="T494" s="237">
        <v>44190</v>
      </c>
      <c r="U494" s="238">
        <v>-1251</v>
      </c>
      <c r="V494" s="238">
        <v>42939</v>
      </c>
    </row>
    <row r="495" spans="1:22">
      <c r="A495" s="231">
        <v>95191</v>
      </c>
      <c r="B495" s="232" t="s">
        <v>1206</v>
      </c>
      <c r="C495" s="92">
        <v>5.3999999999999998E-5</v>
      </c>
      <c r="D495" s="92">
        <v>7.9099999999999998E-5</v>
      </c>
      <c r="E495" s="236">
        <v>30331.53</v>
      </c>
      <c r="F495" s="236">
        <v>35500</v>
      </c>
      <c r="G495" s="236">
        <v>114606.09</v>
      </c>
      <c r="H495" s="236"/>
      <c r="I495" s="237">
        <v>2153.25</v>
      </c>
      <c r="J495" s="237">
        <v>100431</v>
      </c>
      <c r="K495" s="237">
        <v>7849</v>
      </c>
      <c r="L495" s="236">
        <v>12291</v>
      </c>
      <c r="M495" s="236"/>
      <c r="N495" s="237">
        <v>4016</v>
      </c>
      <c r="O495" s="237">
        <v>37069</v>
      </c>
      <c r="P495" s="237">
        <v>0</v>
      </c>
      <c r="Q495" s="236">
        <v>7144</v>
      </c>
      <c r="R495" s="237">
        <f t="shared" si="7"/>
        <v>63362</v>
      </c>
      <c r="S495" s="236"/>
      <c r="T495" s="237">
        <v>30633</v>
      </c>
      <c r="U495" s="238">
        <v>3134</v>
      </c>
      <c r="V495" s="238">
        <v>33767</v>
      </c>
    </row>
    <row r="496" spans="1:22">
      <c r="A496" s="231">
        <v>95201</v>
      </c>
      <c r="B496" s="232" t="s">
        <v>1207</v>
      </c>
      <c r="C496" s="92">
        <v>6.8329999999999997E-4</v>
      </c>
      <c r="D496" s="92">
        <v>6.3000000000000003E-4</v>
      </c>
      <c r="E496" s="236">
        <v>255294.02999999994</v>
      </c>
      <c r="F496" s="236">
        <v>282740</v>
      </c>
      <c r="G496" s="236">
        <v>1450192</v>
      </c>
      <c r="H496" s="236"/>
      <c r="I496" s="237">
        <v>27247</v>
      </c>
      <c r="J496" s="237">
        <v>1270830</v>
      </c>
      <c r="K496" s="237">
        <v>99325</v>
      </c>
      <c r="L496" s="236">
        <v>8455</v>
      </c>
      <c r="M496" s="236"/>
      <c r="N496" s="237">
        <v>50816</v>
      </c>
      <c r="O496" s="237">
        <v>469057</v>
      </c>
      <c r="P496" s="237">
        <v>0</v>
      </c>
      <c r="Q496" s="236">
        <v>33064</v>
      </c>
      <c r="R496" s="237">
        <f t="shared" si="7"/>
        <v>801773</v>
      </c>
      <c r="S496" s="236"/>
      <c r="T496" s="237">
        <v>387615</v>
      </c>
      <c r="U496" s="238">
        <v>-9716</v>
      </c>
      <c r="V496" s="238">
        <v>377899</v>
      </c>
    </row>
    <row r="497" spans="1:22">
      <c r="A497" s="231">
        <v>95204</v>
      </c>
      <c r="B497" s="232" t="s">
        <v>1208</v>
      </c>
      <c r="C497" s="92">
        <v>1.1600000000000001E-5</v>
      </c>
      <c r="D497" s="92">
        <v>1.49E-5</v>
      </c>
      <c r="E497" s="236">
        <v>6020.3799999999992</v>
      </c>
      <c r="F497" s="236">
        <v>6687</v>
      </c>
      <c r="G497" s="236">
        <v>24619</v>
      </c>
      <c r="H497" s="236"/>
      <c r="I497" s="237">
        <v>462.55</v>
      </c>
      <c r="J497" s="237">
        <v>21574</v>
      </c>
      <c r="K497" s="237">
        <v>1686</v>
      </c>
      <c r="L497" s="236">
        <v>0</v>
      </c>
      <c r="M497" s="236"/>
      <c r="N497" s="237">
        <v>863</v>
      </c>
      <c r="O497" s="237">
        <v>7963</v>
      </c>
      <c r="P497" s="237">
        <v>0</v>
      </c>
      <c r="Q497" s="236">
        <v>1794</v>
      </c>
      <c r="R497" s="237">
        <f t="shared" si="7"/>
        <v>13611</v>
      </c>
      <c r="S497" s="236"/>
      <c r="T497" s="237">
        <v>6580</v>
      </c>
      <c r="U497" s="238">
        <v>-651</v>
      </c>
      <c r="V497" s="238">
        <v>5930</v>
      </c>
    </row>
    <row r="498" spans="1:22">
      <c r="A498" s="231">
        <v>95205</v>
      </c>
      <c r="B498" s="232" t="s">
        <v>1209</v>
      </c>
      <c r="C498" s="92">
        <v>4.7999999999999998E-6</v>
      </c>
      <c r="D498" s="92">
        <v>5.0000000000000004E-6</v>
      </c>
      <c r="E498" s="236">
        <v>2440.6799999999994</v>
      </c>
      <c r="F498" s="236">
        <v>2244</v>
      </c>
      <c r="G498" s="236">
        <v>10187</v>
      </c>
      <c r="H498" s="236"/>
      <c r="I498" s="237">
        <v>191</v>
      </c>
      <c r="J498" s="237">
        <v>8927</v>
      </c>
      <c r="K498" s="237">
        <v>698</v>
      </c>
      <c r="L498" s="236">
        <v>779</v>
      </c>
      <c r="M498" s="236"/>
      <c r="N498" s="237">
        <v>357</v>
      </c>
      <c r="O498" s="237">
        <v>3295</v>
      </c>
      <c r="P498" s="237">
        <v>0</v>
      </c>
      <c r="Q498" s="236">
        <v>0</v>
      </c>
      <c r="R498" s="237">
        <f t="shared" si="7"/>
        <v>5632</v>
      </c>
      <c r="S498" s="236"/>
      <c r="T498" s="237">
        <v>2723</v>
      </c>
      <c r="U498" s="238">
        <v>284</v>
      </c>
      <c r="V498" s="238">
        <v>3007</v>
      </c>
    </row>
    <row r="499" spans="1:22">
      <c r="A499" s="231">
        <v>95211</v>
      </c>
      <c r="B499" s="232" t="s">
        <v>1210</v>
      </c>
      <c r="C499" s="92">
        <v>9.2E-6</v>
      </c>
      <c r="D499" s="92">
        <v>5.9000000000000003E-6</v>
      </c>
      <c r="E499" s="236">
        <v>4004.9900000000002</v>
      </c>
      <c r="F499" s="236">
        <v>2648</v>
      </c>
      <c r="G499" s="236">
        <v>19525</v>
      </c>
      <c r="H499" s="236"/>
      <c r="I499" s="237">
        <v>366.85</v>
      </c>
      <c r="J499" s="237">
        <v>17111</v>
      </c>
      <c r="K499" s="237">
        <v>1337</v>
      </c>
      <c r="L499" s="236">
        <v>1964</v>
      </c>
      <c r="M499" s="236"/>
      <c r="N499" s="237">
        <v>684</v>
      </c>
      <c r="O499" s="237">
        <v>6315</v>
      </c>
      <c r="P499" s="237">
        <v>0</v>
      </c>
      <c r="Q499" s="236">
        <v>1957</v>
      </c>
      <c r="R499" s="237">
        <f t="shared" si="7"/>
        <v>10796</v>
      </c>
      <c r="S499" s="236"/>
      <c r="T499" s="237">
        <v>5219</v>
      </c>
      <c r="U499" s="238">
        <v>-462</v>
      </c>
      <c r="V499" s="238">
        <v>4757</v>
      </c>
    </row>
    <row r="500" spans="1:22">
      <c r="A500" s="231">
        <v>95221</v>
      </c>
      <c r="B500" s="232" t="s">
        <v>1211</v>
      </c>
      <c r="C500" s="92">
        <v>1.6900000000000001E-5</v>
      </c>
      <c r="D500" s="92">
        <v>4.5099999999999998E-5</v>
      </c>
      <c r="E500" s="236">
        <v>14058.05</v>
      </c>
      <c r="F500" s="236">
        <v>20241</v>
      </c>
      <c r="G500" s="236">
        <v>35867</v>
      </c>
      <c r="H500" s="236"/>
      <c r="I500" s="237">
        <v>673.88750000000005</v>
      </c>
      <c r="J500" s="237">
        <v>31431</v>
      </c>
      <c r="K500" s="237">
        <v>2457</v>
      </c>
      <c r="L500" s="236">
        <v>5443</v>
      </c>
      <c r="M500" s="236"/>
      <c r="N500" s="237">
        <v>1257</v>
      </c>
      <c r="O500" s="237">
        <v>11601</v>
      </c>
      <c r="P500" s="237">
        <v>0</v>
      </c>
      <c r="Q500" s="236">
        <v>16082</v>
      </c>
      <c r="R500" s="237">
        <f t="shared" si="7"/>
        <v>19830</v>
      </c>
      <c r="S500" s="236"/>
      <c r="T500" s="237">
        <v>9587</v>
      </c>
      <c r="U500" s="238">
        <v>-2048</v>
      </c>
      <c r="V500" s="238">
        <v>7539</v>
      </c>
    </row>
    <row r="501" spans="1:22">
      <c r="A501" s="231">
        <v>95301</v>
      </c>
      <c r="B501" s="232" t="s">
        <v>1212</v>
      </c>
      <c r="C501" s="92">
        <v>2.4063999999999999E-3</v>
      </c>
      <c r="D501" s="92">
        <v>2.3544E-3</v>
      </c>
      <c r="E501" s="236">
        <v>972445.58999999973</v>
      </c>
      <c r="F501" s="236">
        <v>1056641</v>
      </c>
      <c r="G501" s="236">
        <v>5107187</v>
      </c>
      <c r="H501" s="236"/>
      <c r="I501" s="237">
        <v>95955.199999999997</v>
      </c>
      <c r="J501" s="237">
        <v>4475524</v>
      </c>
      <c r="K501" s="237">
        <v>349797</v>
      </c>
      <c r="L501" s="236">
        <v>72796</v>
      </c>
      <c r="M501" s="236"/>
      <c r="N501" s="237">
        <v>178962</v>
      </c>
      <c r="O501" s="237">
        <v>1651893</v>
      </c>
      <c r="P501" s="237">
        <v>0</v>
      </c>
      <c r="Q501" s="236">
        <v>22569</v>
      </c>
      <c r="R501" s="237">
        <f t="shared" si="7"/>
        <v>2823631</v>
      </c>
      <c r="S501" s="236"/>
      <c r="T501" s="237">
        <v>1365076</v>
      </c>
      <c r="U501" s="238">
        <v>13085</v>
      </c>
      <c r="V501" s="238">
        <v>1378161</v>
      </c>
    </row>
    <row r="502" spans="1:22">
      <c r="A502" s="231">
        <v>95311</v>
      </c>
      <c r="B502" s="232" t="s">
        <v>1213</v>
      </c>
      <c r="C502" s="92">
        <v>2.6841999999999999E-3</v>
      </c>
      <c r="D502" s="92">
        <v>2.9946E-3</v>
      </c>
      <c r="E502" s="236">
        <v>1161820.17</v>
      </c>
      <c r="F502" s="236">
        <v>1343959</v>
      </c>
      <c r="G502" s="236">
        <v>5696772</v>
      </c>
      <c r="H502" s="236"/>
      <c r="I502" s="237">
        <v>107032</v>
      </c>
      <c r="J502" s="237">
        <v>4992188</v>
      </c>
      <c r="K502" s="237">
        <v>390178</v>
      </c>
      <c r="L502" s="236">
        <v>8404</v>
      </c>
      <c r="M502" s="236"/>
      <c r="N502" s="237">
        <v>199621</v>
      </c>
      <c r="O502" s="237">
        <v>1842591</v>
      </c>
      <c r="P502" s="237">
        <v>0</v>
      </c>
      <c r="Q502" s="236">
        <v>175770</v>
      </c>
      <c r="R502" s="237">
        <f t="shared" si="7"/>
        <v>3149597</v>
      </c>
      <c r="S502" s="236"/>
      <c r="T502" s="237">
        <v>1522663</v>
      </c>
      <c r="U502" s="238">
        <v>-55618</v>
      </c>
      <c r="V502" s="238">
        <v>1467045</v>
      </c>
    </row>
    <row r="503" spans="1:22">
      <c r="A503" s="231">
        <v>95317</v>
      </c>
      <c r="B503" s="232" t="s">
        <v>1214</v>
      </c>
      <c r="C503" s="92">
        <v>5.1400000000000003E-5</v>
      </c>
      <c r="D503" s="92">
        <v>5.3900000000000002E-5</v>
      </c>
      <c r="E503" s="236">
        <v>25005.010000000002</v>
      </c>
      <c r="F503" s="236">
        <v>24190</v>
      </c>
      <c r="G503" s="236">
        <v>109088</v>
      </c>
      <c r="H503" s="236"/>
      <c r="I503" s="237">
        <v>2050</v>
      </c>
      <c r="J503" s="237">
        <v>95596</v>
      </c>
      <c r="K503" s="237">
        <v>7472</v>
      </c>
      <c r="L503" s="236">
        <v>5874</v>
      </c>
      <c r="M503" s="236"/>
      <c r="N503" s="237">
        <v>3823</v>
      </c>
      <c r="O503" s="237">
        <v>35284</v>
      </c>
      <c r="P503" s="237">
        <v>0</v>
      </c>
      <c r="Q503" s="236">
        <v>75.62</v>
      </c>
      <c r="R503" s="237">
        <f t="shared" si="7"/>
        <v>60312</v>
      </c>
      <c r="S503" s="236"/>
      <c r="T503" s="237">
        <v>29158</v>
      </c>
      <c r="U503" s="238">
        <v>1881</v>
      </c>
      <c r="V503" s="238">
        <v>31039</v>
      </c>
    </row>
    <row r="504" spans="1:22">
      <c r="A504" s="231">
        <v>95321</v>
      </c>
      <c r="B504" s="232" t="s">
        <v>1215</v>
      </c>
      <c r="C504" s="92">
        <v>5.7000000000000003E-5</v>
      </c>
      <c r="D504" s="92">
        <v>5.6499999999999998E-5</v>
      </c>
      <c r="E504" s="236">
        <v>24286.95</v>
      </c>
      <c r="F504" s="236">
        <v>25357</v>
      </c>
      <c r="G504" s="236">
        <v>120973</v>
      </c>
      <c r="H504" s="236"/>
      <c r="I504" s="237">
        <v>2272.875</v>
      </c>
      <c r="J504" s="237">
        <v>106011</v>
      </c>
      <c r="K504" s="237">
        <v>8286</v>
      </c>
      <c r="L504" s="236">
        <v>4716</v>
      </c>
      <c r="M504" s="236"/>
      <c r="N504" s="237">
        <v>4239</v>
      </c>
      <c r="O504" s="237">
        <v>39128</v>
      </c>
      <c r="P504" s="237">
        <v>0</v>
      </c>
      <c r="Q504" s="236">
        <v>0</v>
      </c>
      <c r="R504" s="237">
        <f t="shared" si="7"/>
        <v>66883</v>
      </c>
      <c r="S504" s="236"/>
      <c r="T504" s="237">
        <v>32334</v>
      </c>
      <c r="U504" s="238">
        <v>1628</v>
      </c>
      <c r="V504" s="238">
        <v>33963</v>
      </c>
    </row>
    <row r="505" spans="1:22">
      <c r="A505" s="231">
        <v>95401</v>
      </c>
      <c r="B505" s="232" t="s">
        <v>1216</v>
      </c>
      <c r="C505" s="92">
        <v>2.9979999999999998E-3</v>
      </c>
      <c r="D505" s="92">
        <v>2.8663999999999999E-3</v>
      </c>
      <c r="E505" s="236">
        <v>1170186.01</v>
      </c>
      <c r="F505" s="236">
        <v>1286423</v>
      </c>
      <c r="G505" s="236">
        <v>6362760</v>
      </c>
      <c r="H505" s="236"/>
      <c r="I505" s="237">
        <v>119545</v>
      </c>
      <c r="J505" s="237">
        <v>5575806</v>
      </c>
      <c r="K505" s="237">
        <v>435792</v>
      </c>
      <c r="L505" s="236">
        <v>42759</v>
      </c>
      <c r="M505" s="236"/>
      <c r="N505" s="237">
        <v>222958</v>
      </c>
      <c r="O505" s="237">
        <v>2058001</v>
      </c>
      <c r="P505" s="237">
        <v>0</v>
      </c>
      <c r="Q505" s="236">
        <v>0</v>
      </c>
      <c r="R505" s="237">
        <f t="shared" si="7"/>
        <v>3517805</v>
      </c>
      <c r="S505" s="236"/>
      <c r="T505" s="237">
        <v>1700672</v>
      </c>
      <c r="U505" s="238">
        <v>15064</v>
      </c>
      <c r="V505" s="238">
        <v>1715737</v>
      </c>
    </row>
    <row r="506" spans="1:22">
      <c r="A506" s="231">
        <v>95404</v>
      </c>
      <c r="B506" s="232" t="s">
        <v>1217</v>
      </c>
      <c r="C506" s="92">
        <v>4.9799999999999998E-5</v>
      </c>
      <c r="D506" s="92">
        <v>3.4999999999999997E-5</v>
      </c>
      <c r="E506" s="236">
        <v>17581.860000000004</v>
      </c>
      <c r="F506" s="236">
        <v>15708</v>
      </c>
      <c r="G506" s="236">
        <v>105692</v>
      </c>
      <c r="H506" s="236"/>
      <c r="I506" s="237">
        <v>1986</v>
      </c>
      <c r="J506" s="237">
        <v>92620</v>
      </c>
      <c r="K506" s="237">
        <v>7239</v>
      </c>
      <c r="L506" s="236">
        <v>6596</v>
      </c>
      <c r="M506" s="236"/>
      <c r="N506" s="237">
        <v>3704</v>
      </c>
      <c r="O506" s="237">
        <v>34186</v>
      </c>
      <c r="P506" s="237">
        <v>0</v>
      </c>
      <c r="Q506" s="236">
        <v>0</v>
      </c>
      <c r="R506" s="237">
        <f t="shared" si="7"/>
        <v>58434</v>
      </c>
      <c r="S506" s="236"/>
      <c r="T506" s="237">
        <v>28250</v>
      </c>
      <c r="U506" s="238">
        <v>1847</v>
      </c>
      <c r="V506" s="238">
        <v>30097</v>
      </c>
    </row>
    <row r="507" spans="1:22">
      <c r="A507" s="231">
        <v>95405</v>
      </c>
      <c r="B507" s="232" t="s">
        <v>1218</v>
      </c>
      <c r="C507" s="92">
        <v>1.84E-5</v>
      </c>
      <c r="D507" s="92">
        <v>1.7E-5</v>
      </c>
      <c r="E507" s="236">
        <v>15271.409999999998</v>
      </c>
      <c r="F507" s="236">
        <v>7629</v>
      </c>
      <c r="G507" s="236">
        <v>39051</v>
      </c>
      <c r="H507" s="236"/>
      <c r="I507" s="237">
        <v>733.7</v>
      </c>
      <c r="J507" s="237">
        <v>34221</v>
      </c>
      <c r="K507" s="237">
        <v>2675</v>
      </c>
      <c r="L507" s="236">
        <v>12414</v>
      </c>
      <c r="M507" s="236"/>
      <c r="N507" s="237">
        <v>1368</v>
      </c>
      <c r="O507" s="237">
        <v>12631</v>
      </c>
      <c r="P507" s="237">
        <v>0</v>
      </c>
      <c r="Q507" s="236">
        <v>0</v>
      </c>
      <c r="R507" s="237">
        <f t="shared" si="7"/>
        <v>21590</v>
      </c>
      <c r="S507" s="236"/>
      <c r="T507" s="237">
        <v>10438</v>
      </c>
      <c r="U507" s="238">
        <v>3754</v>
      </c>
      <c r="V507" s="238">
        <v>14192</v>
      </c>
    </row>
    <row r="508" spans="1:22">
      <c r="A508" s="231">
        <v>95411</v>
      </c>
      <c r="B508" s="232" t="s">
        <v>1219</v>
      </c>
      <c r="C508" s="92">
        <v>2.3272000000000002E-3</v>
      </c>
      <c r="D508" s="92">
        <v>2.3019E-3</v>
      </c>
      <c r="E508" s="236">
        <v>960133.56999999983</v>
      </c>
      <c r="F508" s="236">
        <v>1033079</v>
      </c>
      <c r="G508" s="236">
        <v>4939098</v>
      </c>
      <c r="H508" s="236"/>
      <c r="I508" s="237">
        <v>92797.1</v>
      </c>
      <c r="J508" s="237">
        <v>4328224</v>
      </c>
      <c r="K508" s="237">
        <v>338284</v>
      </c>
      <c r="L508" s="236">
        <v>19324</v>
      </c>
      <c r="M508" s="236"/>
      <c r="N508" s="237">
        <v>173072</v>
      </c>
      <c r="O508" s="237">
        <v>1597525</v>
      </c>
      <c r="P508" s="237">
        <v>0</v>
      </c>
      <c r="Q508" s="236">
        <v>37438</v>
      </c>
      <c r="R508" s="237">
        <f t="shared" si="7"/>
        <v>2730699</v>
      </c>
      <c r="S508" s="236"/>
      <c r="T508" s="237">
        <v>1320148</v>
      </c>
      <c r="U508" s="238">
        <v>-13504</v>
      </c>
      <c r="V508" s="238">
        <v>1306644</v>
      </c>
    </row>
    <row r="509" spans="1:22">
      <c r="A509" s="231">
        <v>95412</v>
      </c>
      <c r="B509" s="232" t="s">
        <v>1220</v>
      </c>
      <c r="C509" s="92">
        <v>0</v>
      </c>
      <c r="D509" s="92">
        <v>0</v>
      </c>
      <c r="E509" s="236">
        <v>0</v>
      </c>
      <c r="F509" s="236">
        <v>0</v>
      </c>
      <c r="G509" s="236">
        <v>0</v>
      </c>
      <c r="H509" s="236"/>
      <c r="I509" s="237">
        <v>0</v>
      </c>
      <c r="J509" s="237">
        <v>0</v>
      </c>
      <c r="K509" s="237">
        <v>0</v>
      </c>
      <c r="L509" s="236">
        <v>0</v>
      </c>
      <c r="M509" s="236"/>
      <c r="N509" s="237">
        <v>0</v>
      </c>
      <c r="O509" s="237">
        <v>0</v>
      </c>
      <c r="P509" s="237">
        <v>0</v>
      </c>
      <c r="Q509" s="236">
        <v>46349</v>
      </c>
      <c r="R509" s="237">
        <f t="shared" si="7"/>
        <v>0</v>
      </c>
      <c r="S509" s="236"/>
      <c r="T509" s="237">
        <v>0</v>
      </c>
      <c r="U509" s="238">
        <v>-18518</v>
      </c>
      <c r="V509" s="238">
        <v>-18518</v>
      </c>
    </row>
    <row r="510" spans="1:22">
      <c r="A510" s="231">
        <v>95413</v>
      </c>
      <c r="B510" s="232" t="s">
        <v>1221</v>
      </c>
      <c r="C510" s="92">
        <v>2.945E-4</v>
      </c>
      <c r="D510" s="92">
        <v>2.9579999999999998E-4</v>
      </c>
      <c r="E510" s="236">
        <v>262974.70999999996</v>
      </c>
      <c r="F510" s="236">
        <v>132753</v>
      </c>
      <c r="G510" s="236">
        <v>625028</v>
      </c>
      <c r="H510" s="236"/>
      <c r="I510" s="237">
        <v>11743.1875</v>
      </c>
      <c r="J510" s="237">
        <v>547723</v>
      </c>
      <c r="K510" s="237">
        <v>42809</v>
      </c>
      <c r="L510" s="236">
        <v>198118</v>
      </c>
      <c r="M510" s="236"/>
      <c r="N510" s="237">
        <v>21902</v>
      </c>
      <c r="O510" s="237">
        <v>202162</v>
      </c>
      <c r="P510" s="237">
        <v>0</v>
      </c>
      <c r="Q510" s="236">
        <v>18897.04</v>
      </c>
      <c r="R510" s="237">
        <f t="shared" si="7"/>
        <v>345561</v>
      </c>
      <c r="S510" s="236"/>
      <c r="T510" s="237">
        <v>167061</v>
      </c>
      <c r="U510" s="238">
        <v>50061</v>
      </c>
      <c r="V510" s="238">
        <v>217122</v>
      </c>
    </row>
    <row r="511" spans="1:22">
      <c r="A511" s="231">
        <v>95415</v>
      </c>
      <c r="B511" s="232" t="s">
        <v>1222</v>
      </c>
      <c r="C511" s="92">
        <v>7.9499999999999994E-5</v>
      </c>
      <c r="D511" s="92">
        <v>7.6600000000000005E-5</v>
      </c>
      <c r="E511" s="236">
        <v>28616.620000000003</v>
      </c>
      <c r="F511" s="236">
        <v>34378</v>
      </c>
      <c r="G511" s="236">
        <v>168726</v>
      </c>
      <c r="H511" s="236"/>
      <c r="I511" s="237">
        <v>3170.0625</v>
      </c>
      <c r="J511" s="237">
        <v>147857</v>
      </c>
      <c r="K511" s="237">
        <v>11556</v>
      </c>
      <c r="L511" s="236">
        <v>10656.45</v>
      </c>
      <c r="M511" s="236"/>
      <c r="N511" s="237">
        <v>5912</v>
      </c>
      <c r="O511" s="237">
        <v>54573</v>
      </c>
      <c r="P511" s="237">
        <v>0</v>
      </c>
      <c r="Q511" s="236">
        <v>7763</v>
      </c>
      <c r="R511" s="237">
        <f t="shared" si="7"/>
        <v>93284</v>
      </c>
      <c r="S511" s="236"/>
      <c r="T511" s="237">
        <v>45098</v>
      </c>
      <c r="U511" s="238">
        <v>2762</v>
      </c>
      <c r="V511" s="238">
        <v>47859</v>
      </c>
    </row>
    <row r="512" spans="1:22">
      <c r="A512" s="231">
        <v>95421</v>
      </c>
      <c r="B512" s="232" t="s">
        <v>1223</v>
      </c>
      <c r="C512" s="92">
        <v>3.9100000000000002E-5</v>
      </c>
      <c r="D512" s="92">
        <v>5.1E-5</v>
      </c>
      <c r="E512" s="236">
        <v>15644.039999999997</v>
      </c>
      <c r="F512" s="236">
        <v>22888</v>
      </c>
      <c r="G512" s="236">
        <v>82983</v>
      </c>
      <c r="H512" s="236"/>
      <c r="I512" s="237">
        <v>1559</v>
      </c>
      <c r="J512" s="237">
        <v>72720</v>
      </c>
      <c r="K512" s="237">
        <v>5684</v>
      </c>
      <c r="L512" s="236">
        <v>0</v>
      </c>
      <c r="M512" s="236"/>
      <c r="N512" s="237">
        <v>2908</v>
      </c>
      <c r="O512" s="237">
        <v>26841</v>
      </c>
      <c r="P512" s="237">
        <v>0</v>
      </c>
      <c r="Q512" s="236">
        <v>14322</v>
      </c>
      <c r="R512" s="237">
        <f t="shared" si="7"/>
        <v>45879</v>
      </c>
      <c r="S512" s="236"/>
      <c r="T512" s="237">
        <v>22180</v>
      </c>
      <c r="U512" s="238">
        <v>-4969</v>
      </c>
      <c r="V512" s="238">
        <v>17211</v>
      </c>
    </row>
    <row r="513" spans="1:22">
      <c r="A513" s="231">
        <v>95431</v>
      </c>
      <c r="B513" s="232" t="s">
        <v>1224</v>
      </c>
      <c r="C513" s="92">
        <v>1.8009999999999999E-4</v>
      </c>
      <c r="D513" s="92">
        <v>1.7249999999999999E-4</v>
      </c>
      <c r="E513" s="236">
        <v>59568.97</v>
      </c>
      <c r="F513" s="236">
        <v>77417</v>
      </c>
      <c r="G513" s="236">
        <v>382233</v>
      </c>
      <c r="H513" s="236"/>
      <c r="I513" s="237">
        <v>7181</v>
      </c>
      <c r="J513" s="237">
        <v>334958</v>
      </c>
      <c r="K513" s="237">
        <v>26180</v>
      </c>
      <c r="L513" s="236">
        <v>450</v>
      </c>
      <c r="M513" s="236"/>
      <c r="N513" s="237">
        <v>13394</v>
      </c>
      <c r="O513" s="237">
        <v>123631</v>
      </c>
      <c r="P513" s="237">
        <v>0</v>
      </c>
      <c r="Q513" s="236">
        <v>13081</v>
      </c>
      <c r="R513" s="237">
        <f t="shared" si="7"/>
        <v>211327</v>
      </c>
      <c r="S513" s="236"/>
      <c r="T513" s="237">
        <v>102165</v>
      </c>
      <c r="U513" s="238">
        <v>-3706</v>
      </c>
      <c r="V513" s="238">
        <v>98459</v>
      </c>
    </row>
    <row r="514" spans="1:22">
      <c r="A514" s="231">
        <v>95501</v>
      </c>
      <c r="B514" s="232" t="s">
        <v>1225</v>
      </c>
      <c r="C514" s="92">
        <v>4.7917999999999997E-3</v>
      </c>
      <c r="D514" s="92">
        <v>4.8338000000000001E-3</v>
      </c>
      <c r="E514" s="236">
        <v>1890953.7499999998</v>
      </c>
      <c r="F514" s="236">
        <v>2169380</v>
      </c>
      <c r="G514" s="236">
        <v>10169805</v>
      </c>
      <c r="H514" s="236"/>
      <c r="I514" s="237">
        <v>191073</v>
      </c>
      <c r="J514" s="237">
        <v>8911991</v>
      </c>
      <c r="K514" s="237">
        <v>696541</v>
      </c>
      <c r="L514" s="236">
        <v>63710</v>
      </c>
      <c r="M514" s="236"/>
      <c r="N514" s="237">
        <v>356361</v>
      </c>
      <c r="O514" s="237">
        <v>3289369</v>
      </c>
      <c r="P514" s="237">
        <v>0</v>
      </c>
      <c r="Q514" s="236">
        <v>102347</v>
      </c>
      <c r="R514" s="237">
        <f t="shared" si="7"/>
        <v>5622622</v>
      </c>
      <c r="S514" s="236"/>
      <c r="T514" s="237">
        <v>2718240</v>
      </c>
      <c r="U514" s="238">
        <v>3939</v>
      </c>
      <c r="V514" s="238">
        <v>2722178</v>
      </c>
    </row>
    <row r="515" spans="1:22">
      <c r="A515" s="231">
        <v>95504</v>
      </c>
      <c r="B515" s="232" t="s">
        <v>1226</v>
      </c>
      <c r="C515" s="92">
        <v>8.8999999999999995E-6</v>
      </c>
      <c r="D515" s="92">
        <v>1.2099999999999999E-5</v>
      </c>
      <c r="E515" s="236">
        <v>7171.2</v>
      </c>
      <c r="F515" s="236">
        <v>5430</v>
      </c>
      <c r="G515" s="236">
        <v>18889</v>
      </c>
      <c r="H515" s="236"/>
      <c r="I515" s="237">
        <v>354.88749999999999</v>
      </c>
      <c r="J515" s="237">
        <v>16553</v>
      </c>
      <c r="K515" s="237">
        <v>1294</v>
      </c>
      <c r="L515" s="236">
        <v>5463</v>
      </c>
      <c r="M515" s="236"/>
      <c r="N515" s="237">
        <v>662</v>
      </c>
      <c r="O515" s="237">
        <v>6109</v>
      </c>
      <c r="P515" s="237">
        <v>0</v>
      </c>
      <c r="Q515" s="236">
        <v>0</v>
      </c>
      <c r="R515" s="237">
        <f t="shared" si="7"/>
        <v>10444</v>
      </c>
      <c r="S515" s="236"/>
      <c r="T515" s="237">
        <v>5049</v>
      </c>
      <c r="U515" s="238">
        <v>1872</v>
      </c>
      <c r="V515" s="238">
        <v>6921</v>
      </c>
    </row>
    <row r="516" spans="1:22">
      <c r="A516" s="231">
        <v>95511</v>
      </c>
      <c r="B516" s="232" t="s">
        <v>1227</v>
      </c>
      <c r="C516" s="92">
        <v>9.6049999999999998E-4</v>
      </c>
      <c r="D516" s="92">
        <v>1.0989000000000001E-3</v>
      </c>
      <c r="E516" s="236">
        <v>413682.63</v>
      </c>
      <c r="F516" s="236">
        <v>493180</v>
      </c>
      <c r="G516" s="236">
        <v>2038503</v>
      </c>
      <c r="H516" s="236"/>
      <c r="I516" s="237">
        <v>38300</v>
      </c>
      <c r="J516" s="237">
        <v>1786378</v>
      </c>
      <c r="K516" s="237">
        <v>139619</v>
      </c>
      <c r="L516" s="236">
        <v>10807.69</v>
      </c>
      <c r="M516" s="236"/>
      <c r="N516" s="237">
        <v>71431</v>
      </c>
      <c r="O516" s="237">
        <v>659343</v>
      </c>
      <c r="P516" s="237">
        <v>0</v>
      </c>
      <c r="Q516" s="236">
        <v>71910</v>
      </c>
      <c r="R516" s="237">
        <f t="shared" si="7"/>
        <v>1127035</v>
      </c>
      <c r="S516" s="236"/>
      <c r="T516" s="237">
        <v>544862</v>
      </c>
      <c r="U516" s="238">
        <v>-14323</v>
      </c>
      <c r="V516" s="238">
        <v>530538</v>
      </c>
    </row>
    <row r="517" spans="1:22">
      <c r="A517" s="231">
        <v>95513</v>
      </c>
      <c r="B517" s="232" t="s">
        <v>1228</v>
      </c>
      <c r="C517" s="92">
        <v>4.5500000000000001E-5</v>
      </c>
      <c r="D517" s="92">
        <v>4.4499999999999997E-5</v>
      </c>
      <c r="E517" s="236">
        <v>28270.480000000003</v>
      </c>
      <c r="F517" s="236">
        <v>19971</v>
      </c>
      <c r="G517" s="236">
        <v>96566</v>
      </c>
      <c r="H517" s="236"/>
      <c r="I517" s="237">
        <v>1814.3125</v>
      </c>
      <c r="J517" s="237">
        <v>84623</v>
      </c>
      <c r="K517" s="237">
        <v>6614</v>
      </c>
      <c r="L517" s="236">
        <v>19516</v>
      </c>
      <c r="M517" s="236"/>
      <c r="N517" s="237">
        <v>3384</v>
      </c>
      <c r="O517" s="237">
        <v>31234</v>
      </c>
      <c r="P517" s="237">
        <v>0</v>
      </c>
      <c r="Q517" s="236">
        <v>0</v>
      </c>
      <c r="R517" s="237">
        <f t="shared" si="7"/>
        <v>53389</v>
      </c>
      <c r="S517" s="236"/>
      <c r="T517" s="237">
        <v>25811</v>
      </c>
      <c r="U517" s="238">
        <v>6831</v>
      </c>
      <c r="V517" s="238">
        <v>32642</v>
      </c>
    </row>
    <row r="518" spans="1:22">
      <c r="A518" s="231">
        <v>95517</v>
      </c>
      <c r="B518" s="232" t="s">
        <v>1229</v>
      </c>
      <c r="C518" s="92">
        <v>1.66E-5</v>
      </c>
      <c r="D518" s="92">
        <v>1.1399999999999999E-5</v>
      </c>
      <c r="E518" s="236">
        <v>13168.44</v>
      </c>
      <c r="F518" s="236">
        <v>5116</v>
      </c>
      <c r="G518" s="236">
        <v>35231</v>
      </c>
      <c r="H518" s="236"/>
      <c r="I518" s="237">
        <v>662</v>
      </c>
      <c r="J518" s="237">
        <v>30873</v>
      </c>
      <c r="K518" s="237">
        <v>2413</v>
      </c>
      <c r="L518" s="236">
        <v>13465</v>
      </c>
      <c r="M518" s="236"/>
      <c r="N518" s="237">
        <v>1235</v>
      </c>
      <c r="O518" s="237">
        <v>11395</v>
      </c>
      <c r="P518" s="237">
        <v>0</v>
      </c>
      <c r="Q518" s="236">
        <v>0</v>
      </c>
      <c r="R518" s="237">
        <f t="shared" si="7"/>
        <v>19478</v>
      </c>
      <c r="S518" s="236"/>
      <c r="T518" s="237">
        <v>9417</v>
      </c>
      <c r="U518" s="238">
        <v>4330</v>
      </c>
      <c r="V518" s="238">
        <v>13747</v>
      </c>
    </row>
    <row r="519" spans="1:22">
      <c r="A519" s="231">
        <v>95601</v>
      </c>
      <c r="B519" s="232" t="s">
        <v>1230</v>
      </c>
      <c r="C519" s="92">
        <v>2.6592999999999999E-3</v>
      </c>
      <c r="D519" s="92">
        <v>2.4567999999999999E-3</v>
      </c>
      <c r="E519" s="236">
        <v>1012936.7699999999</v>
      </c>
      <c r="F519" s="236">
        <v>1102597</v>
      </c>
      <c r="G519" s="236">
        <v>5643925</v>
      </c>
      <c r="H519" s="236"/>
      <c r="I519" s="237">
        <v>106040</v>
      </c>
      <c r="J519" s="237">
        <v>4945878</v>
      </c>
      <c r="K519" s="237">
        <v>386559</v>
      </c>
      <c r="L519" s="236">
        <v>138057</v>
      </c>
      <c r="M519" s="236"/>
      <c r="N519" s="237">
        <v>197769</v>
      </c>
      <c r="O519" s="237">
        <v>1825498</v>
      </c>
      <c r="P519" s="237">
        <v>0</v>
      </c>
      <c r="Q519" s="236">
        <v>0</v>
      </c>
      <c r="R519" s="237">
        <f t="shared" si="7"/>
        <v>3120380</v>
      </c>
      <c r="S519" s="236"/>
      <c r="T519" s="237">
        <v>1508538</v>
      </c>
      <c r="U519" s="238">
        <v>52467</v>
      </c>
      <c r="V519" s="238">
        <v>1561006</v>
      </c>
    </row>
    <row r="520" spans="1:22">
      <c r="A520" s="231">
        <v>95611</v>
      </c>
      <c r="B520" s="232" t="s">
        <v>1231</v>
      </c>
      <c r="C520" s="92">
        <v>3.9540000000000002E-4</v>
      </c>
      <c r="D520" s="92">
        <v>3.9500000000000001E-4</v>
      </c>
      <c r="E520" s="236">
        <v>162220.80999999997</v>
      </c>
      <c r="F520" s="236">
        <v>177273.63</v>
      </c>
      <c r="G520" s="236">
        <v>839171</v>
      </c>
      <c r="H520" s="236"/>
      <c r="I520" s="237">
        <v>15767</v>
      </c>
      <c r="J520" s="237">
        <v>735382</v>
      </c>
      <c r="K520" s="237">
        <v>57476</v>
      </c>
      <c r="L520" s="236">
        <v>2750</v>
      </c>
      <c r="M520" s="236"/>
      <c r="N520" s="237">
        <v>29406</v>
      </c>
      <c r="O520" s="237">
        <v>271425</v>
      </c>
      <c r="P520" s="237">
        <v>0</v>
      </c>
      <c r="Q520" s="236">
        <v>5641</v>
      </c>
      <c r="R520" s="237">
        <f t="shared" si="7"/>
        <v>463957</v>
      </c>
      <c r="S520" s="236"/>
      <c r="T520" s="237">
        <v>224298</v>
      </c>
      <c r="U520" s="238">
        <v>-610</v>
      </c>
      <c r="V520" s="238">
        <v>223688</v>
      </c>
    </row>
    <row r="521" spans="1:22">
      <c r="A521" s="231">
        <v>95617</v>
      </c>
      <c r="B521" s="232" t="s">
        <v>1232</v>
      </c>
      <c r="C521" s="92">
        <v>1.6500000000000001E-5</v>
      </c>
      <c r="D521" s="92">
        <v>1.63E-5</v>
      </c>
      <c r="E521" s="236">
        <v>7075.2599999999993</v>
      </c>
      <c r="F521" s="236">
        <v>7315</v>
      </c>
      <c r="G521" s="236">
        <v>35019</v>
      </c>
      <c r="H521" s="236"/>
      <c r="I521" s="237">
        <v>657.9375</v>
      </c>
      <c r="J521" s="237">
        <v>30687</v>
      </c>
      <c r="K521" s="237">
        <v>2398</v>
      </c>
      <c r="L521" s="236">
        <v>338</v>
      </c>
      <c r="M521" s="236"/>
      <c r="N521" s="237">
        <v>1227</v>
      </c>
      <c r="O521" s="237">
        <v>11327</v>
      </c>
      <c r="P521" s="237">
        <v>0</v>
      </c>
      <c r="Q521" s="236">
        <v>2141</v>
      </c>
      <c r="R521" s="237">
        <f t="shared" ref="R521:R584" si="8">IF(J521&gt;O521,J521-O521,O521-J521)</f>
        <v>19360</v>
      </c>
      <c r="S521" s="236"/>
      <c r="T521" s="237">
        <v>9360</v>
      </c>
      <c r="U521" s="238">
        <v>-777</v>
      </c>
      <c r="V521" s="238">
        <v>8583</v>
      </c>
    </row>
    <row r="522" spans="1:22">
      <c r="A522" s="231">
        <v>95621</v>
      </c>
      <c r="B522" s="232" t="s">
        <v>1233</v>
      </c>
      <c r="C522" s="92">
        <v>4.8020000000000002E-4</v>
      </c>
      <c r="D522" s="92">
        <v>5.0210000000000001E-4</v>
      </c>
      <c r="E522" s="236">
        <v>211839.76999999996</v>
      </c>
      <c r="F522" s="236">
        <v>225339</v>
      </c>
      <c r="G522" s="236">
        <v>1019145</v>
      </c>
      <c r="H522" s="236"/>
      <c r="I522" s="237">
        <v>19148</v>
      </c>
      <c r="J522" s="237">
        <v>893096</v>
      </c>
      <c r="K522" s="237">
        <v>69802</v>
      </c>
      <c r="L522" s="236">
        <v>6364.02</v>
      </c>
      <c r="M522" s="236"/>
      <c r="N522" s="237">
        <v>35712</v>
      </c>
      <c r="O522" s="237">
        <v>329637</v>
      </c>
      <c r="P522" s="237">
        <v>0</v>
      </c>
      <c r="Q522" s="236">
        <v>3443</v>
      </c>
      <c r="R522" s="237">
        <f t="shared" si="8"/>
        <v>563459</v>
      </c>
      <c r="S522" s="236"/>
      <c r="T522" s="237">
        <v>272403</v>
      </c>
      <c r="U522" s="238">
        <v>2021</v>
      </c>
      <c r="V522" s="238">
        <v>274423</v>
      </c>
    </row>
    <row r="523" spans="1:22">
      <c r="A523" s="231">
        <v>95701</v>
      </c>
      <c r="B523" s="232" t="s">
        <v>1234</v>
      </c>
      <c r="C523" s="92">
        <v>1.291E-3</v>
      </c>
      <c r="D523" s="92">
        <v>1.2436999999999999E-3</v>
      </c>
      <c r="E523" s="236">
        <v>517495.15000000008</v>
      </c>
      <c r="F523" s="236">
        <v>558165</v>
      </c>
      <c r="G523" s="236">
        <v>2739934</v>
      </c>
      <c r="H523" s="236"/>
      <c r="I523" s="237">
        <v>51478.625</v>
      </c>
      <c r="J523" s="237">
        <v>2401056</v>
      </c>
      <c r="K523" s="237">
        <v>187661</v>
      </c>
      <c r="L523" s="236">
        <v>51877</v>
      </c>
      <c r="M523" s="236"/>
      <c r="N523" s="237">
        <v>96010</v>
      </c>
      <c r="O523" s="237">
        <v>886217</v>
      </c>
      <c r="P523" s="237">
        <v>0</v>
      </c>
      <c r="Q523" s="236">
        <v>0</v>
      </c>
      <c r="R523" s="237">
        <f t="shared" si="8"/>
        <v>1514839</v>
      </c>
      <c r="S523" s="236"/>
      <c r="T523" s="237">
        <v>732344</v>
      </c>
      <c r="U523" s="238">
        <v>20713</v>
      </c>
      <c r="V523" s="238">
        <v>753057</v>
      </c>
    </row>
    <row r="524" spans="1:22">
      <c r="A524" s="231">
        <v>95711</v>
      </c>
      <c r="B524" s="232" t="s">
        <v>1235</v>
      </c>
      <c r="C524" s="92">
        <v>1.382E-4</v>
      </c>
      <c r="D524" s="92">
        <v>1.284E-4</v>
      </c>
      <c r="E524" s="236">
        <v>51439.57</v>
      </c>
      <c r="F524" s="236">
        <v>57625</v>
      </c>
      <c r="G524" s="236">
        <v>293307</v>
      </c>
      <c r="H524" s="236"/>
      <c r="I524" s="237">
        <v>5511</v>
      </c>
      <c r="J524" s="237">
        <v>257030</v>
      </c>
      <c r="K524" s="237">
        <v>20089</v>
      </c>
      <c r="L524" s="236">
        <v>9232</v>
      </c>
      <c r="M524" s="236"/>
      <c r="N524" s="237">
        <v>10278</v>
      </c>
      <c r="O524" s="237">
        <v>94868</v>
      </c>
      <c r="P524" s="237">
        <v>0</v>
      </c>
      <c r="Q524" s="236">
        <v>143</v>
      </c>
      <c r="R524" s="237">
        <f t="shared" si="8"/>
        <v>162162</v>
      </c>
      <c r="S524" s="236"/>
      <c r="T524" s="237">
        <v>78397</v>
      </c>
      <c r="U524" s="238">
        <v>3104</v>
      </c>
      <c r="V524" s="238">
        <v>81500</v>
      </c>
    </row>
    <row r="525" spans="1:22">
      <c r="A525" s="231">
        <v>95721</v>
      </c>
      <c r="B525" s="232" t="s">
        <v>1236</v>
      </c>
      <c r="C525" s="92">
        <v>6.6199999999999996E-5</v>
      </c>
      <c r="D525" s="92">
        <v>6.7199999999999994E-5</v>
      </c>
      <c r="E525" s="236">
        <v>22493.79</v>
      </c>
      <c r="F525" s="236">
        <v>30159</v>
      </c>
      <c r="G525" s="236">
        <v>140499</v>
      </c>
      <c r="H525" s="236"/>
      <c r="I525" s="237">
        <v>2640</v>
      </c>
      <c r="J525" s="237">
        <v>123122</v>
      </c>
      <c r="K525" s="237">
        <v>9623</v>
      </c>
      <c r="L525" s="236">
        <v>0</v>
      </c>
      <c r="M525" s="236"/>
      <c r="N525" s="237">
        <v>4923</v>
      </c>
      <c r="O525" s="237">
        <v>45444</v>
      </c>
      <c r="P525" s="237">
        <v>0</v>
      </c>
      <c r="Q525" s="236">
        <v>9473</v>
      </c>
      <c r="R525" s="237">
        <f t="shared" si="8"/>
        <v>77678</v>
      </c>
      <c r="S525" s="236"/>
      <c r="T525" s="237">
        <v>37553</v>
      </c>
      <c r="U525" s="238">
        <v>-3665</v>
      </c>
      <c r="V525" s="238">
        <v>33888</v>
      </c>
    </row>
    <row r="526" spans="1:22">
      <c r="A526" s="231">
        <v>95733</v>
      </c>
      <c r="B526" s="232" t="s">
        <v>1237</v>
      </c>
      <c r="C526" s="92">
        <v>1.56E-5</v>
      </c>
      <c r="D526" s="92">
        <v>1.63E-5</v>
      </c>
      <c r="E526" s="236">
        <v>6566.4400000000005</v>
      </c>
      <c r="F526" s="236">
        <v>7315</v>
      </c>
      <c r="G526" s="236">
        <v>33108</v>
      </c>
      <c r="H526" s="236"/>
      <c r="I526" s="237">
        <v>622</v>
      </c>
      <c r="J526" s="237">
        <v>29014</v>
      </c>
      <c r="K526" s="237">
        <v>2268</v>
      </c>
      <c r="L526" s="236">
        <v>926</v>
      </c>
      <c r="M526" s="236"/>
      <c r="N526" s="237">
        <v>1160</v>
      </c>
      <c r="O526" s="237">
        <v>10709</v>
      </c>
      <c r="P526" s="237">
        <v>0</v>
      </c>
      <c r="Q526" s="236">
        <v>259</v>
      </c>
      <c r="R526" s="237">
        <f t="shared" si="8"/>
        <v>18305</v>
      </c>
      <c r="S526" s="236"/>
      <c r="T526" s="237">
        <v>8849</v>
      </c>
      <c r="U526" s="238">
        <v>277</v>
      </c>
      <c r="V526" s="238">
        <v>9127</v>
      </c>
    </row>
    <row r="527" spans="1:22">
      <c r="A527" s="231">
        <v>95801</v>
      </c>
      <c r="B527" s="232" t="s">
        <v>1238</v>
      </c>
      <c r="C527" s="92">
        <v>8.9349999999999998E-4</v>
      </c>
      <c r="D527" s="92">
        <v>9.1810000000000004E-4</v>
      </c>
      <c r="E527" s="236">
        <v>383793.67</v>
      </c>
      <c r="F527" s="236">
        <v>412038</v>
      </c>
      <c r="G527" s="236">
        <v>1896306</v>
      </c>
      <c r="H527" s="236"/>
      <c r="I527" s="237">
        <v>35628</v>
      </c>
      <c r="J527" s="237">
        <v>1661769</v>
      </c>
      <c r="K527" s="237">
        <v>129880</v>
      </c>
      <c r="L527" s="236">
        <v>14615</v>
      </c>
      <c r="M527" s="236"/>
      <c r="N527" s="237">
        <v>66449</v>
      </c>
      <c r="O527" s="237">
        <v>613350</v>
      </c>
      <c r="P527" s="237">
        <v>0</v>
      </c>
      <c r="Q527" s="236">
        <v>8079</v>
      </c>
      <c r="R527" s="237">
        <f t="shared" si="8"/>
        <v>1048419</v>
      </c>
      <c r="S527" s="236"/>
      <c r="T527" s="237">
        <v>506855</v>
      </c>
      <c r="U527" s="238">
        <v>1206</v>
      </c>
      <c r="V527" s="238">
        <v>508061</v>
      </c>
    </row>
    <row r="528" spans="1:22">
      <c r="A528" s="231">
        <v>95802</v>
      </c>
      <c r="B528" s="232" t="s">
        <v>1239</v>
      </c>
      <c r="C528" s="92">
        <v>6.8000000000000001E-6</v>
      </c>
      <c r="D528" s="92">
        <v>6.8000000000000001E-6</v>
      </c>
      <c r="E528" s="236">
        <v>4626.88</v>
      </c>
      <c r="F528" s="236">
        <v>3052</v>
      </c>
      <c r="G528" s="236">
        <v>14432</v>
      </c>
      <c r="H528" s="236"/>
      <c r="I528" s="237">
        <v>271</v>
      </c>
      <c r="J528" s="237">
        <v>12647</v>
      </c>
      <c r="K528" s="237">
        <v>988</v>
      </c>
      <c r="L528" s="236">
        <v>2741</v>
      </c>
      <c r="M528" s="236"/>
      <c r="N528" s="237">
        <v>506</v>
      </c>
      <c r="O528" s="237">
        <v>4668</v>
      </c>
      <c r="P528" s="237">
        <v>0</v>
      </c>
      <c r="Q528" s="236">
        <v>2509</v>
      </c>
      <c r="R528" s="237">
        <f t="shared" si="8"/>
        <v>7979</v>
      </c>
      <c r="S528" s="236"/>
      <c r="T528" s="237">
        <v>3857</v>
      </c>
      <c r="U528" s="238">
        <v>-428</v>
      </c>
      <c r="V528" s="238">
        <v>3429</v>
      </c>
    </row>
    <row r="529" spans="1:22">
      <c r="A529" s="231">
        <v>95804</v>
      </c>
      <c r="B529" s="232" t="s">
        <v>1240</v>
      </c>
      <c r="C529" s="92">
        <v>1.63E-5</v>
      </c>
      <c r="D529" s="92">
        <v>1.4399999999999999E-5</v>
      </c>
      <c r="E529" s="236">
        <v>6017.02</v>
      </c>
      <c r="F529" s="236">
        <v>6463</v>
      </c>
      <c r="G529" s="236">
        <v>34594</v>
      </c>
      <c r="H529" s="236"/>
      <c r="I529" s="237">
        <v>649.96249999999998</v>
      </c>
      <c r="J529" s="237">
        <v>30315</v>
      </c>
      <c r="K529" s="237">
        <v>2369</v>
      </c>
      <c r="L529" s="236">
        <v>3054</v>
      </c>
      <c r="M529" s="236"/>
      <c r="N529" s="237">
        <v>1212</v>
      </c>
      <c r="O529" s="237">
        <v>11189</v>
      </c>
      <c r="P529" s="237">
        <v>0</v>
      </c>
      <c r="Q529" s="236">
        <v>0</v>
      </c>
      <c r="R529" s="237">
        <f t="shared" si="8"/>
        <v>19126</v>
      </c>
      <c r="S529" s="236"/>
      <c r="T529" s="237">
        <v>9246</v>
      </c>
      <c r="U529" s="238">
        <v>1187</v>
      </c>
      <c r="V529" s="238">
        <v>10434</v>
      </c>
    </row>
    <row r="530" spans="1:22">
      <c r="A530" s="231">
        <v>95811</v>
      </c>
      <c r="B530" s="232" t="s">
        <v>1241</v>
      </c>
      <c r="C530" s="92">
        <v>5.3410000000000003E-4</v>
      </c>
      <c r="D530" s="92">
        <v>5.2459999999999996E-4</v>
      </c>
      <c r="E530" s="236">
        <v>215302.64</v>
      </c>
      <c r="F530" s="236">
        <v>235437</v>
      </c>
      <c r="G530" s="236">
        <v>1133539</v>
      </c>
      <c r="H530" s="236"/>
      <c r="I530" s="237">
        <v>21297</v>
      </c>
      <c r="J530" s="237">
        <v>993342</v>
      </c>
      <c r="K530" s="237">
        <v>77637</v>
      </c>
      <c r="L530" s="236">
        <v>2541</v>
      </c>
      <c r="M530" s="236"/>
      <c r="N530" s="237">
        <v>39720</v>
      </c>
      <c r="O530" s="237">
        <v>366637</v>
      </c>
      <c r="P530" s="237">
        <v>0</v>
      </c>
      <c r="Q530" s="236">
        <v>5345</v>
      </c>
      <c r="R530" s="237">
        <f t="shared" si="8"/>
        <v>626705</v>
      </c>
      <c r="S530" s="236"/>
      <c r="T530" s="237">
        <v>302978</v>
      </c>
      <c r="U530" s="238">
        <v>-1032</v>
      </c>
      <c r="V530" s="238">
        <v>301947</v>
      </c>
    </row>
    <row r="531" spans="1:22">
      <c r="A531" s="231">
        <v>95813</v>
      </c>
      <c r="B531" s="232" t="s">
        <v>1242</v>
      </c>
      <c r="C531" s="92">
        <v>4.4400000000000002E-5</v>
      </c>
      <c r="D531" s="92">
        <v>5.02E-5</v>
      </c>
      <c r="E531" s="236">
        <v>61209.42</v>
      </c>
      <c r="F531" s="236">
        <v>22529</v>
      </c>
      <c r="G531" s="236">
        <v>94232</v>
      </c>
      <c r="H531" s="236"/>
      <c r="I531" s="237">
        <v>1770.45</v>
      </c>
      <c r="J531" s="237">
        <v>82577</v>
      </c>
      <c r="K531" s="237">
        <v>6454</v>
      </c>
      <c r="L531" s="236">
        <v>51874</v>
      </c>
      <c r="M531" s="236"/>
      <c r="N531" s="237">
        <v>3302</v>
      </c>
      <c r="O531" s="237">
        <v>30479</v>
      </c>
      <c r="P531" s="237">
        <v>0</v>
      </c>
      <c r="Q531" s="236">
        <v>0</v>
      </c>
      <c r="R531" s="237">
        <f t="shared" si="8"/>
        <v>52098</v>
      </c>
      <c r="S531" s="236"/>
      <c r="T531" s="237">
        <v>25187</v>
      </c>
      <c r="U531" s="238">
        <v>15540</v>
      </c>
      <c r="V531" s="238">
        <v>40727</v>
      </c>
    </row>
    <row r="532" spans="1:22">
      <c r="A532" s="231">
        <v>95821</v>
      </c>
      <c r="B532" s="232" t="s">
        <v>1243</v>
      </c>
      <c r="C532" s="92">
        <v>1.7E-6</v>
      </c>
      <c r="D532" s="92">
        <v>1.5999999999999999E-6</v>
      </c>
      <c r="E532" s="236">
        <v>1922.0400000000002</v>
      </c>
      <c r="F532" s="236">
        <v>718</v>
      </c>
      <c r="G532" s="236">
        <v>3608</v>
      </c>
      <c r="H532" s="236"/>
      <c r="I532" s="237">
        <v>68</v>
      </c>
      <c r="J532" s="237">
        <v>3162</v>
      </c>
      <c r="K532" s="237">
        <v>247</v>
      </c>
      <c r="L532" s="236">
        <v>1916</v>
      </c>
      <c r="M532" s="236"/>
      <c r="N532" s="237">
        <v>126</v>
      </c>
      <c r="O532" s="237">
        <v>1167</v>
      </c>
      <c r="P532" s="237">
        <v>0</v>
      </c>
      <c r="Q532" s="236">
        <v>0</v>
      </c>
      <c r="R532" s="237">
        <f t="shared" si="8"/>
        <v>1995</v>
      </c>
      <c r="S532" s="236"/>
      <c r="T532" s="237">
        <v>964</v>
      </c>
      <c r="U532" s="238">
        <v>623</v>
      </c>
      <c r="V532" s="238">
        <v>1587</v>
      </c>
    </row>
    <row r="533" spans="1:22">
      <c r="A533" s="231">
        <v>95831</v>
      </c>
      <c r="B533" s="232" t="s">
        <v>1244</v>
      </c>
      <c r="C533" s="92">
        <v>1.36E-5</v>
      </c>
      <c r="D533" s="92">
        <v>1.9199999999999999E-5</v>
      </c>
      <c r="E533" s="236">
        <v>18920.61</v>
      </c>
      <c r="F533" s="236">
        <v>8617</v>
      </c>
      <c r="G533" s="236">
        <v>28864</v>
      </c>
      <c r="H533" s="236"/>
      <c r="I533" s="237">
        <v>542</v>
      </c>
      <c r="J533" s="237">
        <v>25294</v>
      </c>
      <c r="K533" s="237">
        <v>1977</v>
      </c>
      <c r="L533" s="236">
        <v>15027</v>
      </c>
      <c r="M533" s="236"/>
      <c r="N533" s="237">
        <v>1011</v>
      </c>
      <c r="O533" s="237">
        <v>9336</v>
      </c>
      <c r="P533" s="237">
        <v>0</v>
      </c>
      <c r="Q533" s="236">
        <v>0</v>
      </c>
      <c r="R533" s="237">
        <f t="shared" si="8"/>
        <v>15958</v>
      </c>
      <c r="S533" s="236"/>
      <c r="T533" s="237">
        <v>7715</v>
      </c>
      <c r="U533" s="238">
        <v>4667</v>
      </c>
      <c r="V533" s="238">
        <v>12382</v>
      </c>
    </row>
    <row r="534" spans="1:22">
      <c r="A534" s="231">
        <v>95841</v>
      </c>
      <c r="B534" s="232" t="s">
        <v>1245</v>
      </c>
      <c r="C534" s="92">
        <v>2.1100000000000001E-5</v>
      </c>
      <c r="D534" s="92">
        <v>2.0699999999999998E-5</v>
      </c>
      <c r="E534" s="236">
        <v>9619.65</v>
      </c>
      <c r="F534" s="236">
        <v>9290</v>
      </c>
      <c r="G534" s="236">
        <v>44781</v>
      </c>
      <c r="H534" s="236"/>
      <c r="I534" s="237">
        <v>841</v>
      </c>
      <c r="J534" s="237">
        <v>39243</v>
      </c>
      <c r="K534" s="237">
        <v>3067</v>
      </c>
      <c r="L534" s="236">
        <v>1840</v>
      </c>
      <c r="M534" s="236"/>
      <c r="N534" s="237">
        <v>1569</v>
      </c>
      <c r="O534" s="237">
        <v>14484</v>
      </c>
      <c r="P534" s="237">
        <v>0</v>
      </c>
      <c r="Q534" s="236">
        <v>0</v>
      </c>
      <c r="R534" s="237">
        <f t="shared" si="8"/>
        <v>24759</v>
      </c>
      <c r="S534" s="236"/>
      <c r="T534" s="237">
        <v>11969</v>
      </c>
      <c r="U534" s="238">
        <v>601</v>
      </c>
      <c r="V534" s="238">
        <v>12570</v>
      </c>
    </row>
    <row r="535" spans="1:22">
      <c r="A535" s="231">
        <v>95851</v>
      </c>
      <c r="B535" s="232" t="s">
        <v>1246</v>
      </c>
      <c r="C535" s="92">
        <v>1.3009999999999999E-4</v>
      </c>
      <c r="D535" s="92">
        <v>1.44E-4</v>
      </c>
      <c r="E535" s="236">
        <v>128218.45000000001</v>
      </c>
      <c r="F535" s="236">
        <v>64626</v>
      </c>
      <c r="G535" s="236">
        <v>276116</v>
      </c>
      <c r="H535" s="236"/>
      <c r="I535" s="237">
        <v>5188</v>
      </c>
      <c r="J535" s="237">
        <v>241965</v>
      </c>
      <c r="K535" s="237">
        <v>18911</v>
      </c>
      <c r="L535" s="236">
        <v>90972</v>
      </c>
      <c r="M535" s="236"/>
      <c r="N535" s="237">
        <v>9675</v>
      </c>
      <c r="O535" s="237">
        <v>89308</v>
      </c>
      <c r="P535" s="237">
        <v>0</v>
      </c>
      <c r="Q535" s="236">
        <v>8402</v>
      </c>
      <c r="R535" s="237">
        <f t="shared" si="8"/>
        <v>152657</v>
      </c>
      <c r="S535" s="236"/>
      <c r="T535" s="237">
        <v>73802</v>
      </c>
      <c r="U535" s="238">
        <v>23087</v>
      </c>
      <c r="V535" s="238">
        <v>96889</v>
      </c>
    </row>
    <row r="536" spans="1:22">
      <c r="A536" s="231">
        <v>95853</v>
      </c>
      <c r="B536" s="232" t="s">
        <v>1247</v>
      </c>
      <c r="C536" s="92">
        <v>2.4000000000000001E-5</v>
      </c>
      <c r="D536" s="92">
        <v>2.44E-5</v>
      </c>
      <c r="E536" s="236">
        <v>14930.279999999999</v>
      </c>
      <c r="F536" s="236">
        <v>10951</v>
      </c>
      <c r="G536" s="236">
        <v>50936.04</v>
      </c>
      <c r="H536" s="236"/>
      <c r="I536" s="237">
        <v>957</v>
      </c>
      <c r="J536" s="237">
        <v>44636</v>
      </c>
      <c r="K536" s="237">
        <v>3489</v>
      </c>
      <c r="L536" s="236">
        <v>8043</v>
      </c>
      <c r="M536" s="236"/>
      <c r="N536" s="237">
        <v>1785</v>
      </c>
      <c r="O536" s="237">
        <v>16475</v>
      </c>
      <c r="P536" s="237">
        <v>0</v>
      </c>
      <c r="Q536" s="236">
        <v>0</v>
      </c>
      <c r="R536" s="237">
        <f t="shared" si="8"/>
        <v>28161</v>
      </c>
      <c r="S536" s="236"/>
      <c r="T536" s="237">
        <v>13614</v>
      </c>
      <c r="U536" s="238">
        <v>2790</v>
      </c>
      <c r="V536" s="238">
        <v>16405</v>
      </c>
    </row>
    <row r="537" spans="1:22">
      <c r="A537" s="231">
        <v>95901</v>
      </c>
      <c r="B537" s="232" t="s">
        <v>1248</v>
      </c>
      <c r="C537" s="92">
        <v>1.8266999999999999E-3</v>
      </c>
      <c r="D537" s="92">
        <v>1.8056000000000001E-3</v>
      </c>
      <c r="E537" s="236">
        <v>722469.93</v>
      </c>
      <c r="F537" s="236">
        <v>810342</v>
      </c>
      <c r="G537" s="236">
        <v>3876869</v>
      </c>
      <c r="H537" s="236"/>
      <c r="I537" s="237">
        <v>72840</v>
      </c>
      <c r="J537" s="237">
        <v>3397373</v>
      </c>
      <c r="K537" s="237">
        <v>265531</v>
      </c>
      <c r="L537" s="236">
        <v>69258</v>
      </c>
      <c r="M537" s="236"/>
      <c r="N537" s="237">
        <v>135850</v>
      </c>
      <c r="O537" s="237">
        <v>1253953</v>
      </c>
      <c r="P537" s="237">
        <v>0</v>
      </c>
      <c r="Q537" s="236">
        <v>11402</v>
      </c>
      <c r="R537" s="237">
        <f t="shared" si="8"/>
        <v>2143420</v>
      </c>
      <c r="S537" s="236"/>
      <c r="T537" s="237">
        <v>1036230</v>
      </c>
      <c r="U537" s="238">
        <v>29652</v>
      </c>
      <c r="V537" s="238">
        <v>1065882</v>
      </c>
    </row>
    <row r="538" spans="1:22">
      <c r="A538" s="231">
        <v>95908</v>
      </c>
      <c r="B538" s="232" t="s">
        <v>1249</v>
      </c>
      <c r="C538" s="92">
        <v>7.2000000000000002E-5</v>
      </c>
      <c r="D538" s="92">
        <v>6.6699999999999995E-5</v>
      </c>
      <c r="E538" s="236">
        <v>21165.479999999996</v>
      </c>
      <c r="F538" s="236">
        <v>29935</v>
      </c>
      <c r="G538" s="236">
        <v>152808.12</v>
      </c>
      <c r="H538" s="236"/>
      <c r="I538" s="237">
        <v>2871</v>
      </c>
      <c r="J538" s="237">
        <v>133909</v>
      </c>
      <c r="K538" s="237">
        <v>10466</v>
      </c>
      <c r="L538" s="236">
        <v>0</v>
      </c>
      <c r="M538" s="236"/>
      <c r="N538" s="237">
        <v>5355</v>
      </c>
      <c r="O538" s="237">
        <v>49425</v>
      </c>
      <c r="P538" s="237">
        <v>0</v>
      </c>
      <c r="Q538" s="236">
        <v>24519</v>
      </c>
      <c r="R538" s="237">
        <f t="shared" si="8"/>
        <v>84484</v>
      </c>
      <c r="S538" s="236"/>
      <c r="T538" s="237">
        <v>40843</v>
      </c>
      <c r="U538" s="238">
        <v>-9060</v>
      </c>
      <c r="V538" s="238">
        <v>31784</v>
      </c>
    </row>
    <row r="539" spans="1:22">
      <c r="A539" s="231">
        <v>95911</v>
      </c>
      <c r="B539" s="232" t="s">
        <v>1250</v>
      </c>
      <c r="C539" s="92">
        <v>5.6979999999999997E-4</v>
      </c>
      <c r="D539" s="92">
        <v>6.2100000000000002E-4</v>
      </c>
      <c r="E539" s="236">
        <v>226533.46999999997</v>
      </c>
      <c r="F539" s="236">
        <v>278701</v>
      </c>
      <c r="G539" s="236">
        <v>1209306</v>
      </c>
      <c r="H539" s="236"/>
      <c r="I539" s="237">
        <v>22721</v>
      </c>
      <c r="J539" s="237">
        <v>1059738</v>
      </c>
      <c r="K539" s="237">
        <v>82827</v>
      </c>
      <c r="L539" s="236">
        <v>4490</v>
      </c>
      <c r="M539" s="236"/>
      <c r="N539" s="237">
        <v>42375</v>
      </c>
      <c r="O539" s="237">
        <v>391144</v>
      </c>
      <c r="P539" s="237">
        <v>0</v>
      </c>
      <c r="Q539" s="236">
        <v>41660</v>
      </c>
      <c r="R539" s="237">
        <f t="shared" si="8"/>
        <v>668594</v>
      </c>
      <c r="S539" s="236"/>
      <c r="T539" s="237">
        <v>323230</v>
      </c>
      <c r="U539" s="238">
        <v>-11084</v>
      </c>
      <c r="V539" s="238">
        <v>312146</v>
      </c>
    </row>
    <row r="540" spans="1:22">
      <c r="A540" s="231">
        <v>95917</v>
      </c>
      <c r="B540" s="232" t="s">
        <v>1251</v>
      </c>
      <c r="C540" s="92">
        <v>2.2399999999999999E-5</v>
      </c>
      <c r="D540" s="92">
        <v>2.4499999999999999E-5</v>
      </c>
      <c r="E540" s="236">
        <v>9793.0600000000013</v>
      </c>
      <c r="F540" s="236">
        <v>10995</v>
      </c>
      <c r="G540" s="236">
        <v>47540</v>
      </c>
      <c r="H540" s="236"/>
      <c r="I540" s="237">
        <v>893</v>
      </c>
      <c r="J540" s="237">
        <v>41660</v>
      </c>
      <c r="K540" s="237">
        <v>3256</v>
      </c>
      <c r="L540" s="236">
        <v>4422</v>
      </c>
      <c r="M540" s="236"/>
      <c r="N540" s="237">
        <v>1666</v>
      </c>
      <c r="O540" s="237">
        <v>15377</v>
      </c>
      <c r="P540" s="237">
        <v>0</v>
      </c>
      <c r="Q540" s="236">
        <v>676</v>
      </c>
      <c r="R540" s="237">
        <f t="shared" si="8"/>
        <v>26283</v>
      </c>
      <c r="S540" s="236"/>
      <c r="T540" s="237">
        <v>12707</v>
      </c>
      <c r="U540" s="238">
        <v>1747</v>
      </c>
      <c r="V540" s="238">
        <v>14453</v>
      </c>
    </row>
    <row r="541" spans="1:22">
      <c r="A541" s="231">
        <v>95921</v>
      </c>
      <c r="B541" s="232" t="s">
        <v>1252</v>
      </c>
      <c r="C541" s="92">
        <v>4.4700000000000002E-5</v>
      </c>
      <c r="D541" s="92">
        <v>3.4600000000000001E-5</v>
      </c>
      <c r="E541" s="236">
        <v>16579.87</v>
      </c>
      <c r="F541" s="236">
        <v>15528</v>
      </c>
      <c r="G541" s="236">
        <v>94868</v>
      </c>
      <c r="H541" s="236"/>
      <c r="I541" s="237">
        <v>1782</v>
      </c>
      <c r="J541" s="237">
        <v>83135</v>
      </c>
      <c r="K541" s="237">
        <v>6498</v>
      </c>
      <c r="L541" s="236">
        <v>5096</v>
      </c>
      <c r="M541" s="236"/>
      <c r="N541" s="237">
        <v>3324</v>
      </c>
      <c r="O541" s="237">
        <v>30685</v>
      </c>
      <c r="P541" s="237">
        <v>0</v>
      </c>
      <c r="Q541" s="236">
        <v>1906</v>
      </c>
      <c r="R541" s="237">
        <f t="shared" si="8"/>
        <v>52450</v>
      </c>
      <c r="S541" s="236"/>
      <c r="T541" s="237">
        <v>25357</v>
      </c>
      <c r="U541" s="238">
        <v>463</v>
      </c>
      <c r="V541" s="238">
        <v>25820</v>
      </c>
    </row>
    <row r="542" spans="1:22">
      <c r="A542" s="231">
        <v>96001</v>
      </c>
      <c r="B542" s="232" t="s">
        <v>1253</v>
      </c>
      <c r="C542" s="92">
        <v>4.43519E-2</v>
      </c>
      <c r="D542" s="92">
        <v>4.41456E-2</v>
      </c>
      <c r="E542" s="236">
        <v>17742783.209999997</v>
      </c>
      <c r="F542" s="236">
        <v>19812280</v>
      </c>
      <c r="G542" s="236">
        <v>94129590</v>
      </c>
      <c r="H542" s="236"/>
      <c r="I542" s="237">
        <v>1768532</v>
      </c>
      <c r="J542" s="237">
        <v>82487526</v>
      </c>
      <c r="K542" s="237">
        <v>6447037</v>
      </c>
      <c r="L542" s="236">
        <v>2806449</v>
      </c>
      <c r="M542" s="236"/>
      <c r="N542" s="237">
        <v>3298406</v>
      </c>
      <c r="O542" s="237">
        <v>30445717</v>
      </c>
      <c r="P542" s="237">
        <v>0</v>
      </c>
      <c r="Q542" s="236">
        <v>282683</v>
      </c>
      <c r="R542" s="237">
        <f t="shared" si="8"/>
        <v>52041809</v>
      </c>
      <c r="S542" s="236"/>
      <c r="T542" s="237">
        <v>25159458</v>
      </c>
      <c r="U542" s="238">
        <v>1275874</v>
      </c>
      <c r="V542" s="238">
        <v>26435332</v>
      </c>
    </row>
    <row r="543" spans="1:22">
      <c r="A543" s="231">
        <v>96003</v>
      </c>
      <c r="B543" s="232" t="s">
        <v>1254</v>
      </c>
      <c r="C543" s="92">
        <v>1.7309000000000001E-3</v>
      </c>
      <c r="D543" s="92">
        <v>1.7633E-3</v>
      </c>
      <c r="E543" s="236">
        <v>655848.02</v>
      </c>
      <c r="F543" s="236">
        <v>791358</v>
      </c>
      <c r="G543" s="236">
        <v>3673550</v>
      </c>
      <c r="H543" s="236"/>
      <c r="I543" s="237">
        <v>69020</v>
      </c>
      <c r="J543" s="237">
        <v>3219201</v>
      </c>
      <c r="K543" s="237">
        <v>251605</v>
      </c>
      <c r="L543" s="236">
        <v>4786</v>
      </c>
      <c r="M543" s="236"/>
      <c r="N543" s="237">
        <v>128725</v>
      </c>
      <c r="O543" s="237">
        <v>1188190</v>
      </c>
      <c r="P543" s="237">
        <v>0</v>
      </c>
      <c r="Q543" s="236">
        <v>112661</v>
      </c>
      <c r="R543" s="237">
        <f t="shared" si="8"/>
        <v>2031011</v>
      </c>
      <c r="S543" s="236"/>
      <c r="T543" s="237">
        <v>981886</v>
      </c>
      <c r="U543" s="238">
        <v>-39821</v>
      </c>
      <c r="V543" s="238">
        <v>942065</v>
      </c>
    </row>
    <row r="544" spans="1:22">
      <c r="A544" s="231">
        <v>96004</v>
      </c>
      <c r="B544" s="232" t="s">
        <v>1255</v>
      </c>
      <c r="C544" s="92">
        <v>8.7699999999999996E-4</v>
      </c>
      <c r="D544" s="92">
        <v>8.208E-4</v>
      </c>
      <c r="E544" s="236">
        <v>400422.78</v>
      </c>
      <c r="F544" s="236">
        <v>368370</v>
      </c>
      <c r="G544" s="236">
        <v>1861288</v>
      </c>
      <c r="H544" s="236"/>
      <c r="I544" s="237">
        <v>34970.375</v>
      </c>
      <c r="J544" s="237">
        <v>1631081</v>
      </c>
      <c r="K544" s="237">
        <v>127482</v>
      </c>
      <c r="L544" s="236">
        <v>148722</v>
      </c>
      <c r="M544" s="236"/>
      <c r="N544" s="237">
        <v>65222</v>
      </c>
      <c r="O544" s="237">
        <v>602024</v>
      </c>
      <c r="P544" s="237">
        <v>0</v>
      </c>
      <c r="Q544" s="236">
        <v>0</v>
      </c>
      <c r="R544" s="237">
        <f t="shared" si="8"/>
        <v>1029057</v>
      </c>
      <c r="S544" s="236"/>
      <c r="T544" s="237">
        <v>497495</v>
      </c>
      <c r="U544" s="238">
        <v>52239</v>
      </c>
      <c r="V544" s="238">
        <v>549734</v>
      </c>
    </row>
    <row r="545" spans="1:22">
      <c r="A545" s="231">
        <v>96005</v>
      </c>
      <c r="B545" s="232" t="s">
        <v>1256</v>
      </c>
      <c r="C545" s="92">
        <v>2.6457E-3</v>
      </c>
      <c r="D545" s="92">
        <v>2.6692E-3</v>
      </c>
      <c r="E545" s="236">
        <v>1120531.6299999999</v>
      </c>
      <c r="F545" s="236">
        <v>1197921</v>
      </c>
      <c r="G545" s="236">
        <v>5615062</v>
      </c>
      <c r="H545" s="236"/>
      <c r="I545" s="237">
        <v>105497</v>
      </c>
      <c r="J545" s="237">
        <v>4920584</v>
      </c>
      <c r="K545" s="237">
        <v>384582</v>
      </c>
      <c r="L545" s="236">
        <v>345182</v>
      </c>
      <c r="M545" s="236"/>
      <c r="N545" s="237">
        <v>196758</v>
      </c>
      <c r="O545" s="237">
        <v>1816162</v>
      </c>
      <c r="P545" s="237">
        <v>0</v>
      </c>
      <c r="Q545" s="236">
        <v>0</v>
      </c>
      <c r="R545" s="237">
        <f t="shared" si="8"/>
        <v>3104422</v>
      </c>
      <c r="S545" s="236"/>
      <c r="T545" s="237">
        <v>1500824</v>
      </c>
      <c r="U545" s="238">
        <v>151849</v>
      </c>
      <c r="V545" s="238">
        <v>1652672</v>
      </c>
    </row>
    <row r="546" spans="1:22">
      <c r="A546" s="231">
        <v>96008</v>
      </c>
      <c r="B546" s="232" t="s">
        <v>1257</v>
      </c>
      <c r="C546" s="92">
        <v>5.9388000000000002E-3</v>
      </c>
      <c r="D546" s="92">
        <v>5.4187000000000003E-3</v>
      </c>
      <c r="E546" s="236">
        <v>1816865.04</v>
      </c>
      <c r="F546" s="236">
        <v>2431880</v>
      </c>
      <c r="G546" s="236">
        <v>12604123</v>
      </c>
      <c r="H546" s="236"/>
      <c r="I546" s="237">
        <v>236809.65</v>
      </c>
      <c r="J546" s="237">
        <v>11045230</v>
      </c>
      <c r="K546" s="237">
        <v>863270</v>
      </c>
      <c r="L546" s="236">
        <v>0</v>
      </c>
      <c r="M546" s="236"/>
      <c r="N546" s="237">
        <v>441663</v>
      </c>
      <c r="O546" s="237">
        <v>4076737</v>
      </c>
      <c r="P546" s="237">
        <v>0</v>
      </c>
      <c r="Q546" s="236">
        <v>411808</v>
      </c>
      <c r="R546" s="237">
        <f t="shared" si="8"/>
        <v>6968493</v>
      </c>
      <c r="S546" s="236"/>
      <c r="T546" s="237">
        <v>3368897</v>
      </c>
      <c r="U546" s="238">
        <v>-148661</v>
      </c>
      <c r="V546" s="238">
        <v>3220236</v>
      </c>
    </row>
    <row r="547" spans="1:22">
      <c r="A547" s="231">
        <v>96009</v>
      </c>
      <c r="B547" s="232" t="s">
        <v>1258</v>
      </c>
      <c r="C547" s="92">
        <v>3.5980000000000002E-4</v>
      </c>
      <c r="D547" s="92">
        <v>3.9110000000000002E-4</v>
      </c>
      <c r="E547" s="236">
        <v>164904.64000000001</v>
      </c>
      <c r="F547" s="236">
        <v>175523</v>
      </c>
      <c r="G547" s="236">
        <v>763616</v>
      </c>
      <c r="H547" s="236"/>
      <c r="I547" s="237">
        <v>14347</v>
      </c>
      <c r="J547" s="237">
        <v>669171</v>
      </c>
      <c r="K547" s="237">
        <v>52301</v>
      </c>
      <c r="L547" s="236">
        <v>12534</v>
      </c>
      <c r="M547" s="236"/>
      <c r="N547" s="237">
        <v>26758</v>
      </c>
      <c r="O547" s="237">
        <v>246988</v>
      </c>
      <c r="P547" s="237">
        <v>0</v>
      </c>
      <c r="Q547" s="236">
        <v>3502</v>
      </c>
      <c r="R547" s="237">
        <f t="shared" si="8"/>
        <v>422183</v>
      </c>
      <c r="S547" s="236"/>
      <c r="T547" s="237">
        <v>204103</v>
      </c>
      <c r="U547" s="238">
        <v>4895</v>
      </c>
      <c r="V547" s="238">
        <v>208999</v>
      </c>
    </row>
    <row r="548" spans="1:22">
      <c r="A548" s="231">
        <v>96011</v>
      </c>
      <c r="B548" s="232" t="s">
        <v>1259</v>
      </c>
      <c r="C548" s="92">
        <v>6.0489000000000001E-2</v>
      </c>
      <c r="D548" s="92">
        <v>5.8946100000000001E-2</v>
      </c>
      <c r="E548" s="236">
        <v>23738140.469999999</v>
      </c>
      <c r="F548" s="236">
        <v>26454656</v>
      </c>
      <c r="G548" s="236">
        <v>128377922</v>
      </c>
      <c r="H548" s="236"/>
      <c r="I548" s="237">
        <v>2411999</v>
      </c>
      <c r="J548" s="237">
        <v>112499983</v>
      </c>
      <c r="K548" s="237">
        <v>8792742</v>
      </c>
      <c r="L548" s="236">
        <v>167249</v>
      </c>
      <c r="M548" s="236"/>
      <c r="N548" s="237">
        <v>4498506</v>
      </c>
      <c r="O548" s="237">
        <v>41523158</v>
      </c>
      <c r="P548" s="237">
        <v>0</v>
      </c>
      <c r="Q548" s="236">
        <v>70330</v>
      </c>
      <c r="R548" s="237">
        <f t="shared" si="8"/>
        <v>70976825</v>
      </c>
      <c r="S548" s="236"/>
      <c r="T548" s="237">
        <v>34313535</v>
      </c>
      <c r="U548" s="238">
        <v>40438</v>
      </c>
      <c r="V548" s="238">
        <v>34353973</v>
      </c>
    </row>
    <row r="549" spans="1:22">
      <c r="A549" s="231">
        <v>96012</v>
      </c>
      <c r="B549" s="232" t="s">
        <v>1260</v>
      </c>
      <c r="C549" s="92">
        <v>2.4095000000000002E-3</v>
      </c>
      <c r="D549" s="92">
        <v>2.1905000000000002E-3</v>
      </c>
      <c r="E549" s="236">
        <v>930120.22000000009</v>
      </c>
      <c r="F549" s="236">
        <v>983083</v>
      </c>
      <c r="G549" s="236">
        <v>5113766</v>
      </c>
      <c r="H549" s="236"/>
      <c r="I549" s="237">
        <v>96079</v>
      </c>
      <c r="J549" s="237">
        <v>4481289</v>
      </c>
      <c r="K549" s="237">
        <v>350247</v>
      </c>
      <c r="L549" s="236">
        <v>112910</v>
      </c>
      <c r="M549" s="236"/>
      <c r="N549" s="237">
        <v>179192</v>
      </c>
      <c r="O549" s="237">
        <v>1654021</v>
      </c>
      <c r="P549" s="237">
        <v>0</v>
      </c>
      <c r="Q549" s="236">
        <v>0</v>
      </c>
      <c r="R549" s="237">
        <f t="shared" si="8"/>
        <v>2827268</v>
      </c>
      <c r="S549" s="236"/>
      <c r="T549" s="237">
        <v>1366835</v>
      </c>
      <c r="U549" s="238">
        <v>35829</v>
      </c>
      <c r="V549" s="238">
        <v>1402664</v>
      </c>
    </row>
    <row r="550" spans="1:22">
      <c r="A550" s="231">
        <v>96018</v>
      </c>
      <c r="B550" s="232" t="s">
        <v>1261</v>
      </c>
      <c r="C550" s="92">
        <v>3.6199999999999999E-5</v>
      </c>
      <c r="D550" s="92">
        <v>3.3599999999999997E-5</v>
      </c>
      <c r="E550" s="236">
        <v>13498.509999999998</v>
      </c>
      <c r="F550" s="236">
        <v>15079</v>
      </c>
      <c r="G550" s="236">
        <v>76829</v>
      </c>
      <c r="H550" s="236"/>
      <c r="I550" s="237">
        <v>1443.4749999999999</v>
      </c>
      <c r="J550" s="237">
        <v>67326</v>
      </c>
      <c r="K550" s="237">
        <v>5262</v>
      </c>
      <c r="L550" s="236">
        <v>11396</v>
      </c>
      <c r="M550" s="236"/>
      <c r="N550" s="237">
        <v>2692</v>
      </c>
      <c r="O550" s="237">
        <v>24850</v>
      </c>
      <c r="P550" s="237">
        <v>0</v>
      </c>
      <c r="Q550" s="236">
        <v>0</v>
      </c>
      <c r="R550" s="237">
        <f t="shared" si="8"/>
        <v>42476</v>
      </c>
      <c r="S550" s="236"/>
      <c r="T550" s="237">
        <v>20535</v>
      </c>
      <c r="U550" s="238">
        <v>5069</v>
      </c>
      <c r="V550" s="238">
        <v>25604</v>
      </c>
    </row>
    <row r="551" spans="1:22">
      <c r="A551" s="231">
        <v>96021</v>
      </c>
      <c r="B551" s="232" t="s">
        <v>1262</v>
      </c>
      <c r="C551" s="92">
        <v>8.5829999999999999E-4</v>
      </c>
      <c r="D551" s="92">
        <v>8.8719999999999999E-4</v>
      </c>
      <c r="E551" s="236">
        <v>330918.43</v>
      </c>
      <c r="F551" s="236">
        <v>398170</v>
      </c>
      <c r="G551" s="236">
        <v>1821600</v>
      </c>
      <c r="H551" s="236"/>
      <c r="I551" s="237">
        <v>34225</v>
      </c>
      <c r="J551" s="237">
        <v>1596302</v>
      </c>
      <c r="K551" s="237">
        <v>124763</v>
      </c>
      <c r="L551" s="236">
        <v>50366</v>
      </c>
      <c r="M551" s="236"/>
      <c r="N551" s="237">
        <v>63831</v>
      </c>
      <c r="O551" s="237">
        <v>589187</v>
      </c>
      <c r="P551" s="237">
        <v>0</v>
      </c>
      <c r="Q551" s="236">
        <v>33170</v>
      </c>
      <c r="R551" s="237">
        <f t="shared" si="8"/>
        <v>1007115</v>
      </c>
      <c r="S551" s="236"/>
      <c r="T551" s="237">
        <v>486887</v>
      </c>
      <c r="U551" s="238">
        <v>9814</v>
      </c>
      <c r="V551" s="238">
        <v>496701</v>
      </c>
    </row>
    <row r="552" spans="1:22">
      <c r="A552" s="231">
        <v>96031</v>
      </c>
      <c r="B552" s="232" t="s">
        <v>1263</v>
      </c>
      <c r="C552" s="92">
        <v>9.0189999999999997E-4</v>
      </c>
      <c r="D552" s="92">
        <v>8.116E-4</v>
      </c>
      <c r="E552" s="236">
        <v>268946.90999999997</v>
      </c>
      <c r="F552" s="236">
        <v>364241</v>
      </c>
      <c r="G552" s="236">
        <v>1914134</v>
      </c>
      <c r="H552" s="236"/>
      <c r="I552" s="237">
        <v>35963</v>
      </c>
      <c r="J552" s="237">
        <v>1677391</v>
      </c>
      <c r="K552" s="237">
        <v>131101</v>
      </c>
      <c r="L552" s="236">
        <v>0</v>
      </c>
      <c r="M552" s="236"/>
      <c r="N552" s="237">
        <v>67073</v>
      </c>
      <c r="O552" s="237">
        <v>619116</v>
      </c>
      <c r="P552" s="237">
        <v>0</v>
      </c>
      <c r="Q552" s="236">
        <v>136310</v>
      </c>
      <c r="R552" s="237">
        <f t="shared" si="8"/>
        <v>1058275</v>
      </c>
      <c r="S552" s="236"/>
      <c r="T552" s="237">
        <v>511620</v>
      </c>
      <c r="U552" s="238">
        <v>-50978</v>
      </c>
      <c r="V552" s="238">
        <v>460642</v>
      </c>
    </row>
    <row r="553" spans="1:22">
      <c r="A553" s="231">
        <v>96041</v>
      </c>
      <c r="B553" s="232" t="s">
        <v>1264</v>
      </c>
      <c r="C553" s="92">
        <v>1.7323E-3</v>
      </c>
      <c r="D553" s="92">
        <v>1.6793999999999999E-3</v>
      </c>
      <c r="E553" s="236">
        <v>616934.88000000012</v>
      </c>
      <c r="F553" s="236">
        <v>753705</v>
      </c>
      <c r="G553" s="236">
        <v>3676521</v>
      </c>
      <c r="H553" s="236"/>
      <c r="I553" s="237">
        <v>69075</v>
      </c>
      <c r="J553" s="237">
        <v>3221804</v>
      </c>
      <c r="K553" s="237">
        <v>251809</v>
      </c>
      <c r="L553" s="236">
        <v>0</v>
      </c>
      <c r="M553" s="236"/>
      <c r="N553" s="237">
        <v>128829</v>
      </c>
      <c r="O553" s="237">
        <v>1189151</v>
      </c>
      <c r="P553" s="237">
        <v>0</v>
      </c>
      <c r="Q553" s="236">
        <v>127191</v>
      </c>
      <c r="R553" s="237">
        <f t="shared" si="8"/>
        <v>2032653</v>
      </c>
      <c r="S553" s="236"/>
      <c r="T553" s="237">
        <v>982680</v>
      </c>
      <c r="U553" s="238">
        <v>-45617</v>
      </c>
      <c r="V553" s="238">
        <v>937063</v>
      </c>
    </row>
    <row r="554" spans="1:22">
      <c r="A554" s="231">
        <v>96051</v>
      </c>
      <c r="B554" s="232" t="s">
        <v>1265</v>
      </c>
      <c r="C554" s="92">
        <v>1.0258000000000001E-3</v>
      </c>
      <c r="D554" s="92">
        <v>1.0265999999999999E-3</v>
      </c>
      <c r="E554" s="236">
        <v>369762.41000000003</v>
      </c>
      <c r="F554" s="236">
        <v>460732</v>
      </c>
      <c r="G554" s="236">
        <v>2177091</v>
      </c>
      <c r="H554" s="236"/>
      <c r="I554" s="237">
        <v>40904</v>
      </c>
      <c r="J554" s="237">
        <v>1907826</v>
      </c>
      <c r="K554" s="237">
        <v>149111</v>
      </c>
      <c r="L554" s="236">
        <v>0</v>
      </c>
      <c r="M554" s="236"/>
      <c r="N554" s="237">
        <v>76288</v>
      </c>
      <c r="O554" s="237">
        <v>704169</v>
      </c>
      <c r="P554" s="237">
        <v>0</v>
      </c>
      <c r="Q554" s="236">
        <v>94345</v>
      </c>
      <c r="R554" s="237">
        <f t="shared" si="8"/>
        <v>1203657</v>
      </c>
      <c r="S554" s="236"/>
      <c r="T554" s="237">
        <v>581905</v>
      </c>
      <c r="U554" s="238">
        <v>-32749</v>
      </c>
      <c r="V554" s="238">
        <v>549156</v>
      </c>
    </row>
    <row r="555" spans="1:22">
      <c r="A555" s="231">
        <v>96061</v>
      </c>
      <c r="B555" s="232" t="s">
        <v>1266</v>
      </c>
      <c r="C555" s="92">
        <v>3.0800000000000001E-4</v>
      </c>
      <c r="D555" s="92">
        <v>3.1809999999999998E-4</v>
      </c>
      <c r="E555" s="236">
        <v>123610.23999999999</v>
      </c>
      <c r="F555" s="236">
        <v>142761</v>
      </c>
      <c r="G555" s="236">
        <v>653679</v>
      </c>
      <c r="H555" s="236"/>
      <c r="I555" s="237">
        <v>12281.5</v>
      </c>
      <c r="J555" s="237">
        <v>572831</v>
      </c>
      <c r="K555" s="237">
        <v>44771</v>
      </c>
      <c r="L555" s="236">
        <v>2239</v>
      </c>
      <c r="M555" s="236"/>
      <c r="N555" s="237">
        <v>22906</v>
      </c>
      <c r="O555" s="237">
        <v>211429</v>
      </c>
      <c r="P555" s="237">
        <v>0</v>
      </c>
      <c r="Q555" s="236">
        <v>11106</v>
      </c>
      <c r="R555" s="237">
        <f t="shared" si="8"/>
        <v>361402</v>
      </c>
      <c r="S555" s="236"/>
      <c r="T555" s="237">
        <v>174719</v>
      </c>
      <c r="U555" s="238">
        <v>-2865</v>
      </c>
      <c r="V555" s="238">
        <v>171854</v>
      </c>
    </row>
    <row r="556" spans="1:22">
      <c r="A556" s="231">
        <v>96071</v>
      </c>
      <c r="B556" s="232" t="s">
        <v>1267</v>
      </c>
      <c r="C556" s="92">
        <v>1.1280999999999999E-3</v>
      </c>
      <c r="D556" s="92">
        <v>1.2979000000000001E-3</v>
      </c>
      <c r="E556" s="236">
        <v>475581.26</v>
      </c>
      <c r="F556" s="236">
        <v>582490</v>
      </c>
      <c r="G556" s="236">
        <v>2394206</v>
      </c>
      <c r="H556" s="236"/>
      <c r="I556" s="237">
        <v>44983</v>
      </c>
      <c r="J556" s="237">
        <v>2098088</v>
      </c>
      <c r="K556" s="237">
        <v>163982</v>
      </c>
      <c r="L556" s="236">
        <v>64300</v>
      </c>
      <c r="M556" s="236"/>
      <c r="N556" s="237">
        <v>83896</v>
      </c>
      <c r="O556" s="237">
        <v>774393</v>
      </c>
      <c r="P556" s="237">
        <v>0</v>
      </c>
      <c r="Q556" s="236">
        <v>103673</v>
      </c>
      <c r="R556" s="237">
        <f t="shared" si="8"/>
        <v>1323695</v>
      </c>
      <c r="S556" s="236"/>
      <c r="T556" s="237">
        <v>639936</v>
      </c>
      <c r="U556" s="238">
        <v>-9157</v>
      </c>
      <c r="V556" s="238">
        <v>630779</v>
      </c>
    </row>
    <row r="557" spans="1:22">
      <c r="A557" s="231">
        <v>96081</v>
      </c>
      <c r="B557" s="232" t="s">
        <v>1268</v>
      </c>
      <c r="C557" s="92">
        <v>4.7820000000000002E-4</v>
      </c>
      <c r="D557" s="92">
        <v>4.3820000000000003E-4</v>
      </c>
      <c r="E557" s="236">
        <v>172267.02000000002</v>
      </c>
      <c r="F557" s="236">
        <v>196662</v>
      </c>
      <c r="G557" s="236">
        <v>1014901</v>
      </c>
      <c r="H557" s="236"/>
      <c r="I557" s="237">
        <v>19068</v>
      </c>
      <c r="J557" s="237">
        <v>889376</v>
      </c>
      <c r="K557" s="237">
        <v>69512</v>
      </c>
      <c r="L557" s="236">
        <v>14379</v>
      </c>
      <c r="M557" s="236"/>
      <c r="N557" s="237">
        <v>35563</v>
      </c>
      <c r="O557" s="237">
        <v>328264</v>
      </c>
      <c r="P557" s="237">
        <v>0</v>
      </c>
      <c r="Q557" s="236">
        <v>6375</v>
      </c>
      <c r="R557" s="237">
        <f t="shared" si="8"/>
        <v>561112</v>
      </c>
      <c r="S557" s="236"/>
      <c r="T557" s="237">
        <v>271268</v>
      </c>
      <c r="U557" s="238">
        <v>4406</v>
      </c>
      <c r="V557" s="238">
        <v>275674</v>
      </c>
    </row>
    <row r="558" spans="1:22">
      <c r="A558" s="231">
        <v>96101</v>
      </c>
      <c r="B558" s="232" t="s">
        <v>1269</v>
      </c>
      <c r="C558" s="92">
        <v>7.5860000000000001E-4</v>
      </c>
      <c r="D558" s="92">
        <v>7.6990000000000001E-4</v>
      </c>
      <c r="E558" s="236">
        <v>313732.09000000003</v>
      </c>
      <c r="F558" s="236">
        <v>345527</v>
      </c>
      <c r="G558" s="236">
        <v>1610003</v>
      </c>
      <c r="H558" s="236"/>
      <c r="I558" s="237">
        <v>30249</v>
      </c>
      <c r="J558" s="237">
        <v>1410876</v>
      </c>
      <c r="K558" s="237">
        <v>110271</v>
      </c>
      <c r="L558" s="236">
        <v>31021</v>
      </c>
      <c r="M558" s="236"/>
      <c r="N558" s="237">
        <v>56416</v>
      </c>
      <c r="O558" s="237">
        <v>520747</v>
      </c>
      <c r="P558" s="237">
        <v>0</v>
      </c>
      <c r="Q558" s="236">
        <v>4721</v>
      </c>
      <c r="R558" s="237">
        <f t="shared" si="8"/>
        <v>890129</v>
      </c>
      <c r="S558" s="236"/>
      <c r="T558" s="237">
        <v>430330</v>
      </c>
      <c r="U558" s="238">
        <v>11900</v>
      </c>
      <c r="V558" s="238">
        <v>442230</v>
      </c>
    </row>
    <row r="559" spans="1:22">
      <c r="A559" s="231">
        <v>96102</v>
      </c>
      <c r="B559" s="232" t="s">
        <v>1270</v>
      </c>
      <c r="C559" s="92">
        <v>1.42E-5</v>
      </c>
      <c r="D559" s="92">
        <v>1.3699999999999999E-5</v>
      </c>
      <c r="E559" s="236">
        <v>4769.91</v>
      </c>
      <c r="F559" s="236">
        <v>6148</v>
      </c>
      <c r="G559" s="236">
        <v>30137</v>
      </c>
      <c r="H559" s="236"/>
      <c r="I559" s="237">
        <v>566.22500000000002</v>
      </c>
      <c r="J559" s="237">
        <v>26410</v>
      </c>
      <c r="K559" s="237">
        <v>2064</v>
      </c>
      <c r="L559" s="236">
        <v>0</v>
      </c>
      <c r="M559" s="236"/>
      <c r="N559" s="237">
        <v>1056</v>
      </c>
      <c r="O559" s="237">
        <v>9748</v>
      </c>
      <c r="P559" s="237">
        <v>0</v>
      </c>
      <c r="Q559" s="236">
        <v>2903</v>
      </c>
      <c r="R559" s="237">
        <f t="shared" si="8"/>
        <v>16662</v>
      </c>
      <c r="S559" s="236"/>
      <c r="T559" s="237">
        <v>8055</v>
      </c>
      <c r="U559" s="238">
        <v>-1101</v>
      </c>
      <c r="V559" s="238">
        <v>6954</v>
      </c>
    </row>
    <row r="560" spans="1:22">
      <c r="A560" s="231">
        <v>96111</v>
      </c>
      <c r="B560" s="232" t="s">
        <v>1271</v>
      </c>
      <c r="C560" s="92">
        <v>1.6119999999999999E-4</v>
      </c>
      <c r="D560" s="92">
        <v>1.616E-4</v>
      </c>
      <c r="E560" s="236">
        <v>70991.37</v>
      </c>
      <c r="F560" s="236">
        <v>72525</v>
      </c>
      <c r="G560" s="236">
        <v>342120</v>
      </c>
      <c r="H560" s="236"/>
      <c r="I560" s="237">
        <v>6428</v>
      </c>
      <c r="J560" s="237">
        <v>299807</v>
      </c>
      <c r="K560" s="237">
        <v>23432</v>
      </c>
      <c r="L560" s="236">
        <v>16577</v>
      </c>
      <c r="M560" s="236"/>
      <c r="N560" s="237">
        <v>11988</v>
      </c>
      <c r="O560" s="237">
        <v>110657</v>
      </c>
      <c r="P560" s="237">
        <v>0</v>
      </c>
      <c r="Q560" s="236">
        <v>0</v>
      </c>
      <c r="R560" s="237">
        <f t="shared" si="8"/>
        <v>189150</v>
      </c>
      <c r="S560" s="236"/>
      <c r="T560" s="237">
        <v>91444</v>
      </c>
      <c r="U560" s="238">
        <v>7175</v>
      </c>
      <c r="V560" s="238">
        <v>98618</v>
      </c>
    </row>
    <row r="561" spans="1:22">
      <c r="A561" s="231">
        <v>96121</v>
      </c>
      <c r="B561" s="232" t="s">
        <v>1272</v>
      </c>
      <c r="C561" s="92">
        <v>2.2099999999999998E-5</v>
      </c>
      <c r="D561" s="92">
        <v>1.9199999999999999E-5</v>
      </c>
      <c r="E561" s="236">
        <v>7784.73</v>
      </c>
      <c r="F561" s="236">
        <v>8617</v>
      </c>
      <c r="G561" s="236">
        <v>46904</v>
      </c>
      <c r="H561" s="236"/>
      <c r="I561" s="237">
        <v>881.23749999999995</v>
      </c>
      <c r="J561" s="237">
        <v>41103</v>
      </c>
      <c r="K561" s="237">
        <v>3212</v>
      </c>
      <c r="L561" s="236">
        <v>535</v>
      </c>
      <c r="M561" s="236"/>
      <c r="N561" s="237">
        <v>1644</v>
      </c>
      <c r="O561" s="237">
        <v>15171</v>
      </c>
      <c r="P561" s="237">
        <v>0</v>
      </c>
      <c r="Q561" s="236">
        <v>1907</v>
      </c>
      <c r="R561" s="237">
        <f t="shared" si="8"/>
        <v>25932</v>
      </c>
      <c r="S561" s="236"/>
      <c r="T561" s="237">
        <v>12537</v>
      </c>
      <c r="U561" s="238">
        <v>-758</v>
      </c>
      <c r="V561" s="238">
        <v>11779</v>
      </c>
    </row>
    <row r="562" spans="1:22">
      <c r="A562" s="231">
        <v>96201</v>
      </c>
      <c r="B562" s="232" t="s">
        <v>1273</v>
      </c>
      <c r="C562" s="92">
        <v>1.2302999999999999E-3</v>
      </c>
      <c r="D562" s="92">
        <v>1.2474000000000001E-3</v>
      </c>
      <c r="E562" s="236">
        <v>481242.57</v>
      </c>
      <c r="F562" s="236">
        <v>559826</v>
      </c>
      <c r="G562" s="236">
        <v>2611109</v>
      </c>
      <c r="H562" s="236"/>
      <c r="I562" s="237">
        <v>49058</v>
      </c>
      <c r="J562" s="237">
        <v>2288164</v>
      </c>
      <c r="K562" s="237">
        <v>178838</v>
      </c>
      <c r="L562" s="236">
        <v>0</v>
      </c>
      <c r="M562" s="236"/>
      <c r="N562" s="237">
        <v>91496</v>
      </c>
      <c r="O562" s="237">
        <v>844549</v>
      </c>
      <c r="P562" s="237">
        <v>0</v>
      </c>
      <c r="Q562" s="236">
        <v>39692</v>
      </c>
      <c r="R562" s="237">
        <f t="shared" si="8"/>
        <v>1443615</v>
      </c>
      <c r="S562" s="236"/>
      <c r="T562" s="237">
        <v>697911</v>
      </c>
      <c r="U562" s="238">
        <v>-11921</v>
      </c>
      <c r="V562" s="238">
        <v>685990</v>
      </c>
    </row>
    <row r="563" spans="1:22">
      <c r="A563" s="231">
        <v>96204</v>
      </c>
      <c r="B563" s="232" t="s">
        <v>1274</v>
      </c>
      <c r="C563" s="92">
        <v>1.5400000000000002E-5</v>
      </c>
      <c r="D563" s="92">
        <v>1.49E-5</v>
      </c>
      <c r="E563" s="236">
        <v>7656.0400000000009</v>
      </c>
      <c r="F563" s="236">
        <v>6687</v>
      </c>
      <c r="G563" s="236">
        <v>32684</v>
      </c>
      <c r="H563" s="236"/>
      <c r="I563" s="237">
        <v>614</v>
      </c>
      <c r="J563" s="237">
        <v>28642</v>
      </c>
      <c r="K563" s="237">
        <v>2239</v>
      </c>
      <c r="L563" s="236">
        <v>3853</v>
      </c>
      <c r="M563" s="236"/>
      <c r="N563" s="237">
        <v>1145</v>
      </c>
      <c r="O563" s="237">
        <v>10571</v>
      </c>
      <c r="P563" s="237">
        <v>0</v>
      </c>
      <c r="Q563" s="236">
        <v>0</v>
      </c>
      <c r="R563" s="237">
        <f t="shared" si="8"/>
        <v>18071</v>
      </c>
      <c r="S563" s="236"/>
      <c r="T563" s="237">
        <v>8736</v>
      </c>
      <c r="U563" s="238">
        <v>1392</v>
      </c>
      <c r="V563" s="238">
        <v>10127</v>
      </c>
    </row>
    <row r="564" spans="1:22">
      <c r="A564" s="231">
        <v>96211</v>
      </c>
      <c r="B564" s="232" t="s">
        <v>1275</v>
      </c>
      <c r="C564" s="92">
        <v>3.0700000000000001E-5</v>
      </c>
      <c r="D564" s="92">
        <v>2.7399999999999999E-5</v>
      </c>
      <c r="E564" s="236">
        <v>14055.49</v>
      </c>
      <c r="F564" s="236">
        <v>12297</v>
      </c>
      <c r="G564" s="236">
        <v>65156</v>
      </c>
      <c r="H564" s="236"/>
      <c r="I564" s="237">
        <v>1224</v>
      </c>
      <c r="J564" s="237">
        <v>57097</v>
      </c>
      <c r="K564" s="237">
        <v>4463</v>
      </c>
      <c r="L564" s="236">
        <v>5441</v>
      </c>
      <c r="M564" s="236"/>
      <c r="N564" s="237">
        <v>2283</v>
      </c>
      <c r="O564" s="237">
        <v>21074</v>
      </c>
      <c r="P564" s="237">
        <v>0</v>
      </c>
      <c r="Q564" s="236">
        <v>8968.93</v>
      </c>
      <c r="R564" s="237">
        <f t="shared" si="8"/>
        <v>36023</v>
      </c>
      <c r="S564" s="236"/>
      <c r="T564" s="237">
        <v>17415</v>
      </c>
      <c r="U564" s="238">
        <v>-2857</v>
      </c>
      <c r="V564" s="238">
        <v>14558</v>
      </c>
    </row>
    <row r="565" spans="1:22">
      <c r="A565" s="231">
        <v>96221</v>
      </c>
      <c r="B565" s="232" t="s">
        <v>1276</v>
      </c>
      <c r="C565" s="92">
        <v>2.287E-4</v>
      </c>
      <c r="D565" s="92">
        <v>2.3719999999999999E-4</v>
      </c>
      <c r="E565" s="236">
        <v>88753.9</v>
      </c>
      <c r="F565" s="236">
        <v>106454</v>
      </c>
      <c r="G565" s="236">
        <v>485378</v>
      </c>
      <c r="H565" s="236"/>
      <c r="I565" s="237">
        <v>9119</v>
      </c>
      <c r="J565" s="237">
        <v>425346</v>
      </c>
      <c r="K565" s="237">
        <v>33244</v>
      </c>
      <c r="L565" s="236">
        <v>4903</v>
      </c>
      <c r="M565" s="236"/>
      <c r="N565" s="237">
        <v>17008</v>
      </c>
      <c r="O565" s="237">
        <v>156993</v>
      </c>
      <c r="P565" s="237">
        <v>0</v>
      </c>
      <c r="Q565" s="236">
        <v>16105</v>
      </c>
      <c r="R565" s="237">
        <f t="shared" si="8"/>
        <v>268353</v>
      </c>
      <c r="S565" s="236"/>
      <c r="T565" s="237">
        <v>129734</v>
      </c>
      <c r="U565" s="238">
        <v>-2405</v>
      </c>
      <c r="V565" s="238">
        <v>127329</v>
      </c>
    </row>
    <row r="566" spans="1:22">
      <c r="A566" s="231">
        <v>96231</v>
      </c>
      <c r="B566" s="232" t="s">
        <v>1277</v>
      </c>
      <c r="C566" s="92">
        <v>1.145E-4</v>
      </c>
      <c r="D566" s="92">
        <v>1.2420000000000001E-4</v>
      </c>
      <c r="E566" s="236">
        <v>40508.479999999996</v>
      </c>
      <c r="F566" s="236">
        <v>55740</v>
      </c>
      <c r="G566" s="236">
        <v>243007</v>
      </c>
      <c r="H566" s="236"/>
      <c r="I566" s="237">
        <v>4565.6875</v>
      </c>
      <c r="J566" s="237">
        <v>212952</v>
      </c>
      <c r="K566" s="237">
        <v>16644</v>
      </c>
      <c r="L566" s="236">
        <v>0</v>
      </c>
      <c r="M566" s="236"/>
      <c r="N566" s="237">
        <v>8515</v>
      </c>
      <c r="O566" s="237">
        <v>78599</v>
      </c>
      <c r="P566" s="237">
        <v>0</v>
      </c>
      <c r="Q566" s="236">
        <v>22692</v>
      </c>
      <c r="R566" s="237">
        <f t="shared" si="8"/>
        <v>134353</v>
      </c>
      <c r="S566" s="236"/>
      <c r="T566" s="237">
        <v>64952</v>
      </c>
      <c r="U566" s="238">
        <v>-7733</v>
      </c>
      <c r="V566" s="238">
        <v>57219</v>
      </c>
    </row>
    <row r="567" spans="1:22">
      <c r="A567" s="231">
        <v>96241</v>
      </c>
      <c r="B567" s="232" t="s">
        <v>1278</v>
      </c>
      <c r="C567" s="92">
        <v>4.6100000000000002E-5</v>
      </c>
      <c r="D567" s="92">
        <v>5.7000000000000003E-5</v>
      </c>
      <c r="E567" s="236">
        <v>18964.25</v>
      </c>
      <c r="F567" s="236">
        <v>25581</v>
      </c>
      <c r="G567" s="236">
        <v>97840</v>
      </c>
      <c r="H567" s="236"/>
      <c r="I567" s="237">
        <v>1838</v>
      </c>
      <c r="J567" s="237">
        <v>85739</v>
      </c>
      <c r="K567" s="237">
        <v>6701</v>
      </c>
      <c r="L567" s="236">
        <v>7866</v>
      </c>
      <c r="M567" s="236"/>
      <c r="N567" s="237">
        <v>3428</v>
      </c>
      <c r="O567" s="237">
        <v>31646</v>
      </c>
      <c r="P567" s="237">
        <v>0</v>
      </c>
      <c r="Q567" s="236">
        <v>5900</v>
      </c>
      <c r="R567" s="237">
        <f t="shared" si="8"/>
        <v>54093</v>
      </c>
      <c r="S567" s="236"/>
      <c r="T567" s="237">
        <v>26151</v>
      </c>
      <c r="U567" s="238">
        <v>2187</v>
      </c>
      <c r="V567" s="238">
        <v>28338</v>
      </c>
    </row>
    <row r="568" spans="1:22">
      <c r="A568" s="231">
        <v>96251</v>
      </c>
      <c r="B568" s="232" t="s">
        <v>1279</v>
      </c>
      <c r="C568" s="92">
        <v>7.7100000000000004E-5</v>
      </c>
      <c r="D568" s="92">
        <v>9.0699999999999996E-5</v>
      </c>
      <c r="E568" s="236">
        <v>29404.75</v>
      </c>
      <c r="F568" s="236">
        <v>40706</v>
      </c>
      <c r="G568" s="236">
        <v>163632</v>
      </c>
      <c r="H568" s="236"/>
      <c r="I568" s="237">
        <v>3074</v>
      </c>
      <c r="J568" s="237">
        <v>143394</v>
      </c>
      <c r="K568" s="237">
        <v>11207</v>
      </c>
      <c r="L568" s="236">
        <v>0</v>
      </c>
      <c r="M568" s="236"/>
      <c r="N568" s="237">
        <v>5734</v>
      </c>
      <c r="O568" s="237">
        <v>52926</v>
      </c>
      <c r="P568" s="237">
        <v>0</v>
      </c>
      <c r="Q568" s="236">
        <v>25538</v>
      </c>
      <c r="R568" s="237">
        <f t="shared" si="8"/>
        <v>90468</v>
      </c>
      <c r="S568" s="236"/>
      <c r="T568" s="237">
        <v>43736</v>
      </c>
      <c r="U568" s="238">
        <v>-8652</v>
      </c>
      <c r="V568" s="238">
        <v>35085</v>
      </c>
    </row>
    <row r="569" spans="1:22">
      <c r="A569" s="231">
        <v>96301</v>
      </c>
      <c r="B569" s="232" t="s">
        <v>1280</v>
      </c>
      <c r="C569" s="92">
        <v>4.3785999999999999E-3</v>
      </c>
      <c r="D569" s="92">
        <v>4.5367999999999997E-3</v>
      </c>
      <c r="E569" s="236">
        <v>1765528.9300000002</v>
      </c>
      <c r="F569" s="236">
        <v>2036089</v>
      </c>
      <c r="G569" s="236">
        <v>9292856</v>
      </c>
      <c r="H569" s="236"/>
      <c r="I569" s="237">
        <v>174597</v>
      </c>
      <c r="J569" s="237">
        <v>8143504</v>
      </c>
      <c r="K569" s="237">
        <v>636478</v>
      </c>
      <c r="L569" s="236">
        <v>94185</v>
      </c>
      <c r="M569" s="236"/>
      <c r="N569" s="237">
        <v>325632</v>
      </c>
      <c r="O569" s="237">
        <v>3005725</v>
      </c>
      <c r="P569" s="237">
        <v>0</v>
      </c>
      <c r="Q569" s="236">
        <v>147101</v>
      </c>
      <c r="R569" s="237">
        <f t="shared" si="8"/>
        <v>5137779</v>
      </c>
      <c r="S569" s="236"/>
      <c r="T569" s="237">
        <v>2483844</v>
      </c>
      <c r="U569" s="238">
        <v>-12863</v>
      </c>
      <c r="V569" s="238">
        <v>2470981</v>
      </c>
    </row>
    <row r="570" spans="1:22">
      <c r="A570" s="231">
        <v>96302</v>
      </c>
      <c r="B570" s="232" t="s">
        <v>1281</v>
      </c>
      <c r="C570" s="92">
        <v>1.9199999999999999E-5</v>
      </c>
      <c r="D570" s="92">
        <v>1.42E-5</v>
      </c>
      <c r="E570" s="236">
        <v>6636.09</v>
      </c>
      <c r="F570" s="236">
        <v>6373</v>
      </c>
      <c r="G570" s="236">
        <v>40749</v>
      </c>
      <c r="H570" s="236"/>
      <c r="I570" s="237">
        <v>766</v>
      </c>
      <c r="J570" s="237">
        <v>35709</v>
      </c>
      <c r="K570" s="237">
        <v>2791</v>
      </c>
      <c r="L570" s="236">
        <v>4449</v>
      </c>
      <c r="M570" s="236"/>
      <c r="N570" s="237">
        <v>1428</v>
      </c>
      <c r="O570" s="237">
        <v>13180</v>
      </c>
      <c r="P570" s="237">
        <v>0</v>
      </c>
      <c r="Q570" s="236">
        <v>0</v>
      </c>
      <c r="R570" s="237">
        <f t="shared" si="8"/>
        <v>22529</v>
      </c>
      <c r="S570" s="236"/>
      <c r="T570" s="237">
        <v>10892</v>
      </c>
      <c r="U570" s="238">
        <v>1514</v>
      </c>
      <c r="V570" s="238">
        <v>12406</v>
      </c>
    </row>
    <row r="571" spans="1:22">
      <c r="A571" s="231">
        <v>96304</v>
      </c>
      <c r="B571" s="232" t="s">
        <v>1282</v>
      </c>
      <c r="C571" s="92">
        <v>5.4599999999999999E-5</v>
      </c>
      <c r="D571" s="92">
        <v>5.24E-5</v>
      </c>
      <c r="E571" s="236">
        <v>25715.360000000001</v>
      </c>
      <c r="F571" s="236">
        <v>23517</v>
      </c>
      <c r="G571" s="236">
        <v>115879</v>
      </c>
      <c r="H571" s="236"/>
      <c r="I571" s="237">
        <v>2177</v>
      </c>
      <c r="J571" s="237">
        <v>101547</v>
      </c>
      <c r="K571" s="237">
        <v>7937</v>
      </c>
      <c r="L571" s="236">
        <v>7913</v>
      </c>
      <c r="M571" s="236"/>
      <c r="N571" s="237">
        <v>4061</v>
      </c>
      <c r="O571" s="237">
        <v>37481</v>
      </c>
      <c r="P571" s="237">
        <v>0</v>
      </c>
      <c r="Q571" s="236">
        <v>231</v>
      </c>
      <c r="R571" s="237">
        <f t="shared" si="8"/>
        <v>64066</v>
      </c>
      <c r="S571" s="236"/>
      <c r="T571" s="237">
        <v>30973</v>
      </c>
      <c r="U571" s="238">
        <v>2329</v>
      </c>
      <c r="V571" s="238">
        <v>33302</v>
      </c>
    </row>
    <row r="572" spans="1:22">
      <c r="A572" s="231">
        <v>96305</v>
      </c>
      <c r="B572" s="232" t="s">
        <v>1283</v>
      </c>
      <c r="C572" s="92">
        <v>4.8199999999999999E-5</v>
      </c>
      <c r="D572" s="92">
        <v>5.0399999999999999E-5</v>
      </c>
      <c r="E572" s="236">
        <v>28361.089999999997</v>
      </c>
      <c r="F572" s="236">
        <v>22619</v>
      </c>
      <c r="G572" s="236">
        <v>102297</v>
      </c>
      <c r="H572" s="236"/>
      <c r="I572" s="237">
        <v>1921.9749999999999</v>
      </c>
      <c r="J572" s="237">
        <v>89644</v>
      </c>
      <c r="K572" s="237">
        <v>7006</v>
      </c>
      <c r="L572" s="236">
        <v>10711</v>
      </c>
      <c r="M572" s="236"/>
      <c r="N572" s="237">
        <v>3585</v>
      </c>
      <c r="O572" s="237">
        <v>33087</v>
      </c>
      <c r="P572" s="237">
        <v>0</v>
      </c>
      <c r="Q572" s="236">
        <v>0</v>
      </c>
      <c r="R572" s="237">
        <f t="shared" si="8"/>
        <v>56557</v>
      </c>
      <c r="S572" s="236"/>
      <c r="T572" s="237">
        <v>27342</v>
      </c>
      <c r="U572" s="238">
        <v>3278</v>
      </c>
      <c r="V572" s="238">
        <v>30620</v>
      </c>
    </row>
    <row r="573" spans="1:22">
      <c r="A573" s="231">
        <v>96310</v>
      </c>
      <c r="B573" s="232" t="s">
        <v>1284</v>
      </c>
      <c r="C573" s="92">
        <v>4.88E-5</v>
      </c>
      <c r="D573" s="92">
        <v>6.1299999999999999E-5</v>
      </c>
      <c r="E573" s="236">
        <v>23402.659999999996</v>
      </c>
      <c r="F573" s="236">
        <v>27511</v>
      </c>
      <c r="G573" s="236">
        <v>103570</v>
      </c>
      <c r="H573" s="236"/>
      <c r="I573" s="237">
        <v>1945.9</v>
      </c>
      <c r="J573" s="237">
        <v>90760</v>
      </c>
      <c r="K573" s="237">
        <v>7094</v>
      </c>
      <c r="L573" s="236">
        <v>6056</v>
      </c>
      <c r="M573" s="236"/>
      <c r="N573" s="237">
        <v>3629</v>
      </c>
      <c r="O573" s="237">
        <v>33499</v>
      </c>
      <c r="P573" s="237">
        <v>0</v>
      </c>
      <c r="Q573" s="236">
        <v>4123</v>
      </c>
      <c r="R573" s="237">
        <f t="shared" si="8"/>
        <v>57261</v>
      </c>
      <c r="S573" s="236"/>
      <c r="T573" s="237">
        <v>27683</v>
      </c>
      <c r="U573" s="238">
        <v>1701</v>
      </c>
      <c r="V573" s="238">
        <v>29384</v>
      </c>
    </row>
    <row r="574" spans="1:22">
      <c r="A574" s="231">
        <v>96311</v>
      </c>
      <c r="B574" s="232" t="s">
        <v>1285</v>
      </c>
      <c r="C574" s="92">
        <v>1.4082999999999999E-3</v>
      </c>
      <c r="D574" s="92">
        <v>1.4383E-3</v>
      </c>
      <c r="E574" s="236">
        <v>512325.3</v>
      </c>
      <c r="F574" s="236">
        <v>645500</v>
      </c>
      <c r="G574" s="236">
        <v>2988884</v>
      </c>
      <c r="H574" s="236"/>
      <c r="I574" s="237">
        <v>56156</v>
      </c>
      <c r="J574" s="237">
        <v>2619215</v>
      </c>
      <c r="K574" s="237">
        <v>204712</v>
      </c>
      <c r="L574" s="236">
        <v>22194.47</v>
      </c>
      <c r="M574" s="236"/>
      <c r="N574" s="237">
        <v>104734</v>
      </c>
      <c r="O574" s="237">
        <v>966739</v>
      </c>
      <c r="P574" s="237">
        <v>0</v>
      </c>
      <c r="Q574" s="236">
        <v>96281</v>
      </c>
      <c r="R574" s="237">
        <f t="shared" si="8"/>
        <v>1652476</v>
      </c>
      <c r="S574" s="236"/>
      <c r="T574" s="237">
        <v>798885</v>
      </c>
      <c r="U574" s="238">
        <v>-16365</v>
      </c>
      <c r="V574" s="238">
        <v>782520</v>
      </c>
    </row>
    <row r="575" spans="1:22">
      <c r="A575" s="231">
        <v>96312</v>
      </c>
      <c r="B575" s="232" t="s">
        <v>1286</v>
      </c>
      <c r="C575" s="92">
        <v>1.5999999999999999E-6</v>
      </c>
      <c r="D575" s="92">
        <v>4.7999999999999998E-6</v>
      </c>
      <c r="E575" s="236">
        <v>1991.6599999999999</v>
      </c>
      <c r="F575" s="236">
        <v>2154</v>
      </c>
      <c r="G575" s="236">
        <v>3396</v>
      </c>
      <c r="H575" s="236"/>
      <c r="I575" s="237">
        <v>63.8</v>
      </c>
      <c r="J575" s="237">
        <v>2976</v>
      </c>
      <c r="K575" s="237">
        <v>233</v>
      </c>
      <c r="L575" s="236">
        <v>51</v>
      </c>
      <c r="M575" s="236"/>
      <c r="N575" s="237">
        <v>119</v>
      </c>
      <c r="O575" s="237">
        <v>1098</v>
      </c>
      <c r="P575" s="237">
        <v>0</v>
      </c>
      <c r="Q575" s="236">
        <v>3416</v>
      </c>
      <c r="R575" s="237">
        <f t="shared" si="8"/>
        <v>1878</v>
      </c>
      <c r="S575" s="236"/>
      <c r="T575" s="237">
        <v>908</v>
      </c>
      <c r="U575" s="238">
        <v>-1534</v>
      </c>
      <c r="V575" s="238">
        <v>-627</v>
      </c>
    </row>
    <row r="576" spans="1:22">
      <c r="A576" s="231">
        <v>96318</v>
      </c>
      <c r="B576" s="232" t="s">
        <v>1287</v>
      </c>
      <c r="C576" s="92">
        <v>1.7782E-3</v>
      </c>
      <c r="D576" s="92">
        <v>0</v>
      </c>
      <c r="E576" s="236">
        <v>12089019.32</v>
      </c>
      <c r="F576" s="236">
        <v>0</v>
      </c>
      <c r="G576" s="236">
        <v>3773936</v>
      </c>
      <c r="H576" s="236"/>
      <c r="I576" s="237">
        <v>70906</v>
      </c>
      <c r="J576" s="237">
        <v>3307171</v>
      </c>
      <c r="K576" s="237">
        <v>258481</v>
      </c>
      <c r="L576" s="236">
        <v>9984043</v>
      </c>
      <c r="M576" s="236"/>
      <c r="N576" s="237">
        <v>132243</v>
      </c>
      <c r="O576" s="237">
        <v>1220660</v>
      </c>
      <c r="P576" s="237">
        <v>0</v>
      </c>
      <c r="Q576" s="236">
        <v>0</v>
      </c>
      <c r="R576" s="237">
        <f t="shared" si="8"/>
        <v>2086511</v>
      </c>
      <c r="S576" s="236"/>
      <c r="T576" s="237">
        <v>1008718</v>
      </c>
      <c r="U576" s="238">
        <v>2586540</v>
      </c>
      <c r="V576" s="238">
        <v>3595257</v>
      </c>
    </row>
    <row r="577" spans="1:22">
      <c r="A577" s="231">
        <v>96321</v>
      </c>
      <c r="B577" s="232" t="s">
        <v>1288</v>
      </c>
      <c r="C577" s="92">
        <v>3.7400000000000001E-5</v>
      </c>
      <c r="D577" s="92">
        <v>3.9700000000000003E-5</v>
      </c>
      <c r="E577" s="236">
        <v>13314.68</v>
      </c>
      <c r="F577" s="236">
        <v>17817</v>
      </c>
      <c r="G577" s="236">
        <v>79375</v>
      </c>
      <c r="H577" s="236"/>
      <c r="I577" s="237">
        <v>1491.325</v>
      </c>
      <c r="J577" s="237">
        <v>69558</v>
      </c>
      <c r="K577" s="237">
        <v>5437</v>
      </c>
      <c r="L577" s="236">
        <v>837</v>
      </c>
      <c r="M577" s="236"/>
      <c r="N577" s="237">
        <v>2781</v>
      </c>
      <c r="O577" s="237">
        <v>25674</v>
      </c>
      <c r="P577" s="237">
        <v>0</v>
      </c>
      <c r="Q577" s="236">
        <v>3510</v>
      </c>
      <c r="R577" s="237">
        <f t="shared" si="8"/>
        <v>43884</v>
      </c>
      <c r="S577" s="236"/>
      <c r="T577" s="237">
        <v>21216</v>
      </c>
      <c r="U577" s="238">
        <v>-764</v>
      </c>
      <c r="V577" s="238">
        <v>20452</v>
      </c>
    </row>
    <row r="578" spans="1:22">
      <c r="A578" s="231">
        <v>96331</v>
      </c>
      <c r="B578" s="232" t="s">
        <v>1289</v>
      </c>
      <c r="C578" s="92">
        <v>7.1699999999999997E-4</v>
      </c>
      <c r="D578" s="92">
        <v>7.6110000000000001E-4</v>
      </c>
      <c r="E578" s="236">
        <v>265185.34000000003</v>
      </c>
      <c r="F578" s="236">
        <v>341577</v>
      </c>
      <c r="G578" s="236">
        <v>1521714</v>
      </c>
      <c r="H578" s="236"/>
      <c r="I578" s="237">
        <v>28590.375</v>
      </c>
      <c r="J578" s="237">
        <v>1333507</v>
      </c>
      <c r="K578" s="237">
        <v>104224</v>
      </c>
      <c r="L578" s="236">
        <v>4814</v>
      </c>
      <c r="M578" s="236"/>
      <c r="N578" s="237">
        <v>53323</v>
      </c>
      <c r="O578" s="237">
        <v>492190</v>
      </c>
      <c r="P578" s="237">
        <v>0</v>
      </c>
      <c r="Q578" s="236">
        <v>66351</v>
      </c>
      <c r="R578" s="237">
        <f t="shared" si="8"/>
        <v>841317</v>
      </c>
      <c r="S578" s="236"/>
      <c r="T578" s="237">
        <v>406732</v>
      </c>
      <c r="U578" s="238">
        <v>-20081</v>
      </c>
      <c r="V578" s="238">
        <v>386651</v>
      </c>
    </row>
    <row r="579" spans="1:22">
      <c r="A579" s="231">
        <v>96341</v>
      </c>
      <c r="B579" s="232" t="s">
        <v>1290</v>
      </c>
      <c r="C579" s="92">
        <v>9.1600000000000004E-5</v>
      </c>
      <c r="D579" s="92">
        <v>8.0799999999999999E-5</v>
      </c>
      <c r="E579" s="236">
        <v>32432.260000000002</v>
      </c>
      <c r="F579" s="236">
        <v>36263</v>
      </c>
      <c r="G579" s="236">
        <v>194406</v>
      </c>
      <c r="H579" s="236"/>
      <c r="I579" s="237">
        <v>3652.55</v>
      </c>
      <c r="J579" s="237">
        <v>170362</v>
      </c>
      <c r="K579" s="237">
        <v>13315</v>
      </c>
      <c r="L579" s="236">
        <v>13221</v>
      </c>
      <c r="M579" s="236"/>
      <c r="N579" s="237">
        <v>6812</v>
      </c>
      <c r="O579" s="237">
        <v>62880</v>
      </c>
      <c r="P579" s="237">
        <v>0</v>
      </c>
      <c r="Q579" s="236">
        <v>11187.78</v>
      </c>
      <c r="R579" s="237">
        <f t="shared" si="8"/>
        <v>107482</v>
      </c>
      <c r="S579" s="236"/>
      <c r="T579" s="237">
        <v>51962</v>
      </c>
      <c r="U579" s="238">
        <v>-1095</v>
      </c>
      <c r="V579" s="238">
        <v>50867</v>
      </c>
    </row>
    <row r="580" spans="1:22">
      <c r="A580" s="231">
        <v>96351</v>
      </c>
      <c r="B580" s="232" t="s">
        <v>1291</v>
      </c>
      <c r="C580" s="92">
        <v>1.0736000000000001E-3</v>
      </c>
      <c r="D580" s="92">
        <v>1.0939999999999999E-3</v>
      </c>
      <c r="E580" s="236">
        <v>419131.13999999996</v>
      </c>
      <c r="F580" s="236">
        <v>490981</v>
      </c>
      <c r="G580" s="236">
        <v>2278539</v>
      </c>
      <c r="H580" s="236"/>
      <c r="I580" s="237">
        <v>42809.8</v>
      </c>
      <c r="J580" s="237">
        <v>1996726</v>
      </c>
      <c r="K580" s="237">
        <v>156060</v>
      </c>
      <c r="L580" s="236">
        <v>9467</v>
      </c>
      <c r="M580" s="236"/>
      <c r="N580" s="237">
        <v>79843</v>
      </c>
      <c r="O580" s="237">
        <v>736981</v>
      </c>
      <c r="P580" s="237">
        <v>0</v>
      </c>
      <c r="Q580" s="236">
        <v>28826</v>
      </c>
      <c r="R580" s="237">
        <f t="shared" si="8"/>
        <v>1259745</v>
      </c>
      <c r="S580" s="236"/>
      <c r="T580" s="237">
        <v>609020</v>
      </c>
      <c r="U580" s="238">
        <v>-3422</v>
      </c>
      <c r="V580" s="238">
        <v>605598</v>
      </c>
    </row>
    <row r="581" spans="1:22">
      <c r="A581" s="231">
        <v>96361</v>
      </c>
      <c r="B581" s="232" t="s">
        <v>1292</v>
      </c>
      <c r="C581" s="92">
        <v>5.8900000000000002E-5</v>
      </c>
      <c r="D581" s="92">
        <v>4.8999999999999998E-5</v>
      </c>
      <c r="E581" s="236">
        <v>21510.870000000003</v>
      </c>
      <c r="F581" s="236">
        <v>21991</v>
      </c>
      <c r="G581" s="236">
        <v>125006</v>
      </c>
      <c r="H581" s="236"/>
      <c r="I581" s="237">
        <v>2349</v>
      </c>
      <c r="J581" s="237">
        <v>109545</v>
      </c>
      <c r="K581" s="237">
        <v>8562</v>
      </c>
      <c r="L581" s="236">
        <v>5269</v>
      </c>
      <c r="M581" s="236"/>
      <c r="N581" s="237">
        <v>4380</v>
      </c>
      <c r="O581" s="237">
        <v>40432</v>
      </c>
      <c r="P581" s="237">
        <v>0</v>
      </c>
      <c r="Q581" s="236">
        <v>390</v>
      </c>
      <c r="R581" s="237">
        <f t="shared" si="8"/>
        <v>69113</v>
      </c>
      <c r="S581" s="236"/>
      <c r="T581" s="237">
        <v>33412</v>
      </c>
      <c r="U581" s="238">
        <v>1728</v>
      </c>
      <c r="V581" s="238">
        <v>35140</v>
      </c>
    </row>
    <row r="582" spans="1:22">
      <c r="A582" s="231">
        <v>96371</v>
      </c>
      <c r="B582" s="232" t="s">
        <v>1293</v>
      </c>
      <c r="C582" s="92">
        <v>1.6359999999999999E-4</v>
      </c>
      <c r="D582" s="92">
        <v>1.6760000000000001E-4</v>
      </c>
      <c r="E582" s="236">
        <v>62916.799999999988</v>
      </c>
      <c r="F582" s="236">
        <v>75218</v>
      </c>
      <c r="G582" s="236">
        <v>347214</v>
      </c>
      <c r="H582" s="236"/>
      <c r="I582" s="237">
        <v>6524</v>
      </c>
      <c r="J582" s="237">
        <v>304270</v>
      </c>
      <c r="K582" s="237">
        <v>23781</v>
      </c>
      <c r="L582" s="236">
        <v>2683</v>
      </c>
      <c r="M582" s="236"/>
      <c r="N582" s="237">
        <v>12167</v>
      </c>
      <c r="O582" s="237">
        <v>112305</v>
      </c>
      <c r="P582" s="237">
        <v>0</v>
      </c>
      <c r="Q582" s="236">
        <v>7435</v>
      </c>
      <c r="R582" s="237">
        <f t="shared" si="8"/>
        <v>191965</v>
      </c>
      <c r="S582" s="236"/>
      <c r="T582" s="237">
        <v>92805</v>
      </c>
      <c r="U582" s="238">
        <v>-750</v>
      </c>
      <c r="V582" s="238">
        <v>92055</v>
      </c>
    </row>
    <row r="583" spans="1:22">
      <c r="A583" s="231">
        <v>96381</v>
      </c>
      <c r="B583" s="232" t="s">
        <v>1294</v>
      </c>
      <c r="C583" s="92">
        <v>3.26E-5</v>
      </c>
      <c r="D583" s="92">
        <v>2.9600000000000001E-5</v>
      </c>
      <c r="E583" s="236">
        <v>11485.45</v>
      </c>
      <c r="F583" s="236">
        <v>13284</v>
      </c>
      <c r="G583" s="236">
        <v>69188</v>
      </c>
      <c r="H583" s="236"/>
      <c r="I583" s="237">
        <v>1299.925</v>
      </c>
      <c r="J583" s="237">
        <v>60631</v>
      </c>
      <c r="K583" s="237">
        <v>4739</v>
      </c>
      <c r="L583" s="236">
        <v>99</v>
      </c>
      <c r="M583" s="236"/>
      <c r="N583" s="237">
        <v>2424</v>
      </c>
      <c r="O583" s="237">
        <v>22379</v>
      </c>
      <c r="P583" s="237">
        <v>0</v>
      </c>
      <c r="Q583" s="236">
        <v>3089</v>
      </c>
      <c r="R583" s="237">
        <f t="shared" si="8"/>
        <v>38252</v>
      </c>
      <c r="S583" s="236"/>
      <c r="T583" s="237">
        <v>18493</v>
      </c>
      <c r="U583" s="238">
        <v>-1205</v>
      </c>
      <c r="V583" s="238">
        <v>17288</v>
      </c>
    </row>
    <row r="584" spans="1:22">
      <c r="A584" s="231">
        <v>96391</v>
      </c>
      <c r="B584" s="232" t="s">
        <v>1295</v>
      </c>
      <c r="C584" s="92">
        <v>1.807E-4</v>
      </c>
      <c r="D584" s="92">
        <v>1.9450000000000001E-4</v>
      </c>
      <c r="E584" s="236">
        <v>66063.039999999994</v>
      </c>
      <c r="F584" s="236">
        <v>87290</v>
      </c>
      <c r="G584" s="236">
        <v>383506</v>
      </c>
      <c r="H584" s="236"/>
      <c r="I584" s="237">
        <v>7205</v>
      </c>
      <c r="J584" s="237">
        <v>336073</v>
      </c>
      <c r="K584" s="237">
        <v>26267</v>
      </c>
      <c r="L584" s="236">
        <v>19760.7</v>
      </c>
      <c r="M584" s="236"/>
      <c r="N584" s="237">
        <v>13438</v>
      </c>
      <c r="O584" s="237">
        <v>124043</v>
      </c>
      <c r="P584" s="237">
        <v>0</v>
      </c>
      <c r="Q584" s="236">
        <v>26107</v>
      </c>
      <c r="R584" s="237">
        <f t="shared" si="8"/>
        <v>212030</v>
      </c>
      <c r="S584" s="236"/>
      <c r="T584" s="237">
        <v>102506</v>
      </c>
      <c r="U584" s="238">
        <v>2012</v>
      </c>
      <c r="V584" s="238">
        <v>104518</v>
      </c>
    </row>
    <row r="585" spans="1:22">
      <c r="A585" s="231">
        <v>96401</v>
      </c>
      <c r="B585" s="232" t="s">
        <v>1296</v>
      </c>
      <c r="C585" s="92">
        <v>4.5900000000000003E-3</v>
      </c>
      <c r="D585" s="92">
        <v>4.5434999999999998E-3</v>
      </c>
      <c r="E585" s="236">
        <v>1835552.26</v>
      </c>
      <c r="F585" s="236">
        <v>2039096</v>
      </c>
      <c r="G585" s="236">
        <v>9741518</v>
      </c>
      <c r="H585" s="236"/>
      <c r="I585" s="237">
        <v>183026.25</v>
      </c>
      <c r="J585" s="237">
        <v>8536675</v>
      </c>
      <c r="K585" s="237">
        <v>667206.99</v>
      </c>
      <c r="L585" s="236">
        <v>31898</v>
      </c>
      <c r="M585" s="236"/>
      <c r="N585" s="237">
        <v>341353.71</v>
      </c>
      <c r="O585" s="237">
        <v>3150842.22</v>
      </c>
      <c r="P585" s="237">
        <v>0</v>
      </c>
      <c r="Q585" s="236">
        <v>37434</v>
      </c>
      <c r="R585" s="237">
        <f t="shared" ref="R585:R648" si="9">IF(J585&gt;O585,J585-O585,O585-J585)</f>
        <v>5385832.7799999993</v>
      </c>
      <c r="S585" s="236"/>
      <c r="T585" s="237">
        <v>2603764.71</v>
      </c>
      <c r="U585" s="238">
        <v>4298</v>
      </c>
      <c r="V585" s="238">
        <v>2608063</v>
      </c>
    </row>
    <row r="586" spans="1:22">
      <c r="A586" s="231">
        <v>96404</v>
      </c>
      <c r="B586" s="232" t="s">
        <v>1297</v>
      </c>
      <c r="C586" s="92">
        <v>9.8800000000000003E-5</v>
      </c>
      <c r="D586" s="92">
        <v>8.92E-5</v>
      </c>
      <c r="E586" s="236">
        <v>49336.67</v>
      </c>
      <c r="F586" s="236">
        <v>40032</v>
      </c>
      <c r="G586" s="236">
        <v>209687</v>
      </c>
      <c r="H586" s="236"/>
      <c r="I586" s="237">
        <v>3939.65</v>
      </c>
      <c r="J586" s="237">
        <v>183752</v>
      </c>
      <c r="K586" s="237">
        <v>14362</v>
      </c>
      <c r="L586" s="236">
        <v>23586</v>
      </c>
      <c r="M586" s="236"/>
      <c r="N586" s="237">
        <v>7348</v>
      </c>
      <c r="O586" s="237">
        <v>67822</v>
      </c>
      <c r="P586" s="237">
        <v>0</v>
      </c>
      <c r="Q586" s="236">
        <v>0</v>
      </c>
      <c r="R586" s="237">
        <f t="shared" si="9"/>
        <v>115930</v>
      </c>
      <c r="S586" s="236"/>
      <c r="T586" s="237">
        <v>56046</v>
      </c>
      <c r="U586" s="238">
        <v>7753</v>
      </c>
      <c r="V586" s="238">
        <v>63799</v>
      </c>
    </row>
    <row r="587" spans="1:22">
      <c r="A587" s="231">
        <v>96405</v>
      </c>
      <c r="B587" s="232" t="s">
        <v>1298</v>
      </c>
      <c r="C587" s="92">
        <v>1.7760000000000001E-4</v>
      </c>
      <c r="D587" s="92">
        <v>1.942E-4</v>
      </c>
      <c r="E587" s="236">
        <v>83527.920000000013</v>
      </c>
      <c r="F587" s="236">
        <v>87156</v>
      </c>
      <c r="G587" s="236">
        <v>376927</v>
      </c>
      <c r="H587" s="236"/>
      <c r="I587" s="237">
        <v>7081.8</v>
      </c>
      <c r="J587" s="237">
        <v>330308</v>
      </c>
      <c r="K587" s="237">
        <v>25816</v>
      </c>
      <c r="L587" s="236">
        <v>15838</v>
      </c>
      <c r="M587" s="236"/>
      <c r="N587" s="237">
        <v>13208</v>
      </c>
      <c r="O587" s="237">
        <v>121915</v>
      </c>
      <c r="P587" s="237">
        <v>0</v>
      </c>
      <c r="Q587" s="236">
        <v>2411</v>
      </c>
      <c r="R587" s="237">
        <f t="shared" si="9"/>
        <v>208393</v>
      </c>
      <c r="S587" s="236"/>
      <c r="T587" s="237">
        <v>100747</v>
      </c>
      <c r="U587" s="238">
        <v>4565</v>
      </c>
      <c r="V587" s="238">
        <v>105312</v>
      </c>
    </row>
    <row r="588" spans="1:22">
      <c r="A588" s="231">
        <v>96411</v>
      </c>
      <c r="B588" s="232" t="s">
        <v>1299</v>
      </c>
      <c r="C588" s="92">
        <v>5.66E-5</v>
      </c>
      <c r="D588" s="92">
        <v>6.6699999999999995E-5</v>
      </c>
      <c r="E588" s="236">
        <v>25222.480000000003</v>
      </c>
      <c r="F588" s="236">
        <v>29935</v>
      </c>
      <c r="G588" s="236">
        <v>120124</v>
      </c>
      <c r="H588" s="236"/>
      <c r="I588" s="237">
        <v>2257</v>
      </c>
      <c r="J588" s="237">
        <v>105267</v>
      </c>
      <c r="K588" s="237">
        <v>8227</v>
      </c>
      <c r="L588" s="236">
        <v>8181</v>
      </c>
      <c r="M588" s="236"/>
      <c r="N588" s="237">
        <v>4209</v>
      </c>
      <c r="O588" s="237">
        <v>38854</v>
      </c>
      <c r="P588" s="237">
        <v>0</v>
      </c>
      <c r="Q588" s="236">
        <v>6127</v>
      </c>
      <c r="R588" s="237">
        <f t="shared" si="9"/>
        <v>66413</v>
      </c>
      <c r="S588" s="236"/>
      <c r="T588" s="237">
        <v>32107</v>
      </c>
      <c r="U588" s="238">
        <v>778</v>
      </c>
      <c r="V588" s="238">
        <v>32885</v>
      </c>
    </row>
    <row r="589" spans="1:22">
      <c r="A589" s="231">
        <v>96421</v>
      </c>
      <c r="B589" s="232" t="s">
        <v>1300</v>
      </c>
      <c r="C589" s="92">
        <v>4.2860000000000001E-4</v>
      </c>
      <c r="D589" s="92">
        <v>4.6069999999999998E-4</v>
      </c>
      <c r="E589" s="236">
        <v>149902.97</v>
      </c>
      <c r="F589" s="236">
        <v>206759</v>
      </c>
      <c r="G589" s="236">
        <v>909633</v>
      </c>
      <c r="H589" s="236"/>
      <c r="I589" s="237">
        <v>17090</v>
      </c>
      <c r="J589" s="237">
        <v>797128</v>
      </c>
      <c r="K589" s="237">
        <v>62302</v>
      </c>
      <c r="L589" s="236">
        <v>0</v>
      </c>
      <c r="M589" s="236"/>
      <c r="N589" s="237">
        <v>31875</v>
      </c>
      <c r="O589" s="237">
        <v>294216</v>
      </c>
      <c r="P589" s="237">
        <v>0</v>
      </c>
      <c r="Q589" s="236">
        <v>86301</v>
      </c>
      <c r="R589" s="237">
        <f t="shared" si="9"/>
        <v>502912</v>
      </c>
      <c r="S589" s="236"/>
      <c r="T589" s="237">
        <v>243131</v>
      </c>
      <c r="U589" s="238">
        <v>-29627</v>
      </c>
      <c r="V589" s="238">
        <v>213504</v>
      </c>
    </row>
    <row r="590" spans="1:22">
      <c r="A590" s="231">
        <v>96431</v>
      </c>
      <c r="B590" s="232" t="s">
        <v>1301</v>
      </c>
      <c r="C590" s="92">
        <v>5.6100000000000002E-5</v>
      </c>
      <c r="D590" s="92">
        <v>3.9400000000000002E-5</v>
      </c>
      <c r="E590" s="236">
        <v>22346.13</v>
      </c>
      <c r="F590" s="236">
        <v>17682</v>
      </c>
      <c r="G590" s="236">
        <v>119063</v>
      </c>
      <c r="H590" s="236"/>
      <c r="I590" s="237">
        <v>2237</v>
      </c>
      <c r="J590" s="237">
        <v>104337</v>
      </c>
      <c r="K590" s="237">
        <v>8155</v>
      </c>
      <c r="L590" s="236">
        <v>8471</v>
      </c>
      <c r="M590" s="236"/>
      <c r="N590" s="237">
        <v>4172</v>
      </c>
      <c r="O590" s="237">
        <v>38510</v>
      </c>
      <c r="P590" s="237">
        <v>0</v>
      </c>
      <c r="Q590" s="236">
        <v>4421</v>
      </c>
      <c r="R590" s="237">
        <f t="shared" si="9"/>
        <v>65827</v>
      </c>
      <c r="S590" s="236"/>
      <c r="T590" s="237">
        <v>31824</v>
      </c>
      <c r="U590" s="238">
        <v>305</v>
      </c>
      <c r="V590" s="238">
        <v>32128</v>
      </c>
    </row>
    <row r="591" spans="1:22">
      <c r="A591" s="231">
        <v>96441</v>
      </c>
      <c r="B591" s="232" t="s">
        <v>1302</v>
      </c>
      <c r="C591" s="92">
        <v>3.1199999999999999E-5</v>
      </c>
      <c r="D591" s="92">
        <v>3.9100000000000002E-5</v>
      </c>
      <c r="E591" s="236">
        <v>18068.97</v>
      </c>
      <c r="F591" s="236">
        <v>17548</v>
      </c>
      <c r="G591" s="236">
        <v>66217</v>
      </c>
      <c r="H591" s="236"/>
      <c r="I591" s="237">
        <v>1244</v>
      </c>
      <c r="J591" s="237">
        <v>58027</v>
      </c>
      <c r="K591" s="237">
        <v>4535</v>
      </c>
      <c r="L591" s="236">
        <v>6875</v>
      </c>
      <c r="M591" s="236"/>
      <c r="N591" s="237">
        <v>2320</v>
      </c>
      <c r="O591" s="237">
        <v>21417</v>
      </c>
      <c r="P591" s="237">
        <v>0</v>
      </c>
      <c r="Q591" s="236">
        <v>826</v>
      </c>
      <c r="R591" s="237">
        <f t="shared" si="9"/>
        <v>36610</v>
      </c>
      <c r="S591" s="236"/>
      <c r="T591" s="237">
        <v>17699</v>
      </c>
      <c r="U591" s="238">
        <v>2052</v>
      </c>
      <c r="V591" s="238">
        <v>19751</v>
      </c>
    </row>
    <row r="592" spans="1:22">
      <c r="A592" s="231">
        <v>96451</v>
      </c>
      <c r="B592" s="232" t="s">
        <v>1303</v>
      </c>
      <c r="C592" s="92">
        <v>1.38E-5</v>
      </c>
      <c r="D592" s="92">
        <v>8.8999999999999995E-6</v>
      </c>
      <c r="E592" s="236">
        <v>6879.8000000000011</v>
      </c>
      <c r="F592" s="236">
        <v>3994</v>
      </c>
      <c r="G592" s="236">
        <v>29288</v>
      </c>
      <c r="H592" s="236"/>
      <c r="I592" s="237">
        <v>550.27499999999998</v>
      </c>
      <c r="J592" s="237">
        <v>25666</v>
      </c>
      <c r="K592" s="237">
        <v>2006</v>
      </c>
      <c r="L592" s="236">
        <v>3611</v>
      </c>
      <c r="M592" s="236"/>
      <c r="N592" s="237">
        <v>1026</v>
      </c>
      <c r="O592" s="237">
        <v>9473</v>
      </c>
      <c r="P592" s="237">
        <v>0</v>
      </c>
      <c r="Q592" s="236">
        <v>2200</v>
      </c>
      <c r="R592" s="237">
        <f t="shared" si="9"/>
        <v>16193</v>
      </c>
      <c r="S592" s="236"/>
      <c r="T592" s="237">
        <v>7828</v>
      </c>
      <c r="U592" s="238">
        <v>55</v>
      </c>
      <c r="V592" s="238">
        <v>7883</v>
      </c>
    </row>
    <row r="593" spans="1:22">
      <c r="A593" s="231">
        <v>96461</v>
      </c>
      <c r="B593" s="232" t="s">
        <v>1304</v>
      </c>
      <c r="C593" s="92">
        <v>1.3410000000000001E-4</v>
      </c>
      <c r="D593" s="92">
        <v>1.6129999999999999E-4</v>
      </c>
      <c r="E593" s="236">
        <v>60539.490000000005</v>
      </c>
      <c r="F593" s="236">
        <v>72390</v>
      </c>
      <c r="G593" s="236">
        <v>284605</v>
      </c>
      <c r="H593" s="236"/>
      <c r="I593" s="237">
        <v>5347</v>
      </c>
      <c r="J593" s="237">
        <v>249405</v>
      </c>
      <c r="K593" s="237">
        <v>19493</v>
      </c>
      <c r="L593" s="236">
        <v>8046</v>
      </c>
      <c r="M593" s="236"/>
      <c r="N593" s="237">
        <v>9973</v>
      </c>
      <c r="O593" s="237">
        <v>92054</v>
      </c>
      <c r="P593" s="237">
        <v>0</v>
      </c>
      <c r="Q593" s="236">
        <v>27042</v>
      </c>
      <c r="R593" s="237">
        <f t="shared" si="9"/>
        <v>157351</v>
      </c>
      <c r="S593" s="236"/>
      <c r="T593" s="237">
        <v>76071</v>
      </c>
      <c r="U593" s="238">
        <v>-4548</v>
      </c>
      <c r="V593" s="238">
        <v>71523</v>
      </c>
    </row>
    <row r="594" spans="1:22">
      <c r="A594" s="231">
        <v>96501</v>
      </c>
      <c r="B594" s="232" t="s">
        <v>1305</v>
      </c>
      <c r="C594" s="92">
        <v>1.4156999999999999E-2</v>
      </c>
      <c r="D594" s="92">
        <v>1.4844599999999999E-2</v>
      </c>
      <c r="E594" s="236">
        <v>5793174.8699999992</v>
      </c>
      <c r="F594" s="236">
        <v>6662167</v>
      </c>
      <c r="G594" s="236">
        <v>30045897</v>
      </c>
      <c r="H594" s="236"/>
      <c r="I594" s="237">
        <v>564510</v>
      </c>
      <c r="J594" s="237">
        <v>26329783</v>
      </c>
      <c r="K594" s="237">
        <v>2057876</v>
      </c>
      <c r="L594" s="236">
        <v>597577</v>
      </c>
      <c r="M594" s="236"/>
      <c r="N594" s="237">
        <v>1052842</v>
      </c>
      <c r="O594" s="237">
        <v>9718186</v>
      </c>
      <c r="P594" s="237">
        <v>0</v>
      </c>
      <c r="Q594" s="236">
        <v>395352</v>
      </c>
      <c r="R594" s="237">
        <f t="shared" si="9"/>
        <v>16611597</v>
      </c>
      <c r="S594" s="236"/>
      <c r="T594" s="237">
        <v>8030827</v>
      </c>
      <c r="U594" s="238">
        <v>146416</v>
      </c>
      <c r="V594" s="238">
        <v>8177243</v>
      </c>
    </row>
    <row r="595" spans="1:22">
      <c r="A595" s="231">
        <v>96502</v>
      </c>
      <c r="B595" s="232" t="s">
        <v>1306</v>
      </c>
      <c r="C595" s="92">
        <v>4.2309999999999998E-4</v>
      </c>
      <c r="D595" s="92">
        <v>3.9639999999999999E-4</v>
      </c>
      <c r="E595" s="236">
        <v>180923.45999999996</v>
      </c>
      <c r="F595" s="236">
        <v>177902</v>
      </c>
      <c r="G595" s="236">
        <v>897960</v>
      </c>
      <c r="H595" s="236"/>
      <c r="I595" s="237">
        <v>16871</v>
      </c>
      <c r="J595" s="237">
        <v>786899</v>
      </c>
      <c r="K595" s="237">
        <v>61502</v>
      </c>
      <c r="L595" s="236">
        <v>58143</v>
      </c>
      <c r="M595" s="236"/>
      <c r="N595" s="237">
        <v>31466</v>
      </c>
      <c r="O595" s="237">
        <v>290440</v>
      </c>
      <c r="P595" s="237">
        <v>0</v>
      </c>
      <c r="Q595" s="236">
        <v>0</v>
      </c>
      <c r="R595" s="237">
        <f t="shared" si="9"/>
        <v>496459</v>
      </c>
      <c r="S595" s="236"/>
      <c r="T595" s="237">
        <v>240012</v>
      </c>
      <c r="U595" s="238">
        <v>22314</v>
      </c>
      <c r="V595" s="238">
        <v>262325</v>
      </c>
    </row>
    <row r="596" spans="1:22">
      <c r="A596" s="231">
        <v>96503</v>
      </c>
      <c r="B596" s="232" t="s">
        <v>1945</v>
      </c>
      <c r="C596" s="92">
        <v>3.3700000000000001E-4</v>
      </c>
      <c r="D596" s="92">
        <v>3.746E-4</v>
      </c>
      <c r="E596" s="236">
        <v>297528.38</v>
      </c>
      <c r="F596" s="236">
        <v>168118</v>
      </c>
      <c r="G596" s="236">
        <v>715227</v>
      </c>
      <c r="H596" s="236"/>
      <c r="I596" s="237">
        <v>13437.875</v>
      </c>
      <c r="J596" s="237">
        <v>626767</v>
      </c>
      <c r="K596" s="237">
        <v>48987</v>
      </c>
      <c r="L596" s="236">
        <v>200924</v>
      </c>
      <c r="M596" s="236"/>
      <c r="N596" s="237">
        <v>25062</v>
      </c>
      <c r="O596" s="237">
        <v>231336</v>
      </c>
      <c r="P596" s="237">
        <v>0</v>
      </c>
      <c r="Q596" s="236">
        <v>29898</v>
      </c>
      <c r="R596" s="237">
        <f t="shared" si="9"/>
        <v>395431</v>
      </c>
      <c r="S596" s="236"/>
      <c r="T596" s="237">
        <v>191170</v>
      </c>
      <c r="U596" s="238">
        <v>46111</v>
      </c>
      <c r="V596" s="238">
        <v>237280</v>
      </c>
    </row>
    <row r="597" spans="1:22">
      <c r="A597" s="231">
        <v>96504</v>
      </c>
      <c r="B597" s="232" t="s">
        <v>1308</v>
      </c>
      <c r="C597" s="92">
        <v>3.6039999999999998E-4</v>
      </c>
      <c r="D597" s="92">
        <v>3.7149999999999998E-4</v>
      </c>
      <c r="E597" s="236">
        <v>148639.46</v>
      </c>
      <c r="F597" s="236">
        <v>166727</v>
      </c>
      <c r="G597" s="236">
        <v>764890</v>
      </c>
      <c r="H597" s="236"/>
      <c r="I597" s="237">
        <v>14371</v>
      </c>
      <c r="J597" s="237">
        <v>670287</v>
      </c>
      <c r="K597" s="237">
        <v>52388</v>
      </c>
      <c r="L597" s="236">
        <v>11269</v>
      </c>
      <c r="M597" s="236"/>
      <c r="N597" s="237">
        <v>26803</v>
      </c>
      <c r="O597" s="237">
        <v>247399</v>
      </c>
      <c r="P597" s="237">
        <v>0</v>
      </c>
      <c r="Q597" s="236">
        <v>6125</v>
      </c>
      <c r="R597" s="237">
        <f t="shared" si="9"/>
        <v>422888</v>
      </c>
      <c r="S597" s="236"/>
      <c r="T597" s="237">
        <v>204444</v>
      </c>
      <c r="U597" s="238">
        <v>2299</v>
      </c>
      <c r="V597" s="238">
        <v>206743</v>
      </c>
    </row>
    <row r="598" spans="1:22">
      <c r="A598" s="231">
        <v>96507</v>
      </c>
      <c r="B598" s="232" t="s">
        <v>1309</v>
      </c>
      <c r="C598" s="92">
        <v>2.2604999999999999E-3</v>
      </c>
      <c r="D598" s="92">
        <v>2.1895999999999999E-3</v>
      </c>
      <c r="E598" s="236">
        <v>971182.37999999977</v>
      </c>
      <c r="F598" s="236">
        <v>982679</v>
      </c>
      <c r="G598" s="236">
        <v>4797538</v>
      </c>
      <c r="H598" s="236"/>
      <c r="I598" s="237">
        <v>90137</v>
      </c>
      <c r="J598" s="237">
        <v>4204173</v>
      </c>
      <c r="K598" s="237">
        <v>328589</v>
      </c>
      <c r="L598" s="236">
        <v>180324</v>
      </c>
      <c r="M598" s="236"/>
      <c r="N598" s="237">
        <v>168111</v>
      </c>
      <c r="O598" s="237">
        <v>1551738</v>
      </c>
      <c r="P598" s="237">
        <v>0</v>
      </c>
      <c r="Q598" s="236">
        <v>0</v>
      </c>
      <c r="R598" s="237">
        <f t="shared" si="9"/>
        <v>2652435</v>
      </c>
      <c r="S598" s="236"/>
      <c r="T598" s="237">
        <v>1282312</v>
      </c>
      <c r="U598" s="238">
        <v>64566</v>
      </c>
      <c r="V598" s="238">
        <v>1346877</v>
      </c>
    </row>
    <row r="599" spans="1:22">
      <c r="A599" s="231">
        <v>96508</v>
      </c>
      <c r="B599" s="232" t="s">
        <v>1310</v>
      </c>
      <c r="C599" s="92">
        <v>9.7999999999999993E-6</v>
      </c>
      <c r="D599" s="92">
        <v>1.03E-5</v>
      </c>
      <c r="E599" s="236">
        <v>9949.2000000000025</v>
      </c>
      <c r="F599" s="236">
        <v>4623</v>
      </c>
      <c r="G599" s="236">
        <v>20799</v>
      </c>
      <c r="H599" s="236"/>
      <c r="I599" s="237">
        <v>390.77499999999998</v>
      </c>
      <c r="J599" s="237">
        <v>18226</v>
      </c>
      <c r="K599" s="237">
        <v>1425</v>
      </c>
      <c r="L599" s="236">
        <v>9383</v>
      </c>
      <c r="M599" s="236"/>
      <c r="N599" s="237">
        <v>729</v>
      </c>
      <c r="O599" s="237">
        <v>6727</v>
      </c>
      <c r="P599" s="237">
        <v>0</v>
      </c>
      <c r="Q599" s="236">
        <v>0</v>
      </c>
      <c r="R599" s="237">
        <f t="shared" si="9"/>
        <v>11499</v>
      </c>
      <c r="S599" s="236"/>
      <c r="T599" s="237">
        <v>5559</v>
      </c>
      <c r="U599" s="238">
        <v>3176</v>
      </c>
      <c r="V599" s="238">
        <v>8735</v>
      </c>
    </row>
    <row r="600" spans="1:22">
      <c r="A600" s="231">
        <v>96511</v>
      </c>
      <c r="B600" s="232" t="s">
        <v>1311</v>
      </c>
      <c r="C600" s="92">
        <v>6.221E-4</v>
      </c>
      <c r="D600" s="92">
        <v>7.5080000000000004E-4</v>
      </c>
      <c r="E600" s="236">
        <v>244657.82</v>
      </c>
      <c r="F600" s="236">
        <v>336955</v>
      </c>
      <c r="G600" s="236">
        <v>1320305</v>
      </c>
      <c r="H600" s="236"/>
      <c r="I600" s="237">
        <v>24806</v>
      </c>
      <c r="J600" s="237">
        <v>1157008</v>
      </c>
      <c r="K600" s="237">
        <v>90429</v>
      </c>
      <c r="L600" s="236">
        <v>0</v>
      </c>
      <c r="M600" s="236"/>
      <c r="N600" s="237">
        <v>46265</v>
      </c>
      <c r="O600" s="237">
        <v>427046</v>
      </c>
      <c r="P600" s="237">
        <v>0</v>
      </c>
      <c r="Q600" s="236">
        <v>135169</v>
      </c>
      <c r="R600" s="237">
        <f t="shared" si="9"/>
        <v>729962</v>
      </c>
      <c r="S600" s="236"/>
      <c r="T600" s="237">
        <v>352898</v>
      </c>
      <c r="U600" s="238">
        <v>-47382</v>
      </c>
      <c r="V600" s="238">
        <v>305516</v>
      </c>
    </row>
    <row r="601" spans="1:22">
      <c r="A601" s="231">
        <v>96512</v>
      </c>
      <c r="B601" s="232" t="s">
        <v>1312</v>
      </c>
      <c r="C601" s="92">
        <v>1.7000000000000001E-4</v>
      </c>
      <c r="D601" s="92">
        <v>1.5550000000000001E-4</v>
      </c>
      <c r="E601" s="236">
        <v>63900.750000000007</v>
      </c>
      <c r="F601" s="236">
        <v>69787</v>
      </c>
      <c r="G601" s="236">
        <v>360796.95</v>
      </c>
      <c r="H601" s="236"/>
      <c r="I601" s="237">
        <v>6779</v>
      </c>
      <c r="J601" s="237">
        <v>316173.14</v>
      </c>
      <c r="K601" s="237">
        <v>24711</v>
      </c>
      <c r="L601" s="236">
        <v>8267</v>
      </c>
      <c r="M601" s="236"/>
      <c r="N601" s="237">
        <v>12643</v>
      </c>
      <c r="O601" s="237">
        <v>116698</v>
      </c>
      <c r="P601" s="237">
        <v>0</v>
      </c>
      <c r="Q601" s="236">
        <v>0</v>
      </c>
      <c r="R601" s="237">
        <f t="shared" si="9"/>
        <v>199475.14</v>
      </c>
      <c r="S601" s="236"/>
      <c r="T601" s="237">
        <v>96436</v>
      </c>
      <c r="U601" s="238">
        <v>2689</v>
      </c>
      <c r="V601" s="238">
        <v>99124</v>
      </c>
    </row>
    <row r="602" spans="1:22">
      <c r="A602" s="231">
        <v>96519</v>
      </c>
      <c r="B602" s="232" t="s">
        <v>1619</v>
      </c>
      <c r="C602" s="92">
        <v>0</v>
      </c>
      <c r="D602" s="92">
        <v>1.7197E-3</v>
      </c>
      <c r="E602" s="236">
        <v>0</v>
      </c>
      <c r="F602" s="236">
        <v>771791</v>
      </c>
      <c r="G602" s="236">
        <v>0</v>
      </c>
      <c r="H602" s="236"/>
      <c r="I602" s="237">
        <v>0</v>
      </c>
      <c r="J602" s="237">
        <v>0</v>
      </c>
      <c r="K602" s="237">
        <v>0</v>
      </c>
      <c r="L602" s="236">
        <v>300924</v>
      </c>
      <c r="M602" s="236"/>
      <c r="N602" s="237">
        <v>0</v>
      </c>
      <c r="O602" s="237">
        <v>0</v>
      </c>
      <c r="P602" s="237">
        <v>0</v>
      </c>
      <c r="Q602" s="236">
        <v>931590</v>
      </c>
      <c r="R602" s="237">
        <f t="shared" si="9"/>
        <v>0</v>
      </c>
      <c r="S602" s="236"/>
      <c r="T602" s="237">
        <v>0</v>
      </c>
      <c r="U602" s="238">
        <v>-102954</v>
      </c>
      <c r="V602" s="238">
        <v>-102954</v>
      </c>
    </row>
    <row r="603" spans="1:22">
      <c r="A603" s="231">
        <v>96521</v>
      </c>
      <c r="B603" s="232" t="s">
        <v>1313</v>
      </c>
      <c r="C603" s="92">
        <v>9.4240000000000003E-4</v>
      </c>
      <c r="D603" s="92">
        <v>9.0479999999999998E-4</v>
      </c>
      <c r="E603" s="236">
        <v>332666.64</v>
      </c>
      <c r="F603" s="236">
        <v>406069</v>
      </c>
      <c r="G603" s="236">
        <v>2000089</v>
      </c>
      <c r="H603" s="236"/>
      <c r="I603" s="237">
        <v>37578</v>
      </c>
      <c r="J603" s="237">
        <v>1752715</v>
      </c>
      <c r="K603" s="237">
        <v>136988</v>
      </c>
      <c r="L603" s="236">
        <v>46521</v>
      </c>
      <c r="M603" s="236"/>
      <c r="N603" s="237">
        <v>70085</v>
      </c>
      <c r="O603" s="237">
        <v>646918</v>
      </c>
      <c r="P603" s="237">
        <v>0</v>
      </c>
      <c r="Q603" s="236">
        <v>27885</v>
      </c>
      <c r="R603" s="237">
        <f t="shared" si="9"/>
        <v>1105797</v>
      </c>
      <c r="S603" s="236"/>
      <c r="T603" s="237">
        <v>534594</v>
      </c>
      <c r="U603" s="238">
        <v>8139</v>
      </c>
      <c r="V603" s="238">
        <v>542733</v>
      </c>
    </row>
    <row r="604" spans="1:22">
      <c r="A604" s="231">
        <v>96531</v>
      </c>
      <c r="B604" s="232" t="s">
        <v>1314</v>
      </c>
      <c r="C604" s="92">
        <v>8.6088999999999992E-3</v>
      </c>
      <c r="D604" s="92">
        <v>9.1912000000000001E-3</v>
      </c>
      <c r="E604" s="236">
        <v>3504528.87</v>
      </c>
      <c r="F604" s="236">
        <v>4124955</v>
      </c>
      <c r="G604" s="236">
        <v>18270970</v>
      </c>
      <c r="H604" s="236"/>
      <c r="I604" s="237">
        <v>343280</v>
      </c>
      <c r="J604" s="237">
        <v>16011194</v>
      </c>
      <c r="K604" s="237">
        <v>1251398</v>
      </c>
      <c r="L604" s="236">
        <v>75559</v>
      </c>
      <c r="M604" s="236"/>
      <c r="N604" s="237">
        <v>640235</v>
      </c>
      <c r="O604" s="237">
        <v>5909648</v>
      </c>
      <c r="P604" s="237">
        <v>0</v>
      </c>
      <c r="Q604" s="236">
        <v>381680</v>
      </c>
      <c r="R604" s="237">
        <f t="shared" si="9"/>
        <v>10101546</v>
      </c>
      <c r="S604" s="236"/>
      <c r="T604" s="237">
        <v>4883562</v>
      </c>
      <c r="U604" s="238">
        <v>-81286</v>
      </c>
      <c r="V604" s="238">
        <v>4802276</v>
      </c>
    </row>
    <row r="605" spans="1:22">
      <c r="A605" s="231">
        <v>96541</v>
      </c>
      <c r="B605" s="232" t="s">
        <v>1315</v>
      </c>
      <c r="C605" s="92">
        <v>3.3169999999999999E-4</v>
      </c>
      <c r="D605" s="92">
        <v>3.2759999999999999E-4</v>
      </c>
      <c r="E605" s="236">
        <v>136435.87</v>
      </c>
      <c r="F605" s="236">
        <v>147025</v>
      </c>
      <c r="G605" s="236">
        <v>703979</v>
      </c>
      <c r="H605" s="236"/>
      <c r="I605" s="237">
        <v>13227</v>
      </c>
      <c r="J605" s="237">
        <v>616910</v>
      </c>
      <c r="K605" s="237">
        <v>48216</v>
      </c>
      <c r="L605" s="236">
        <v>22779</v>
      </c>
      <c r="M605" s="236"/>
      <c r="N605" s="237">
        <v>24668</v>
      </c>
      <c r="O605" s="237">
        <v>227698</v>
      </c>
      <c r="P605" s="237">
        <v>0</v>
      </c>
      <c r="Q605" s="236">
        <v>0</v>
      </c>
      <c r="R605" s="237">
        <f t="shared" si="9"/>
        <v>389212</v>
      </c>
      <c r="S605" s="236"/>
      <c r="T605" s="237">
        <v>188163</v>
      </c>
      <c r="U605" s="238">
        <v>10018</v>
      </c>
      <c r="V605" s="238">
        <v>198181</v>
      </c>
    </row>
    <row r="606" spans="1:22">
      <c r="A606" s="231">
        <v>96601</v>
      </c>
      <c r="B606" s="232" t="s">
        <v>1316</v>
      </c>
      <c r="C606" s="92">
        <v>1.8416000000000001E-3</v>
      </c>
      <c r="D606" s="92">
        <v>1.8462999999999999E-3</v>
      </c>
      <c r="E606" s="236">
        <v>769874.79</v>
      </c>
      <c r="F606" s="236">
        <v>828608</v>
      </c>
      <c r="G606" s="236">
        <v>3908492</v>
      </c>
      <c r="H606" s="236"/>
      <c r="I606" s="237">
        <v>73433.8</v>
      </c>
      <c r="J606" s="237">
        <v>3425085</v>
      </c>
      <c r="K606" s="237">
        <v>267697</v>
      </c>
      <c r="L606" s="236">
        <v>58499</v>
      </c>
      <c r="M606" s="236"/>
      <c r="N606" s="237">
        <v>136958</v>
      </c>
      <c r="O606" s="237">
        <v>1264181</v>
      </c>
      <c r="P606" s="237">
        <v>0</v>
      </c>
      <c r="Q606" s="236">
        <v>6413</v>
      </c>
      <c r="R606" s="237">
        <f t="shared" si="9"/>
        <v>2160904</v>
      </c>
      <c r="S606" s="236"/>
      <c r="T606" s="237">
        <v>1044683</v>
      </c>
      <c r="U606" s="238">
        <v>25319</v>
      </c>
      <c r="V606" s="238">
        <v>1070002</v>
      </c>
    </row>
    <row r="607" spans="1:22">
      <c r="A607" s="231">
        <v>96604</v>
      </c>
      <c r="B607" s="232" t="s">
        <v>1317</v>
      </c>
      <c r="C607" s="92">
        <v>7.9000000000000006E-6</v>
      </c>
      <c r="D607" s="92">
        <v>7.9000000000000006E-6</v>
      </c>
      <c r="E607" s="236">
        <v>4374.7800000000007</v>
      </c>
      <c r="F607" s="236">
        <v>3545</v>
      </c>
      <c r="G607" s="236">
        <v>16766</v>
      </c>
      <c r="H607" s="236"/>
      <c r="I607" s="237">
        <v>315</v>
      </c>
      <c r="J607" s="237">
        <v>14693</v>
      </c>
      <c r="K607" s="237">
        <v>1148</v>
      </c>
      <c r="L607" s="236">
        <v>1595</v>
      </c>
      <c r="M607" s="236"/>
      <c r="N607" s="237">
        <v>588</v>
      </c>
      <c r="O607" s="237">
        <v>5423</v>
      </c>
      <c r="P607" s="237">
        <v>0</v>
      </c>
      <c r="Q607" s="236">
        <v>108</v>
      </c>
      <c r="R607" s="237">
        <f t="shared" si="9"/>
        <v>9270</v>
      </c>
      <c r="S607" s="236"/>
      <c r="T607" s="237">
        <v>4481</v>
      </c>
      <c r="U607" s="238">
        <v>545</v>
      </c>
      <c r="V607" s="238">
        <v>5027</v>
      </c>
    </row>
    <row r="608" spans="1:22">
      <c r="A608" s="231">
        <v>96611</v>
      </c>
      <c r="B608" s="232" t="s">
        <v>1318</v>
      </c>
      <c r="C608" s="92">
        <v>3.29E-5</v>
      </c>
      <c r="D608" s="92">
        <v>2.9499999999999999E-5</v>
      </c>
      <c r="E608" s="236">
        <v>11899.8</v>
      </c>
      <c r="F608" s="236">
        <v>13239</v>
      </c>
      <c r="G608" s="236">
        <v>69825</v>
      </c>
      <c r="H608" s="236"/>
      <c r="I608" s="237">
        <v>1312</v>
      </c>
      <c r="J608" s="237">
        <v>61189</v>
      </c>
      <c r="K608" s="237">
        <v>4782</v>
      </c>
      <c r="L608" s="236">
        <v>2869</v>
      </c>
      <c r="M608" s="236"/>
      <c r="N608" s="237">
        <v>2447</v>
      </c>
      <c r="O608" s="237">
        <v>22584</v>
      </c>
      <c r="P608" s="237">
        <v>0</v>
      </c>
      <c r="Q608" s="236">
        <v>649</v>
      </c>
      <c r="R608" s="237">
        <f t="shared" si="9"/>
        <v>38605</v>
      </c>
      <c r="S608" s="236"/>
      <c r="T608" s="237">
        <v>18663</v>
      </c>
      <c r="U608" s="238">
        <v>1079</v>
      </c>
      <c r="V608" s="238">
        <v>19742</v>
      </c>
    </row>
    <row r="609" spans="1:22">
      <c r="A609" s="231">
        <v>96612</v>
      </c>
      <c r="B609" s="232" t="s">
        <v>1319</v>
      </c>
      <c r="C609" s="92">
        <v>6.3899999999999995E-5</v>
      </c>
      <c r="D609" s="92">
        <v>6.4399999999999993E-5</v>
      </c>
      <c r="E609" s="236">
        <v>30973.800000000003</v>
      </c>
      <c r="F609" s="236">
        <v>28902</v>
      </c>
      <c r="G609" s="236">
        <v>135617</v>
      </c>
      <c r="H609" s="236"/>
      <c r="I609" s="237">
        <v>2548</v>
      </c>
      <c r="J609" s="237">
        <v>118844</v>
      </c>
      <c r="K609" s="237">
        <v>9289</v>
      </c>
      <c r="L609" s="236">
        <v>7363</v>
      </c>
      <c r="M609" s="236"/>
      <c r="N609" s="237">
        <v>4752</v>
      </c>
      <c r="O609" s="237">
        <v>43865</v>
      </c>
      <c r="P609" s="237">
        <v>0</v>
      </c>
      <c r="Q609" s="236">
        <v>1323</v>
      </c>
      <c r="R609" s="237">
        <f t="shared" si="9"/>
        <v>74979</v>
      </c>
      <c r="S609" s="236"/>
      <c r="T609" s="237">
        <v>36248</v>
      </c>
      <c r="U609" s="238">
        <v>1615</v>
      </c>
      <c r="V609" s="238">
        <v>37864</v>
      </c>
    </row>
    <row r="610" spans="1:22">
      <c r="A610" s="231">
        <v>96621</v>
      </c>
      <c r="B610" s="232" t="s">
        <v>1320</v>
      </c>
      <c r="C610" s="92">
        <v>2.65E-5</v>
      </c>
      <c r="D610" s="92">
        <v>3.6600000000000002E-5</v>
      </c>
      <c r="E610" s="236">
        <v>12593.01</v>
      </c>
      <c r="F610" s="236">
        <v>16426</v>
      </c>
      <c r="G610" s="236">
        <v>56242</v>
      </c>
      <c r="H610" s="236"/>
      <c r="I610" s="237">
        <v>1056.6875</v>
      </c>
      <c r="J610" s="237">
        <v>49286</v>
      </c>
      <c r="K610" s="237">
        <v>3852</v>
      </c>
      <c r="L610" s="236">
        <v>1133</v>
      </c>
      <c r="M610" s="236"/>
      <c r="N610" s="237">
        <v>1971</v>
      </c>
      <c r="O610" s="237">
        <v>18191</v>
      </c>
      <c r="P610" s="237">
        <v>0</v>
      </c>
      <c r="Q610" s="236">
        <v>7687</v>
      </c>
      <c r="R610" s="237">
        <f t="shared" si="9"/>
        <v>31095</v>
      </c>
      <c r="S610" s="236"/>
      <c r="T610" s="237">
        <v>15033</v>
      </c>
      <c r="U610" s="238">
        <v>-2457</v>
      </c>
      <c r="V610" s="238">
        <v>12576</v>
      </c>
    </row>
    <row r="611" spans="1:22">
      <c r="A611" s="231">
        <v>96631</v>
      </c>
      <c r="B611" s="232" t="s">
        <v>1321</v>
      </c>
      <c r="C611" s="92">
        <v>2.5899999999999999E-5</v>
      </c>
      <c r="D611" s="92">
        <v>2.5599999999999999E-5</v>
      </c>
      <c r="E611" s="236">
        <v>10252.959999999999</v>
      </c>
      <c r="F611" s="236">
        <v>11489</v>
      </c>
      <c r="G611" s="236">
        <v>54968</v>
      </c>
      <c r="H611" s="236"/>
      <c r="I611" s="237">
        <v>1032.7625</v>
      </c>
      <c r="J611" s="237">
        <v>48170</v>
      </c>
      <c r="K611" s="237">
        <v>3765</v>
      </c>
      <c r="L611" s="236">
        <v>5664</v>
      </c>
      <c r="M611" s="236"/>
      <c r="N611" s="237">
        <v>1926</v>
      </c>
      <c r="O611" s="237">
        <v>17779</v>
      </c>
      <c r="P611" s="237">
        <v>0</v>
      </c>
      <c r="Q611" s="236">
        <v>154</v>
      </c>
      <c r="R611" s="237">
        <f t="shared" si="9"/>
        <v>30391</v>
      </c>
      <c r="S611" s="236"/>
      <c r="T611" s="237">
        <v>14692</v>
      </c>
      <c r="U611" s="238">
        <v>2250</v>
      </c>
      <c r="V611" s="238">
        <v>16942</v>
      </c>
    </row>
    <row r="612" spans="1:22">
      <c r="A612" s="231">
        <v>96641</v>
      </c>
      <c r="B612" s="232" t="s">
        <v>1322</v>
      </c>
      <c r="C612" s="92">
        <v>2.6999999999999999E-5</v>
      </c>
      <c r="D612" s="92">
        <v>2.7100000000000001E-5</v>
      </c>
      <c r="E612" s="236">
        <v>17201.89</v>
      </c>
      <c r="F612" s="236">
        <v>12162</v>
      </c>
      <c r="G612" s="236">
        <v>57303</v>
      </c>
      <c r="H612" s="236"/>
      <c r="I612" s="237">
        <v>1076.625</v>
      </c>
      <c r="J612" s="237">
        <v>50216</v>
      </c>
      <c r="K612" s="237">
        <v>3925</v>
      </c>
      <c r="L612" s="236">
        <v>10873</v>
      </c>
      <c r="M612" s="236"/>
      <c r="N612" s="237">
        <v>2008</v>
      </c>
      <c r="O612" s="237">
        <v>18534</v>
      </c>
      <c r="P612" s="237">
        <v>0</v>
      </c>
      <c r="Q612" s="236">
        <v>0</v>
      </c>
      <c r="R612" s="237">
        <f t="shared" si="9"/>
        <v>31682</v>
      </c>
      <c r="S612" s="236"/>
      <c r="T612" s="237">
        <v>15316</v>
      </c>
      <c r="U612" s="238">
        <v>3846</v>
      </c>
      <c r="V612" s="238">
        <v>19162</v>
      </c>
    </row>
    <row r="613" spans="1:22">
      <c r="A613" s="231">
        <v>96651</v>
      </c>
      <c r="B613" s="232" t="s">
        <v>1323</v>
      </c>
      <c r="C613" s="92">
        <v>1.9400000000000001E-5</v>
      </c>
      <c r="D613" s="92">
        <v>1.9300000000000002E-5</v>
      </c>
      <c r="E613" s="236">
        <v>8893.0600000000013</v>
      </c>
      <c r="F613" s="236">
        <v>8662</v>
      </c>
      <c r="G613" s="236">
        <v>41173</v>
      </c>
      <c r="H613" s="236"/>
      <c r="I613" s="237">
        <v>773.57500000000005</v>
      </c>
      <c r="J613" s="237">
        <v>36081</v>
      </c>
      <c r="K613" s="237">
        <v>2820</v>
      </c>
      <c r="L613" s="236">
        <v>781</v>
      </c>
      <c r="M613" s="236"/>
      <c r="N613" s="237">
        <v>1443</v>
      </c>
      <c r="O613" s="237">
        <v>13317</v>
      </c>
      <c r="P613" s="237">
        <v>0</v>
      </c>
      <c r="Q613" s="236">
        <v>2222</v>
      </c>
      <c r="R613" s="237">
        <f t="shared" si="9"/>
        <v>22764</v>
      </c>
      <c r="S613" s="236"/>
      <c r="T613" s="237">
        <v>11005</v>
      </c>
      <c r="U613" s="238">
        <v>-715</v>
      </c>
      <c r="V613" s="238">
        <v>10290</v>
      </c>
    </row>
    <row r="614" spans="1:22">
      <c r="A614" s="231">
        <v>96661</v>
      </c>
      <c r="B614" s="232" t="s">
        <v>1324</v>
      </c>
      <c r="C614" s="92">
        <v>1.9000000000000001E-5</v>
      </c>
      <c r="D614" s="92">
        <v>1.7200000000000001E-5</v>
      </c>
      <c r="E614" s="236">
        <v>9291.01</v>
      </c>
      <c r="F614" s="236">
        <v>7719</v>
      </c>
      <c r="G614" s="236">
        <v>40324</v>
      </c>
      <c r="H614" s="236"/>
      <c r="I614" s="237">
        <v>757.625</v>
      </c>
      <c r="J614" s="237">
        <v>35337</v>
      </c>
      <c r="K614" s="237">
        <v>2762</v>
      </c>
      <c r="L614" s="236">
        <v>6032</v>
      </c>
      <c r="M614" s="236"/>
      <c r="N614" s="237">
        <v>1413</v>
      </c>
      <c r="O614" s="237">
        <v>13043</v>
      </c>
      <c r="P614" s="237">
        <v>0</v>
      </c>
      <c r="Q614" s="236">
        <v>0</v>
      </c>
      <c r="R614" s="237">
        <f t="shared" si="9"/>
        <v>22294</v>
      </c>
      <c r="S614" s="236"/>
      <c r="T614" s="237">
        <v>10778</v>
      </c>
      <c r="U614" s="238">
        <v>2137</v>
      </c>
      <c r="V614" s="238">
        <v>12915</v>
      </c>
    </row>
    <row r="615" spans="1:22">
      <c r="A615" s="231">
        <v>96671</v>
      </c>
      <c r="B615" s="232" t="s">
        <v>1325</v>
      </c>
      <c r="C615" s="92">
        <v>1.5500000000000001E-5</v>
      </c>
      <c r="D615" s="92">
        <v>1.56E-5</v>
      </c>
      <c r="E615" s="236">
        <v>11958.029999999999</v>
      </c>
      <c r="F615" s="236">
        <v>7001</v>
      </c>
      <c r="G615" s="236">
        <v>32896</v>
      </c>
      <c r="H615" s="236"/>
      <c r="I615" s="237">
        <v>618.0625</v>
      </c>
      <c r="J615" s="237">
        <v>28828</v>
      </c>
      <c r="K615" s="237">
        <v>2253</v>
      </c>
      <c r="L615" s="236">
        <v>11385</v>
      </c>
      <c r="M615" s="236"/>
      <c r="N615" s="237">
        <v>1153</v>
      </c>
      <c r="O615" s="237">
        <v>10640</v>
      </c>
      <c r="P615" s="237">
        <v>0</v>
      </c>
      <c r="Q615" s="236">
        <v>418</v>
      </c>
      <c r="R615" s="237">
        <f t="shared" si="9"/>
        <v>18188</v>
      </c>
      <c r="S615" s="236"/>
      <c r="T615" s="237">
        <v>8793</v>
      </c>
      <c r="U615" s="238">
        <v>3409</v>
      </c>
      <c r="V615" s="238">
        <v>12201</v>
      </c>
    </row>
    <row r="616" spans="1:22">
      <c r="A616" s="231">
        <v>96681</v>
      </c>
      <c r="B616" s="232" t="s">
        <v>1326</v>
      </c>
      <c r="C616" s="92">
        <v>3.4799999999999999E-5</v>
      </c>
      <c r="D616" s="92">
        <v>3.4700000000000003E-5</v>
      </c>
      <c r="E616" s="236">
        <v>22895.739999999998</v>
      </c>
      <c r="F616" s="236">
        <v>15573</v>
      </c>
      <c r="G616" s="236">
        <v>73857</v>
      </c>
      <c r="H616" s="236"/>
      <c r="I616" s="237">
        <v>1388</v>
      </c>
      <c r="J616" s="237">
        <v>64723</v>
      </c>
      <c r="K616" s="237">
        <v>5059</v>
      </c>
      <c r="L616" s="236">
        <v>18633</v>
      </c>
      <c r="M616" s="236"/>
      <c r="N616" s="237">
        <v>2588</v>
      </c>
      <c r="O616" s="237">
        <v>23889</v>
      </c>
      <c r="P616" s="237">
        <v>0</v>
      </c>
      <c r="Q616" s="236">
        <v>1494</v>
      </c>
      <c r="R616" s="237">
        <f t="shared" si="9"/>
        <v>40834</v>
      </c>
      <c r="S616" s="236"/>
      <c r="T616" s="237">
        <v>19741</v>
      </c>
      <c r="U616" s="238">
        <v>5200</v>
      </c>
      <c r="V616" s="238">
        <v>24941</v>
      </c>
    </row>
    <row r="617" spans="1:22">
      <c r="A617" s="231">
        <v>96701</v>
      </c>
      <c r="B617" s="232" t="s">
        <v>1327</v>
      </c>
      <c r="C617" s="92">
        <v>7.7850000000000003E-3</v>
      </c>
      <c r="D617" s="92">
        <v>7.7803999999999998E-3</v>
      </c>
      <c r="E617" s="236">
        <v>3136203</v>
      </c>
      <c r="F617" s="236">
        <v>3491797</v>
      </c>
      <c r="G617" s="236">
        <v>16522378</v>
      </c>
      <c r="H617" s="236"/>
      <c r="I617" s="237">
        <v>310427</v>
      </c>
      <c r="J617" s="237">
        <v>14478870</v>
      </c>
      <c r="K617" s="237">
        <v>1131635</v>
      </c>
      <c r="L617" s="236">
        <v>289202</v>
      </c>
      <c r="M617" s="236"/>
      <c r="N617" s="237">
        <v>578963</v>
      </c>
      <c r="O617" s="237">
        <v>5344075.53</v>
      </c>
      <c r="P617" s="237">
        <v>0</v>
      </c>
      <c r="Q617" s="236">
        <v>79279</v>
      </c>
      <c r="R617" s="237">
        <f t="shared" si="9"/>
        <v>9134794.4699999988</v>
      </c>
      <c r="S617" s="236"/>
      <c r="T617" s="237">
        <v>4416189</v>
      </c>
      <c r="U617" s="238">
        <v>74739</v>
      </c>
      <c r="V617" s="238">
        <v>4490928</v>
      </c>
    </row>
    <row r="618" spans="1:22">
      <c r="A618" s="231">
        <v>96704</v>
      </c>
      <c r="B618" s="232" t="s">
        <v>1328</v>
      </c>
      <c r="C618" s="92">
        <v>1.5330000000000001E-4</v>
      </c>
      <c r="D618" s="92">
        <v>1.5919999999999999E-4</v>
      </c>
      <c r="E618" s="236">
        <v>71376.409999999989</v>
      </c>
      <c r="F618" s="236">
        <v>71448</v>
      </c>
      <c r="G618" s="236">
        <v>325354</v>
      </c>
      <c r="H618" s="236"/>
      <c r="I618" s="237">
        <v>6113</v>
      </c>
      <c r="J618" s="237">
        <v>285114</v>
      </c>
      <c r="K618" s="237">
        <v>22284</v>
      </c>
      <c r="L618" s="236">
        <v>9181</v>
      </c>
      <c r="M618" s="236"/>
      <c r="N618" s="237">
        <v>11401</v>
      </c>
      <c r="O618" s="237">
        <v>105234</v>
      </c>
      <c r="P618" s="237">
        <v>0</v>
      </c>
      <c r="Q618" s="236">
        <v>0</v>
      </c>
      <c r="R618" s="237">
        <f t="shared" si="9"/>
        <v>179880</v>
      </c>
      <c r="S618" s="236"/>
      <c r="T618" s="237">
        <v>86962</v>
      </c>
      <c r="U618" s="238">
        <v>3774</v>
      </c>
      <c r="V618" s="238">
        <v>90736</v>
      </c>
    </row>
    <row r="619" spans="1:22">
      <c r="A619" s="231">
        <v>96708</v>
      </c>
      <c r="B619" s="232" t="s">
        <v>1329</v>
      </c>
      <c r="C619" s="92">
        <v>8.4590000000000002E-4</v>
      </c>
      <c r="D619" s="92">
        <v>9.8109999999999994E-4</v>
      </c>
      <c r="E619" s="236">
        <v>406277.09</v>
      </c>
      <c r="F619" s="236">
        <v>440312</v>
      </c>
      <c r="G619" s="236">
        <v>1795283</v>
      </c>
      <c r="H619" s="236"/>
      <c r="I619" s="237">
        <v>33730</v>
      </c>
      <c r="J619" s="237">
        <v>1573240</v>
      </c>
      <c r="K619" s="237">
        <v>122961</v>
      </c>
      <c r="L619" s="236">
        <v>54938</v>
      </c>
      <c r="M619" s="236"/>
      <c r="N619" s="237">
        <v>62909</v>
      </c>
      <c r="O619" s="237">
        <v>580675</v>
      </c>
      <c r="P619" s="237">
        <v>0</v>
      </c>
      <c r="Q619" s="236">
        <v>26851</v>
      </c>
      <c r="R619" s="237">
        <f t="shared" si="9"/>
        <v>992565</v>
      </c>
      <c r="S619" s="236"/>
      <c r="T619" s="237">
        <v>479853</v>
      </c>
      <c r="U619" s="238">
        <v>14104</v>
      </c>
      <c r="V619" s="238">
        <v>493957</v>
      </c>
    </row>
    <row r="620" spans="1:22">
      <c r="A620" s="231">
        <v>96711</v>
      </c>
      <c r="B620" s="232" t="s">
        <v>1330</v>
      </c>
      <c r="C620" s="92">
        <v>4.4140000000000004E-3</v>
      </c>
      <c r="D620" s="92">
        <v>4.2459999999999998E-3</v>
      </c>
      <c r="E620" s="236">
        <v>1606504.9700000004</v>
      </c>
      <c r="F620" s="236">
        <v>1905579</v>
      </c>
      <c r="G620" s="236">
        <v>9367987</v>
      </c>
      <c r="H620" s="236"/>
      <c r="I620" s="237">
        <v>176008</v>
      </c>
      <c r="J620" s="237">
        <v>8209343</v>
      </c>
      <c r="K620" s="237">
        <v>641623</v>
      </c>
      <c r="L620" s="236">
        <v>20750</v>
      </c>
      <c r="M620" s="236"/>
      <c r="N620" s="237">
        <v>328265</v>
      </c>
      <c r="O620" s="237">
        <v>3030026</v>
      </c>
      <c r="P620" s="237">
        <v>0</v>
      </c>
      <c r="Q620" s="236">
        <v>348266</v>
      </c>
      <c r="R620" s="237">
        <f t="shared" si="9"/>
        <v>5179317</v>
      </c>
      <c r="S620" s="236"/>
      <c r="T620" s="237">
        <v>2503925</v>
      </c>
      <c r="U620" s="238">
        <v>-105928</v>
      </c>
      <c r="V620" s="238">
        <v>2397997</v>
      </c>
    </row>
    <row r="621" spans="1:22">
      <c r="A621" s="231">
        <v>96721</v>
      </c>
      <c r="B621" s="232" t="s">
        <v>1331</v>
      </c>
      <c r="C621" s="92">
        <v>1.9780000000000001E-4</v>
      </c>
      <c r="D621" s="92">
        <v>2.5119999999999998E-4</v>
      </c>
      <c r="E621" s="236">
        <v>74366.510000000009</v>
      </c>
      <c r="F621" s="236">
        <v>112737</v>
      </c>
      <c r="G621" s="236">
        <v>419798</v>
      </c>
      <c r="H621" s="236"/>
      <c r="I621" s="237">
        <v>7887</v>
      </c>
      <c r="J621" s="237">
        <v>367877</v>
      </c>
      <c r="K621" s="237">
        <v>28752</v>
      </c>
      <c r="L621" s="236">
        <v>10855</v>
      </c>
      <c r="M621" s="236"/>
      <c r="N621" s="237">
        <v>14710</v>
      </c>
      <c r="O621" s="237">
        <v>135781</v>
      </c>
      <c r="P621" s="237">
        <v>0</v>
      </c>
      <c r="Q621" s="236">
        <v>34469</v>
      </c>
      <c r="R621" s="237">
        <f t="shared" si="9"/>
        <v>232096</v>
      </c>
      <c r="S621" s="236"/>
      <c r="T621" s="237">
        <v>112206</v>
      </c>
      <c r="U621" s="238">
        <v>-3553</v>
      </c>
      <c r="V621" s="238">
        <v>108653</v>
      </c>
    </row>
    <row r="622" spans="1:22">
      <c r="A622" s="231">
        <v>96731</v>
      </c>
      <c r="B622" s="232" t="s">
        <v>1332</v>
      </c>
      <c r="C622" s="92">
        <v>1.5090000000000001E-4</v>
      </c>
      <c r="D622" s="92">
        <v>1.3420000000000001E-4</v>
      </c>
      <c r="E622" s="236">
        <v>65647.320000000007</v>
      </c>
      <c r="F622" s="236">
        <v>60228</v>
      </c>
      <c r="G622" s="236">
        <v>320260</v>
      </c>
      <c r="H622" s="236"/>
      <c r="I622" s="237">
        <v>6017</v>
      </c>
      <c r="J622" s="237">
        <v>280650</v>
      </c>
      <c r="K622" s="237">
        <v>21935</v>
      </c>
      <c r="L622" s="236">
        <v>18052</v>
      </c>
      <c r="M622" s="236"/>
      <c r="N622" s="237">
        <v>11222</v>
      </c>
      <c r="O622" s="237">
        <v>103587</v>
      </c>
      <c r="P622" s="237">
        <v>0</v>
      </c>
      <c r="Q622" s="236">
        <v>12</v>
      </c>
      <c r="R622" s="237">
        <f t="shared" si="9"/>
        <v>177063</v>
      </c>
      <c r="S622" s="236"/>
      <c r="T622" s="237">
        <v>85601</v>
      </c>
      <c r="U622" s="238">
        <v>5259</v>
      </c>
      <c r="V622" s="238">
        <v>90859</v>
      </c>
    </row>
    <row r="623" spans="1:22">
      <c r="A623" s="231">
        <v>96733</v>
      </c>
      <c r="B623" s="232" t="s">
        <v>1333</v>
      </c>
      <c r="C623" s="92">
        <v>9.2E-6</v>
      </c>
      <c r="D623" s="92">
        <v>4.1999999999999996E-6</v>
      </c>
      <c r="E623" s="236">
        <v>5389.79</v>
      </c>
      <c r="F623" s="236">
        <v>1885</v>
      </c>
      <c r="G623" s="236">
        <v>19525</v>
      </c>
      <c r="H623" s="236"/>
      <c r="I623" s="237">
        <v>366.85</v>
      </c>
      <c r="J623" s="237">
        <v>17111</v>
      </c>
      <c r="K623" s="237">
        <v>1337</v>
      </c>
      <c r="L623" s="236">
        <v>6066</v>
      </c>
      <c r="M623" s="236"/>
      <c r="N623" s="237">
        <v>684</v>
      </c>
      <c r="O623" s="237">
        <v>6315</v>
      </c>
      <c r="P623" s="237">
        <v>0</v>
      </c>
      <c r="Q623" s="236">
        <v>1048</v>
      </c>
      <c r="R623" s="237">
        <f t="shared" si="9"/>
        <v>10796</v>
      </c>
      <c r="S623" s="236"/>
      <c r="T623" s="237">
        <v>5219</v>
      </c>
      <c r="U623" s="238">
        <v>1707</v>
      </c>
      <c r="V623" s="238">
        <v>6925</v>
      </c>
    </row>
    <row r="624" spans="1:22">
      <c r="A624" s="231">
        <v>96741</v>
      </c>
      <c r="B624" s="232" t="s">
        <v>1334</v>
      </c>
      <c r="C624" s="92">
        <v>9.2399999999999996E-5</v>
      </c>
      <c r="D624" s="92">
        <v>9.2899999999999995E-5</v>
      </c>
      <c r="E624" s="236">
        <v>36389.700000000004</v>
      </c>
      <c r="F624" s="236">
        <v>41693</v>
      </c>
      <c r="G624" s="236">
        <v>196104</v>
      </c>
      <c r="H624" s="236"/>
      <c r="I624" s="237">
        <v>3684.45</v>
      </c>
      <c r="J624" s="237">
        <v>171849</v>
      </c>
      <c r="K624" s="237">
        <v>13431</v>
      </c>
      <c r="L624" s="236">
        <v>7135</v>
      </c>
      <c r="M624" s="236"/>
      <c r="N624" s="237">
        <v>6872</v>
      </c>
      <c r="O624" s="237">
        <v>63429</v>
      </c>
      <c r="P624" s="237">
        <v>0</v>
      </c>
      <c r="Q624" s="236">
        <v>1549</v>
      </c>
      <c r="R624" s="237">
        <f t="shared" si="9"/>
        <v>108420</v>
      </c>
      <c r="S624" s="236"/>
      <c r="T624" s="237">
        <v>52416</v>
      </c>
      <c r="U624" s="238">
        <v>2530</v>
      </c>
      <c r="V624" s="238">
        <v>54946</v>
      </c>
    </row>
    <row r="625" spans="1:22">
      <c r="A625" s="231">
        <v>96751</v>
      </c>
      <c r="B625" s="232" t="s">
        <v>1335</v>
      </c>
      <c r="C625" s="92">
        <v>2.6120000000000001E-4</v>
      </c>
      <c r="D625" s="92">
        <v>3.0909999999999998E-4</v>
      </c>
      <c r="E625" s="236">
        <v>103640.73999999999</v>
      </c>
      <c r="F625" s="236">
        <v>138722</v>
      </c>
      <c r="G625" s="236">
        <v>554354</v>
      </c>
      <c r="H625" s="236"/>
      <c r="I625" s="237">
        <v>10415.35</v>
      </c>
      <c r="J625" s="237">
        <v>485791</v>
      </c>
      <c r="K625" s="237">
        <v>37968</v>
      </c>
      <c r="L625" s="236">
        <v>21728.81</v>
      </c>
      <c r="M625" s="236"/>
      <c r="N625" s="237">
        <v>19425</v>
      </c>
      <c r="O625" s="237">
        <v>179303</v>
      </c>
      <c r="P625" s="237">
        <v>0</v>
      </c>
      <c r="Q625" s="236">
        <v>37607</v>
      </c>
      <c r="R625" s="237">
        <f t="shared" si="9"/>
        <v>306488</v>
      </c>
      <c r="S625" s="236"/>
      <c r="T625" s="237">
        <v>148171</v>
      </c>
      <c r="U625" s="238">
        <v>349</v>
      </c>
      <c r="V625" s="238">
        <v>148519</v>
      </c>
    </row>
    <row r="626" spans="1:22">
      <c r="A626" s="231">
        <v>96801</v>
      </c>
      <c r="B626" s="232" t="s">
        <v>1336</v>
      </c>
      <c r="C626" s="92">
        <v>7.8463999999999999E-3</v>
      </c>
      <c r="D626" s="92">
        <v>7.0825000000000003E-3</v>
      </c>
      <c r="E626" s="236">
        <v>3035869.73</v>
      </c>
      <c r="F626" s="236">
        <v>3178584</v>
      </c>
      <c r="G626" s="236">
        <v>16652689</v>
      </c>
      <c r="H626" s="236"/>
      <c r="I626" s="237">
        <v>312875.2</v>
      </c>
      <c r="J626" s="237">
        <v>14593064</v>
      </c>
      <c r="K626" s="237">
        <v>1140561</v>
      </c>
      <c r="L626" s="236">
        <v>642631</v>
      </c>
      <c r="M626" s="236"/>
      <c r="N626" s="237">
        <v>583529</v>
      </c>
      <c r="O626" s="237">
        <v>5386224</v>
      </c>
      <c r="P626" s="237">
        <v>0</v>
      </c>
      <c r="Q626" s="236">
        <v>0</v>
      </c>
      <c r="R626" s="237">
        <f t="shared" si="9"/>
        <v>9206840</v>
      </c>
      <c r="S626" s="236"/>
      <c r="T626" s="237">
        <v>4451019</v>
      </c>
      <c r="U626" s="238">
        <v>235775</v>
      </c>
      <c r="V626" s="238">
        <v>4686794</v>
      </c>
    </row>
    <row r="627" spans="1:22">
      <c r="A627" s="231">
        <v>96804</v>
      </c>
      <c r="B627" s="232" t="s">
        <v>1337</v>
      </c>
      <c r="C627" s="92">
        <v>2.4230000000000001E-4</v>
      </c>
      <c r="D627" s="92">
        <v>2.275E-4</v>
      </c>
      <c r="E627" s="236">
        <v>89702.400000000009</v>
      </c>
      <c r="F627" s="236">
        <v>102101</v>
      </c>
      <c r="G627" s="236">
        <v>514242</v>
      </c>
      <c r="H627" s="236"/>
      <c r="I627" s="237">
        <v>9662</v>
      </c>
      <c r="J627" s="237">
        <v>450640</v>
      </c>
      <c r="K627" s="237">
        <v>35221</v>
      </c>
      <c r="L627" s="236">
        <v>4453</v>
      </c>
      <c r="M627" s="236"/>
      <c r="N627" s="237">
        <v>18020</v>
      </c>
      <c r="O627" s="237">
        <v>166329</v>
      </c>
      <c r="P627" s="237">
        <v>0</v>
      </c>
      <c r="Q627" s="236">
        <v>3167</v>
      </c>
      <c r="R627" s="237">
        <f t="shared" si="9"/>
        <v>284311</v>
      </c>
      <c r="S627" s="236"/>
      <c r="T627" s="237">
        <v>137449</v>
      </c>
      <c r="U627" s="238">
        <v>1085</v>
      </c>
      <c r="V627" s="238">
        <v>138535</v>
      </c>
    </row>
    <row r="628" spans="1:22">
      <c r="A628" s="231">
        <v>96808</v>
      </c>
      <c r="B628" s="232" t="s">
        <v>1338</v>
      </c>
      <c r="C628" s="92">
        <v>1.2882E-3</v>
      </c>
      <c r="D628" s="92">
        <v>1.1995E-3</v>
      </c>
      <c r="E628" s="236">
        <v>505072.35</v>
      </c>
      <c r="F628" s="236">
        <v>538328</v>
      </c>
      <c r="G628" s="236">
        <v>2733992</v>
      </c>
      <c r="H628" s="236"/>
      <c r="I628" s="237">
        <v>51367</v>
      </c>
      <c r="J628" s="237">
        <v>2395848</v>
      </c>
      <c r="K628" s="237">
        <v>187254</v>
      </c>
      <c r="L628" s="236">
        <v>67087</v>
      </c>
      <c r="M628" s="236"/>
      <c r="N628" s="237">
        <v>95802</v>
      </c>
      <c r="O628" s="237">
        <v>884295</v>
      </c>
      <c r="P628" s="237">
        <v>0</v>
      </c>
      <c r="Q628" s="236">
        <v>0</v>
      </c>
      <c r="R628" s="237">
        <f t="shared" si="9"/>
        <v>1511553</v>
      </c>
      <c r="S628" s="236"/>
      <c r="T628" s="237">
        <v>730756</v>
      </c>
      <c r="U628" s="238">
        <v>24558</v>
      </c>
      <c r="V628" s="238">
        <v>755313</v>
      </c>
    </row>
    <row r="629" spans="1:22">
      <c r="A629" s="231">
        <v>96811</v>
      </c>
      <c r="B629" s="232" t="s">
        <v>1339</v>
      </c>
      <c r="C629" s="92">
        <v>5.9861999999999997E-3</v>
      </c>
      <c r="D629" s="92">
        <v>6.0393000000000001E-3</v>
      </c>
      <c r="E629" s="236">
        <v>2443568.73</v>
      </c>
      <c r="F629" s="236">
        <v>2710402</v>
      </c>
      <c r="G629" s="236">
        <v>12704722</v>
      </c>
      <c r="H629" s="236"/>
      <c r="I629" s="237">
        <v>238700</v>
      </c>
      <c r="J629" s="237">
        <v>11133386</v>
      </c>
      <c r="K629" s="237">
        <v>870160</v>
      </c>
      <c r="L629" s="236">
        <v>0</v>
      </c>
      <c r="M629" s="236"/>
      <c r="N629" s="237">
        <v>445188</v>
      </c>
      <c r="O629" s="237">
        <v>4109275</v>
      </c>
      <c r="P629" s="237">
        <v>0</v>
      </c>
      <c r="Q629" s="236">
        <v>86222</v>
      </c>
      <c r="R629" s="237">
        <f t="shared" si="9"/>
        <v>7024111</v>
      </c>
      <c r="S629" s="236"/>
      <c r="T629" s="237">
        <v>3395786</v>
      </c>
      <c r="U629" s="238">
        <v>-32722</v>
      </c>
      <c r="V629" s="238">
        <v>3363064</v>
      </c>
    </row>
    <row r="630" spans="1:22">
      <c r="A630" s="231">
        <v>96821</v>
      </c>
      <c r="B630" s="232" t="s">
        <v>1340</v>
      </c>
      <c r="C630" s="92">
        <v>1.3630999999999999E-3</v>
      </c>
      <c r="D630" s="92">
        <v>1.4808E-3</v>
      </c>
      <c r="E630" s="236">
        <v>518291.4</v>
      </c>
      <c r="F630" s="236">
        <v>664574</v>
      </c>
      <c r="G630" s="236">
        <v>2892955</v>
      </c>
      <c r="H630" s="236"/>
      <c r="I630" s="237">
        <v>54354</v>
      </c>
      <c r="J630" s="237">
        <v>2535151</v>
      </c>
      <c r="K630" s="237">
        <v>198142</v>
      </c>
      <c r="L630" s="236">
        <v>0</v>
      </c>
      <c r="M630" s="236"/>
      <c r="N630" s="237">
        <v>101372</v>
      </c>
      <c r="O630" s="237">
        <v>935711</v>
      </c>
      <c r="P630" s="237">
        <v>0</v>
      </c>
      <c r="Q630" s="236">
        <v>153131</v>
      </c>
      <c r="R630" s="237">
        <f t="shared" si="9"/>
        <v>1599440</v>
      </c>
      <c r="S630" s="236"/>
      <c r="T630" s="237">
        <v>773244</v>
      </c>
      <c r="U630" s="238">
        <v>-47603</v>
      </c>
      <c r="V630" s="238">
        <v>725641</v>
      </c>
    </row>
    <row r="631" spans="1:22">
      <c r="A631" s="231">
        <v>96831</v>
      </c>
      <c r="B631" s="232" t="s">
        <v>1341</v>
      </c>
      <c r="C631" s="92">
        <v>9.2400000000000002E-4</v>
      </c>
      <c r="D631" s="92">
        <v>8.3830000000000005E-4</v>
      </c>
      <c r="E631" s="236">
        <v>353922.04000000004</v>
      </c>
      <c r="F631" s="236">
        <v>376224</v>
      </c>
      <c r="G631" s="236">
        <v>1961037.54</v>
      </c>
      <c r="H631" s="236"/>
      <c r="I631" s="237">
        <v>36844.5</v>
      </c>
      <c r="J631" s="237">
        <v>1718494</v>
      </c>
      <c r="K631" s="237">
        <v>134314</v>
      </c>
      <c r="L631" s="236">
        <v>56487</v>
      </c>
      <c r="M631" s="236"/>
      <c r="N631" s="237">
        <v>68717</v>
      </c>
      <c r="O631" s="237">
        <v>634287</v>
      </c>
      <c r="P631" s="237">
        <v>0</v>
      </c>
      <c r="Q631" s="236">
        <v>0</v>
      </c>
      <c r="R631" s="237">
        <f t="shared" si="9"/>
        <v>1084207</v>
      </c>
      <c r="S631" s="236"/>
      <c r="T631" s="237">
        <v>524157</v>
      </c>
      <c r="U631" s="238">
        <v>19257</v>
      </c>
      <c r="V631" s="238">
        <v>543413</v>
      </c>
    </row>
    <row r="632" spans="1:22">
      <c r="A632" s="231">
        <v>96901</v>
      </c>
      <c r="B632" s="232" t="s">
        <v>1342</v>
      </c>
      <c r="C632" s="92">
        <v>8.1610000000000005E-4</v>
      </c>
      <c r="D632" s="92">
        <v>7.6599999999999997E-4</v>
      </c>
      <c r="E632" s="236">
        <v>326581.33</v>
      </c>
      <c r="F632" s="236">
        <v>343776</v>
      </c>
      <c r="G632" s="236">
        <v>1732038</v>
      </c>
      <c r="H632" s="236"/>
      <c r="I632" s="237">
        <v>32542</v>
      </c>
      <c r="J632" s="237">
        <v>1517817</v>
      </c>
      <c r="K632" s="237">
        <v>118629</v>
      </c>
      <c r="L632" s="236">
        <v>46444</v>
      </c>
      <c r="M632" s="236"/>
      <c r="N632" s="237">
        <v>60693</v>
      </c>
      <c r="O632" s="237">
        <v>560218</v>
      </c>
      <c r="P632" s="237">
        <v>0</v>
      </c>
      <c r="Q632" s="236">
        <v>0</v>
      </c>
      <c r="R632" s="237">
        <f t="shared" si="9"/>
        <v>957599</v>
      </c>
      <c r="S632" s="236"/>
      <c r="T632" s="237">
        <v>462948</v>
      </c>
      <c r="U632" s="238">
        <v>15281</v>
      </c>
      <c r="V632" s="238">
        <v>478229</v>
      </c>
    </row>
    <row r="633" spans="1:22">
      <c r="A633" s="231">
        <v>96911</v>
      </c>
      <c r="B633" s="232" t="s">
        <v>1343</v>
      </c>
      <c r="C633" s="92">
        <v>3.7000000000000002E-6</v>
      </c>
      <c r="D633" s="92">
        <v>1.15E-5</v>
      </c>
      <c r="E633" s="236">
        <v>2162.39</v>
      </c>
      <c r="F633" s="236">
        <v>5161</v>
      </c>
      <c r="G633" s="236">
        <v>7853</v>
      </c>
      <c r="H633" s="236"/>
      <c r="I633" s="237">
        <v>147.53749999999999</v>
      </c>
      <c r="J633" s="237">
        <v>6881</v>
      </c>
      <c r="K633" s="237">
        <v>538</v>
      </c>
      <c r="L633" s="236">
        <v>3997</v>
      </c>
      <c r="M633" s="236"/>
      <c r="N633" s="237">
        <v>275</v>
      </c>
      <c r="O633" s="237">
        <v>2540</v>
      </c>
      <c r="P633" s="237">
        <v>0</v>
      </c>
      <c r="Q633" s="236">
        <v>3716</v>
      </c>
      <c r="R633" s="237">
        <f t="shared" si="9"/>
        <v>4341</v>
      </c>
      <c r="S633" s="236"/>
      <c r="T633" s="237">
        <v>2099</v>
      </c>
      <c r="U633" s="238">
        <v>571</v>
      </c>
      <c r="V633" s="238">
        <v>2669</v>
      </c>
    </row>
    <row r="634" spans="1:22">
      <c r="A634" s="231">
        <v>96912</v>
      </c>
      <c r="B634" s="232" t="s">
        <v>1344</v>
      </c>
      <c r="C634" s="92">
        <v>6.0999999999999999E-5</v>
      </c>
      <c r="D634" s="92">
        <v>5.5899999999999997E-5</v>
      </c>
      <c r="E634" s="236">
        <v>20331.63</v>
      </c>
      <c r="F634" s="236">
        <v>25088</v>
      </c>
      <c r="G634" s="236">
        <v>129462</v>
      </c>
      <c r="H634" s="236"/>
      <c r="I634" s="237">
        <v>2432.375</v>
      </c>
      <c r="J634" s="237">
        <v>113450</v>
      </c>
      <c r="K634" s="237">
        <v>8867</v>
      </c>
      <c r="L634" s="236">
        <v>7641</v>
      </c>
      <c r="M634" s="236"/>
      <c r="N634" s="237">
        <v>4537</v>
      </c>
      <c r="O634" s="237">
        <v>41874</v>
      </c>
      <c r="P634" s="237">
        <v>0</v>
      </c>
      <c r="Q634" s="236">
        <v>1013</v>
      </c>
      <c r="R634" s="237">
        <f t="shared" si="9"/>
        <v>71576</v>
      </c>
      <c r="S634" s="236"/>
      <c r="T634" s="237">
        <v>34603</v>
      </c>
      <c r="U634" s="238">
        <v>3054</v>
      </c>
      <c r="V634" s="238">
        <v>37657</v>
      </c>
    </row>
    <row r="635" spans="1:22">
      <c r="A635" s="231">
        <v>96918</v>
      </c>
      <c r="B635" s="232" t="s">
        <v>1345</v>
      </c>
      <c r="C635" s="92">
        <v>4.0500000000000002E-5</v>
      </c>
      <c r="D635" s="92">
        <v>4.5099999999999998E-5</v>
      </c>
      <c r="E635" s="236">
        <v>18289.97</v>
      </c>
      <c r="F635" s="236">
        <v>20241</v>
      </c>
      <c r="G635" s="236">
        <v>85955</v>
      </c>
      <c r="H635" s="236"/>
      <c r="I635" s="237">
        <v>1614.9375</v>
      </c>
      <c r="J635" s="237">
        <v>75324</v>
      </c>
      <c r="K635" s="237">
        <v>5887</v>
      </c>
      <c r="L635" s="236">
        <v>12921</v>
      </c>
      <c r="M635" s="236"/>
      <c r="N635" s="237">
        <v>3012</v>
      </c>
      <c r="O635" s="237">
        <v>27802</v>
      </c>
      <c r="P635" s="237">
        <v>0</v>
      </c>
      <c r="Q635" s="236">
        <v>1194</v>
      </c>
      <c r="R635" s="237">
        <f t="shared" si="9"/>
        <v>47522</v>
      </c>
      <c r="S635" s="236"/>
      <c r="T635" s="237">
        <v>22974</v>
      </c>
      <c r="U635" s="238">
        <v>5498</v>
      </c>
      <c r="V635" s="238">
        <v>28472</v>
      </c>
    </row>
    <row r="636" spans="1:22">
      <c r="A636" s="231">
        <v>97001</v>
      </c>
      <c r="B636" s="232" t="s">
        <v>1346</v>
      </c>
      <c r="C636" s="92">
        <v>1.3641E-3</v>
      </c>
      <c r="D636" s="92">
        <v>1.3221999999999999E-3</v>
      </c>
      <c r="E636" s="236">
        <v>636604.70000000007</v>
      </c>
      <c r="F636" s="236">
        <v>593395</v>
      </c>
      <c r="G636" s="236">
        <v>2895077</v>
      </c>
      <c r="H636" s="236"/>
      <c r="I636" s="237">
        <v>54393</v>
      </c>
      <c r="J636" s="237">
        <v>2537010</v>
      </c>
      <c r="K636" s="237">
        <v>198287</v>
      </c>
      <c r="L636" s="236">
        <v>107093</v>
      </c>
      <c r="M636" s="236"/>
      <c r="N636" s="237">
        <v>101447</v>
      </c>
      <c r="O636" s="237">
        <v>936397</v>
      </c>
      <c r="P636" s="237">
        <v>0</v>
      </c>
      <c r="Q636" s="236">
        <v>23162</v>
      </c>
      <c r="R636" s="237">
        <f t="shared" si="9"/>
        <v>1600613</v>
      </c>
      <c r="S636" s="236"/>
      <c r="T636" s="237">
        <v>773812</v>
      </c>
      <c r="U636" s="238">
        <v>18430</v>
      </c>
      <c r="V636" s="238">
        <v>792241</v>
      </c>
    </row>
    <row r="637" spans="1:22">
      <c r="A637" s="231">
        <v>97002</v>
      </c>
      <c r="B637" s="232" t="s">
        <v>1347</v>
      </c>
      <c r="C637" s="92">
        <v>4.6589999999999999E-4</v>
      </c>
      <c r="D637" s="92">
        <v>3.9229999999999999E-4</v>
      </c>
      <c r="E637" s="236">
        <v>151526.06</v>
      </c>
      <c r="F637" s="236">
        <v>176062</v>
      </c>
      <c r="G637" s="236">
        <v>988796</v>
      </c>
      <c r="H637" s="236"/>
      <c r="I637" s="237">
        <v>18578</v>
      </c>
      <c r="J637" s="237">
        <v>866500</v>
      </c>
      <c r="K637" s="237">
        <v>67724</v>
      </c>
      <c r="L637" s="236">
        <v>28607</v>
      </c>
      <c r="M637" s="236"/>
      <c r="N637" s="237">
        <v>34649</v>
      </c>
      <c r="O637" s="237">
        <v>319821</v>
      </c>
      <c r="P637" s="237">
        <v>0</v>
      </c>
      <c r="Q637" s="236">
        <v>0</v>
      </c>
      <c r="R637" s="237">
        <f t="shared" si="9"/>
        <v>546679</v>
      </c>
      <c r="S637" s="236"/>
      <c r="T637" s="237">
        <v>264291</v>
      </c>
      <c r="U637" s="238">
        <v>11776</v>
      </c>
      <c r="V637" s="238">
        <v>276066</v>
      </c>
    </row>
    <row r="638" spans="1:22">
      <c r="A638" s="231">
        <v>97004</v>
      </c>
      <c r="B638" s="232" t="s">
        <v>1348</v>
      </c>
      <c r="C638" s="92">
        <v>1.0900000000000001E-5</v>
      </c>
      <c r="D638" s="92">
        <v>1.47E-5</v>
      </c>
      <c r="E638" s="236">
        <v>7359.36</v>
      </c>
      <c r="F638" s="236">
        <v>6597</v>
      </c>
      <c r="G638" s="236">
        <v>23133</v>
      </c>
      <c r="H638" s="236"/>
      <c r="I638" s="237">
        <v>435</v>
      </c>
      <c r="J638" s="237">
        <v>20272</v>
      </c>
      <c r="K638" s="237">
        <v>1584</v>
      </c>
      <c r="L638" s="236">
        <v>3251</v>
      </c>
      <c r="M638" s="236"/>
      <c r="N638" s="237">
        <v>811</v>
      </c>
      <c r="O638" s="237">
        <v>7482</v>
      </c>
      <c r="P638" s="237">
        <v>0</v>
      </c>
      <c r="Q638" s="236">
        <v>0</v>
      </c>
      <c r="R638" s="237">
        <f t="shared" si="9"/>
        <v>12790</v>
      </c>
      <c r="S638" s="236"/>
      <c r="T638" s="237">
        <v>6183</v>
      </c>
      <c r="U638" s="238">
        <v>1295</v>
      </c>
      <c r="V638" s="238">
        <v>7478</v>
      </c>
    </row>
    <row r="639" spans="1:22">
      <c r="A639" s="231">
        <v>97005</v>
      </c>
      <c r="B639" s="232" t="s">
        <v>1349</v>
      </c>
      <c r="C639" s="92">
        <v>1.42E-5</v>
      </c>
      <c r="D639" s="92">
        <v>2.3799999999999999E-5</v>
      </c>
      <c r="E639" s="236">
        <v>10552.87</v>
      </c>
      <c r="F639" s="236">
        <v>10681</v>
      </c>
      <c r="G639" s="236">
        <v>30137</v>
      </c>
      <c r="H639" s="236"/>
      <c r="I639" s="237">
        <v>566.22500000000002</v>
      </c>
      <c r="J639" s="237">
        <v>26410</v>
      </c>
      <c r="K639" s="237">
        <v>2064</v>
      </c>
      <c r="L639" s="236">
        <v>3091</v>
      </c>
      <c r="M639" s="236"/>
      <c r="N639" s="237">
        <v>1056</v>
      </c>
      <c r="O639" s="237">
        <v>9748</v>
      </c>
      <c r="P639" s="237">
        <v>0</v>
      </c>
      <c r="Q639" s="236">
        <v>2036</v>
      </c>
      <c r="R639" s="237">
        <f t="shared" si="9"/>
        <v>16662</v>
      </c>
      <c r="S639" s="236"/>
      <c r="T639" s="237">
        <v>8055</v>
      </c>
      <c r="U639" s="238">
        <v>428</v>
      </c>
      <c r="V639" s="238">
        <v>8483</v>
      </c>
    </row>
    <row r="640" spans="1:22">
      <c r="A640" s="231">
        <v>97008</v>
      </c>
      <c r="B640" s="232" t="s">
        <v>1350</v>
      </c>
      <c r="C640" s="92">
        <v>2.7530000000000002E-4</v>
      </c>
      <c r="D640" s="92">
        <v>2.6959999999999999E-4</v>
      </c>
      <c r="E640" s="236">
        <v>107270.37</v>
      </c>
      <c r="F640" s="236">
        <v>120995</v>
      </c>
      <c r="G640" s="236">
        <v>584279</v>
      </c>
      <c r="H640" s="236"/>
      <c r="I640" s="237">
        <v>10978</v>
      </c>
      <c r="J640" s="237">
        <v>512015</v>
      </c>
      <c r="K640" s="237">
        <v>40018</v>
      </c>
      <c r="L640" s="236">
        <v>14688</v>
      </c>
      <c r="M640" s="236"/>
      <c r="N640" s="237">
        <v>20474</v>
      </c>
      <c r="O640" s="237">
        <v>188982</v>
      </c>
      <c r="P640" s="237">
        <v>0</v>
      </c>
      <c r="Q640" s="236">
        <v>4604</v>
      </c>
      <c r="R640" s="237">
        <f t="shared" si="9"/>
        <v>323033</v>
      </c>
      <c r="S640" s="236"/>
      <c r="T640" s="237">
        <v>156169</v>
      </c>
      <c r="U640" s="238">
        <v>5904</v>
      </c>
      <c r="V640" s="238">
        <v>162074</v>
      </c>
    </row>
    <row r="641" spans="1:22">
      <c r="A641" s="231">
        <v>97010</v>
      </c>
      <c r="B641" s="232" t="s">
        <v>1351</v>
      </c>
      <c r="C641" s="92">
        <v>0</v>
      </c>
      <c r="D641" s="92">
        <v>0</v>
      </c>
      <c r="E641" s="236">
        <v>0</v>
      </c>
      <c r="F641" s="236">
        <v>0</v>
      </c>
      <c r="G641" s="236">
        <v>0</v>
      </c>
      <c r="H641" s="236"/>
      <c r="I641" s="237">
        <v>0</v>
      </c>
      <c r="J641" s="237">
        <v>0</v>
      </c>
      <c r="K641" s="237">
        <v>0</v>
      </c>
      <c r="L641" s="236">
        <v>0</v>
      </c>
      <c r="M641" s="236"/>
      <c r="N641" s="237">
        <v>0</v>
      </c>
      <c r="O641" s="237">
        <v>0</v>
      </c>
      <c r="P641" s="237">
        <v>0</v>
      </c>
      <c r="Q641" s="236">
        <v>3339356</v>
      </c>
      <c r="R641" s="237">
        <f t="shared" si="9"/>
        <v>0</v>
      </c>
      <c r="S641" s="236"/>
      <c r="T641" s="237">
        <v>0</v>
      </c>
      <c r="U641" s="238">
        <v>-1282454</v>
      </c>
      <c r="V641" s="238">
        <v>-1282454</v>
      </c>
    </row>
    <row r="642" spans="1:22">
      <c r="A642" s="231">
        <v>97011</v>
      </c>
      <c r="B642" s="232" t="s">
        <v>1352</v>
      </c>
      <c r="C642" s="92">
        <v>1.9522999999999999E-3</v>
      </c>
      <c r="D642" s="92">
        <v>2.0471E-3</v>
      </c>
      <c r="E642" s="236">
        <v>745774.1399999999</v>
      </c>
      <c r="F642" s="236">
        <v>918726</v>
      </c>
      <c r="G642" s="236">
        <v>4143435</v>
      </c>
      <c r="H642" s="236"/>
      <c r="I642" s="237">
        <v>77848</v>
      </c>
      <c r="J642" s="237">
        <v>3630970</v>
      </c>
      <c r="K642" s="237">
        <v>283788</v>
      </c>
      <c r="L642" s="236">
        <v>0</v>
      </c>
      <c r="M642" s="236"/>
      <c r="N642" s="237">
        <v>145191</v>
      </c>
      <c r="O642" s="237">
        <v>1340172</v>
      </c>
      <c r="P642" s="237">
        <v>0</v>
      </c>
      <c r="Q642" s="236">
        <v>128959</v>
      </c>
      <c r="R642" s="237">
        <f t="shared" si="9"/>
        <v>2290798</v>
      </c>
      <c r="S642" s="236"/>
      <c r="T642" s="237">
        <v>1107479</v>
      </c>
      <c r="U642" s="238">
        <v>-38250</v>
      </c>
      <c r="V642" s="238">
        <v>1069229</v>
      </c>
    </row>
    <row r="643" spans="1:22">
      <c r="A643" s="231">
        <v>97012</v>
      </c>
      <c r="B643" s="232" t="s">
        <v>1353</v>
      </c>
      <c r="C643" s="92">
        <v>2.4499999999999999E-5</v>
      </c>
      <c r="D643" s="92">
        <v>2.4199999999999999E-5</v>
      </c>
      <c r="E643" s="236">
        <v>14173.02</v>
      </c>
      <c r="F643" s="236">
        <v>10861</v>
      </c>
      <c r="G643" s="236">
        <v>51997</v>
      </c>
      <c r="H643" s="236"/>
      <c r="I643" s="237">
        <v>976.9375</v>
      </c>
      <c r="J643" s="237">
        <v>45566</v>
      </c>
      <c r="K643" s="237">
        <v>3561</v>
      </c>
      <c r="L643" s="236">
        <v>3417</v>
      </c>
      <c r="M643" s="236"/>
      <c r="N643" s="237">
        <v>1822</v>
      </c>
      <c r="O643" s="237">
        <v>16818</v>
      </c>
      <c r="P643" s="237">
        <v>0</v>
      </c>
      <c r="Q643" s="236">
        <v>1887</v>
      </c>
      <c r="R643" s="237">
        <f t="shared" si="9"/>
        <v>28748</v>
      </c>
      <c r="S643" s="236"/>
      <c r="T643" s="237">
        <v>13898</v>
      </c>
      <c r="U643" s="238">
        <v>148</v>
      </c>
      <c r="V643" s="238">
        <v>14046</v>
      </c>
    </row>
    <row r="644" spans="1:22">
      <c r="A644" s="231">
        <v>97013</v>
      </c>
      <c r="B644" s="232" t="s">
        <v>1354</v>
      </c>
      <c r="C644" s="92">
        <v>2.0699999999999998E-5</v>
      </c>
      <c r="D644" s="92">
        <v>1.1399999999999999E-5</v>
      </c>
      <c r="E644" s="236">
        <v>8196.81</v>
      </c>
      <c r="F644" s="236">
        <v>5116</v>
      </c>
      <c r="G644" s="236">
        <v>43932</v>
      </c>
      <c r="H644" s="236"/>
      <c r="I644" s="237">
        <v>825</v>
      </c>
      <c r="J644" s="237">
        <v>38499</v>
      </c>
      <c r="K644" s="237">
        <v>3009</v>
      </c>
      <c r="L644" s="236">
        <v>7733</v>
      </c>
      <c r="M644" s="236"/>
      <c r="N644" s="237">
        <v>1539</v>
      </c>
      <c r="O644" s="237">
        <v>14210</v>
      </c>
      <c r="P644" s="237">
        <v>0</v>
      </c>
      <c r="Q644" s="236">
        <v>866</v>
      </c>
      <c r="R644" s="237">
        <f t="shared" si="9"/>
        <v>24289</v>
      </c>
      <c r="S644" s="236"/>
      <c r="T644" s="237">
        <v>11742</v>
      </c>
      <c r="U644" s="238">
        <v>1850</v>
      </c>
      <c r="V644" s="238">
        <v>13592</v>
      </c>
    </row>
    <row r="645" spans="1:22">
      <c r="A645" s="231">
        <v>97015</v>
      </c>
      <c r="B645" s="232" t="s">
        <v>1355</v>
      </c>
      <c r="C645" s="92">
        <v>5.3699999999999997E-5</v>
      </c>
      <c r="D645" s="92">
        <v>4.7700000000000001E-5</v>
      </c>
      <c r="E645" s="236">
        <v>21900.080000000002</v>
      </c>
      <c r="F645" s="236">
        <v>21407</v>
      </c>
      <c r="G645" s="236">
        <v>113969</v>
      </c>
      <c r="H645" s="236"/>
      <c r="I645" s="237">
        <v>2141</v>
      </c>
      <c r="J645" s="237">
        <v>99874</v>
      </c>
      <c r="K645" s="237">
        <v>7806</v>
      </c>
      <c r="L645" s="236">
        <v>6681</v>
      </c>
      <c r="M645" s="236"/>
      <c r="N645" s="237">
        <v>3994</v>
      </c>
      <c r="O645" s="237">
        <v>36863</v>
      </c>
      <c r="P645" s="237">
        <v>0</v>
      </c>
      <c r="Q645" s="236">
        <v>1588</v>
      </c>
      <c r="R645" s="237">
        <f t="shared" si="9"/>
        <v>63011</v>
      </c>
      <c r="S645" s="236"/>
      <c r="T645" s="237">
        <v>30462</v>
      </c>
      <c r="U645" s="238">
        <v>1274</v>
      </c>
      <c r="V645" s="238">
        <v>31737</v>
      </c>
    </row>
    <row r="646" spans="1:22">
      <c r="A646" s="231">
        <v>97018</v>
      </c>
      <c r="B646" s="232" t="s">
        <v>1356</v>
      </c>
      <c r="C646" s="92">
        <v>9.3999999999999998E-6</v>
      </c>
      <c r="D646" s="92">
        <v>9.5000000000000005E-6</v>
      </c>
      <c r="E646" s="236">
        <v>7336.3199999999988</v>
      </c>
      <c r="F646" s="236">
        <v>4264</v>
      </c>
      <c r="G646" s="236">
        <v>19950</v>
      </c>
      <c r="H646" s="236"/>
      <c r="I646" s="237">
        <v>374.82499999999999</v>
      </c>
      <c r="J646" s="237">
        <v>17483</v>
      </c>
      <c r="K646" s="237">
        <v>1366</v>
      </c>
      <c r="L646" s="236">
        <v>6124</v>
      </c>
      <c r="M646" s="236"/>
      <c r="N646" s="237">
        <v>699</v>
      </c>
      <c r="O646" s="237">
        <v>6453</v>
      </c>
      <c r="P646" s="237">
        <v>0</v>
      </c>
      <c r="Q646" s="236">
        <v>0</v>
      </c>
      <c r="R646" s="237">
        <f t="shared" si="9"/>
        <v>11030</v>
      </c>
      <c r="S646" s="236"/>
      <c r="T646" s="237">
        <v>5332</v>
      </c>
      <c r="U646" s="238">
        <v>2103</v>
      </c>
      <c r="V646" s="238">
        <v>7435</v>
      </c>
    </row>
    <row r="647" spans="1:22">
      <c r="A647" s="231">
        <v>97101</v>
      </c>
      <c r="B647" s="232" t="s">
        <v>1357</v>
      </c>
      <c r="C647" s="92">
        <v>2.6029E-3</v>
      </c>
      <c r="D647" s="92">
        <v>2.5864999999999998E-3</v>
      </c>
      <c r="E647" s="236">
        <v>1065743.6500000001</v>
      </c>
      <c r="F647" s="236">
        <v>1160806</v>
      </c>
      <c r="G647" s="236">
        <v>5524226</v>
      </c>
      <c r="H647" s="236"/>
      <c r="I647" s="237">
        <v>103791</v>
      </c>
      <c r="J647" s="237">
        <v>4840983</v>
      </c>
      <c r="K647" s="237">
        <v>378360</v>
      </c>
      <c r="L647" s="236">
        <v>28605</v>
      </c>
      <c r="M647" s="236"/>
      <c r="N647" s="237">
        <v>193575</v>
      </c>
      <c r="O647" s="237">
        <v>1786782</v>
      </c>
      <c r="P647" s="237">
        <v>0</v>
      </c>
      <c r="Q647" s="236">
        <v>13944</v>
      </c>
      <c r="R647" s="237">
        <f t="shared" si="9"/>
        <v>3054201</v>
      </c>
      <c r="S647" s="236"/>
      <c r="T647" s="237">
        <v>1476544</v>
      </c>
      <c r="U647" s="238">
        <v>2643</v>
      </c>
      <c r="V647" s="238">
        <v>1479187</v>
      </c>
    </row>
    <row r="648" spans="1:22">
      <c r="A648" s="231">
        <v>97104</v>
      </c>
      <c r="B648" s="232" t="s">
        <v>1358</v>
      </c>
      <c r="C648" s="92">
        <v>5.6799999999999998E-5</v>
      </c>
      <c r="D648" s="92">
        <v>5.2099999999999999E-5</v>
      </c>
      <c r="E648" s="236">
        <v>26203.390000000003</v>
      </c>
      <c r="F648" s="236">
        <v>23382</v>
      </c>
      <c r="G648" s="236">
        <v>120549</v>
      </c>
      <c r="H648" s="236"/>
      <c r="I648" s="237">
        <v>2264.9</v>
      </c>
      <c r="J648" s="237">
        <v>105639</v>
      </c>
      <c r="K648" s="237">
        <v>8257</v>
      </c>
      <c r="L648" s="236">
        <v>15710</v>
      </c>
      <c r="M648" s="236"/>
      <c r="N648" s="237">
        <v>4224</v>
      </c>
      <c r="O648" s="237">
        <v>38991</v>
      </c>
      <c r="P648" s="237">
        <v>0</v>
      </c>
      <c r="Q648" s="236">
        <v>0</v>
      </c>
      <c r="R648" s="237">
        <f t="shared" si="9"/>
        <v>66648</v>
      </c>
      <c r="S648" s="236"/>
      <c r="T648" s="237">
        <v>32221</v>
      </c>
      <c r="U648" s="238">
        <v>5708</v>
      </c>
      <c r="V648" s="238">
        <v>37929</v>
      </c>
    </row>
    <row r="649" spans="1:22">
      <c r="A649" s="231">
        <v>97111</v>
      </c>
      <c r="B649" s="232" t="s">
        <v>1359</v>
      </c>
      <c r="C649" s="92">
        <v>2.7099999999999997E-4</v>
      </c>
      <c r="D649" s="92">
        <v>2.5099999999999998E-4</v>
      </c>
      <c r="E649" s="236">
        <v>99518.98</v>
      </c>
      <c r="F649" s="236">
        <v>112647</v>
      </c>
      <c r="G649" s="236">
        <v>575153</v>
      </c>
      <c r="H649" s="236"/>
      <c r="I649" s="237">
        <v>10806</v>
      </c>
      <c r="J649" s="237">
        <v>504017</v>
      </c>
      <c r="K649" s="237">
        <v>39393</v>
      </c>
      <c r="L649" s="236">
        <v>14654</v>
      </c>
      <c r="M649" s="236"/>
      <c r="N649" s="237">
        <v>20154</v>
      </c>
      <c r="O649" s="237">
        <v>186030</v>
      </c>
      <c r="P649" s="237">
        <v>0</v>
      </c>
      <c r="Q649" s="236">
        <v>17411</v>
      </c>
      <c r="R649" s="237">
        <f t="shared" ref="R649:R712" si="10">IF(J649&gt;O649,J649-O649,O649-J649)</f>
        <v>317987</v>
      </c>
      <c r="S649" s="236"/>
      <c r="T649" s="237">
        <v>153730</v>
      </c>
      <c r="U649" s="238">
        <v>858</v>
      </c>
      <c r="V649" s="238">
        <v>154588</v>
      </c>
    </row>
    <row r="650" spans="1:22">
      <c r="A650" s="231">
        <v>97121</v>
      </c>
      <c r="B650" s="232" t="s">
        <v>1360</v>
      </c>
      <c r="C650" s="92">
        <v>1.2070000000000001E-4</v>
      </c>
      <c r="D650" s="92">
        <v>1.495E-4</v>
      </c>
      <c r="E650" s="236">
        <v>55080.780000000006</v>
      </c>
      <c r="F650" s="236">
        <v>67095</v>
      </c>
      <c r="G650" s="236">
        <v>256166</v>
      </c>
      <c r="H650" s="236"/>
      <c r="I650" s="237">
        <v>4813</v>
      </c>
      <c r="J650" s="237">
        <v>224483</v>
      </c>
      <c r="K650" s="237">
        <v>17545</v>
      </c>
      <c r="L650" s="236">
        <v>0</v>
      </c>
      <c r="M650" s="236"/>
      <c r="N650" s="237">
        <v>8976</v>
      </c>
      <c r="O650" s="237">
        <v>82855</v>
      </c>
      <c r="P650" s="237">
        <v>0</v>
      </c>
      <c r="Q650" s="236">
        <v>14541</v>
      </c>
      <c r="R650" s="237">
        <f t="shared" si="10"/>
        <v>141628</v>
      </c>
      <c r="S650" s="236"/>
      <c r="T650" s="237">
        <v>68469</v>
      </c>
      <c r="U650" s="238">
        <v>-4515</v>
      </c>
      <c r="V650" s="238">
        <v>63954</v>
      </c>
    </row>
    <row r="651" spans="1:22">
      <c r="A651" s="231">
        <v>97131</v>
      </c>
      <c r="B651" s="232" t="s">
        <v>1361</v>
      </c>
      <c r="C651" s="92">
        <v>6.2969999999999996E-4</v>
      </c>
      <c r="D651" s="92">
        <v>5.9650000000000002E-4</v>
      </c>
      <c r="E651" s="236">
        <v>232414.21000000002</v>
      </c>
      <c r="F651" s="236">
        <v>267706</v>
      </c>
      <c r="G651" s="236">
        <v>1336434</v>
      </c>
      <c r="H651" s="236"/>
      <c r="I651" s="237">
        <v>25109</v>
      </c>
      <c r="J651" s="237">
        <v>1171143</v>
      </c>
      <c r="K651" s="237">
        <v>91534</v>
      </c>
      <c r="L651" s="236">
        <v>6841</v>
      </c>
      <c r="M651" s="236"/>
      <c r="N651" s="237">
        <v>46830</v>
      </c>
      <c r="O651" s="237">
        <v>432263</v>
      </c>
      <c r="P651" s="237">
        <v>0</v>
      </c>
      <c r="Q651" s="236">
        <v>3274</v>
      </c>
      <c r="R651" s="237">
        <f t="shared" si="10"/>
        <v>738880</v>
      </c>
      <c r="S651" s="236"/>
      <c r="T651" s="237">
        <v>357209</v>
      </c>
      <c r="U651" s="238">
        <v>1535</v>
      </c>
      <c r="V651" s="238">
        <v>358745</v>
      </c>
    </row>
    <row r="652" spans="1:22">
      <c r="A652" s="231">
        <v>97201</v>
      </c>
      <c r="B652" s="232" t="s">
        <v>1362</v>
      </c>
      <c r="C652" s="92">
        <v>4.9439999999999998E-4</v>
      </c>
      <c r="D652" s="92">
        <v>4.7249999999999999E-4</v>
      </c>
      <c r="E652" s="236">
        <v>214121.60000000001</v>
      </c>
      <c r="F652" s="236">
        <v>212055</v>
      </c>
      <c r="G652" s="236">
        <v>1049282</v>
      </c>
      <c r="H652" s="236"/>
      <c r="I652" s="237">
        <v>19714.2</v>
      </c>
      <c r="J652" s="237">
        <v>919506</v>
      </c>
      <c r="K652" s="237">
        <v>71866</v>
      </c>
      <c r="L652" s="236">
        <v>22797</v>
      </c>
      <c r="M652" s="236"/>
      <c r="N652" s="237">
        <v>36768</v>
      </c>
      <c r="O652" s="237">
        <v>339385</v>
      </c>
      <c r="P652" s="237">
        <v>0</v>
      </c>
      <c r="Q652" s="236">
        <v>3773</v>
      </c>
      <c r="R652" s="237">
        <f t="shared" si="10"/>
        <v>580121</v>
      </c>
      <c r="S652" s="236"/>
      <c r="T652" s="237">
        <v>280458</v>
      </c>
      <c r="U652" s="238">
        <v>4235</v>
      </c>
      <c r="V652" s="238">
        <v>284693</v>
      </c>
    </row>
    <row r="653" spans="1:22">
      <c r="A653" s="231">
        <v>97211</v>
      </c>
      <c r="B653" s="232" t="s">
        <v>1363</v>
      </c>
      <c r="C653" s="92">
        <v>1.4119999999999999E-4</v>
      </c>
      <c r="D653" s="92">
        <v>1.7689999999999999E-4</v>
      </c>
      <c r="E653" s="236">
        <v>62098.209999999992</v>
      </c>
      <c r="F653" s="236">
        <v>79392</v>
      </c>
      <c r="G653" s="236">
        <v>299674</v>
      </c>
      <c r="H653" s="236"/>
      <c r="I653" s="237">
        <v>5630</v>
      </c>
      <c r="J653" s="237">
        <v>262610</v>
      </c>
      <c r="K653" s="237">
        <v>20525</v>
      </c>
      <c r="L653" s="236">
        <v>3573</v>
      </c>
      <c r="M653" s="236"/>
      <c r="N653" s="237">
        <v>10501</v>
      </c>
      <c r="O653" s="237">
        <v>96928</v>
      </c>
      <c r="P653" s="237">
        <v>0</v>
      </c>
      <c r="Q653" s="236">
        <v>16466</v>
      </c>
      <c r="R653" s="237">
        <f t="shared" si="10"/>
        <v>165682</v>
      </c>
      <c r="S653" s="236"/>
      <c r="T653" s="237">
        <v>80098</v>
      </c>
      <c r="U653" s="238">
        <v>-3079</v>
      </c>
      <c r="V653" s="238">
        <v>77020</v>
      </c>
    </row>
    <row r="654" spans="1:22">
      <c r="A654" s="231">
        <v>97213</v>
      </c>
      <c r="B654" s="232" t="s">
        <v>1364</v>
      </c>
      <c r="C654" s="92">
        <v>3.8300000000000003E-5</v>
      </c>
      <c r="D654" s="92">
        <v>4.0800000000000002E-5</v>
      </c>
      <c r="E654" s="236">
        <v>16614.780000000002</v>
      </c>
      <c r="F654" s="236">
        <v>18311</v>
      </c>
      <c r="G654" s="236">
        <v>81285</v>
      </c>
      <c r="H654" s="236"/>
      <c r="I654" s="237">
        <v>1527</v>
      </c>
      <c r="J654" s="237">
        <v>71232</v>
      </c>
      <c r="K654" s="237">
        <v>5567</v>
      </c>
      <c r="L654" s="236">
        <v>1545</v>
      </c>
      <c r="M654" s="236"/>
      <c r="N654" s="237">
        <v>2848</v>
      </c>
      <c r="O654" s="237">
        <v>26291</v>
      </c>
      <c r="P654" s="237">
        <v>0</v>
      </c>
      <c r="Q654" s="236">
        <v>668</v>
      </c>
      <c r="R654" s="237">
        <f t="shared" si="10"/>
        <v>44941</v>
      </c>
      <c r="S654" s="236"/>
      <c r="T654" s="237">
        <v>21726</v>
      </c>
      <c r="U654" s="238">
        <v>577</v>
      </c>
      <c r="V654" s="238">
        <v>22303</v>
      </c>
    </row>
    <row r="655" spans="1:22">
      <c r="A655" s="231">
        <v>97217</v>
      </c>
      <c r="B655" s="232" t="s">
        <v>1365</v>
      </c>
      <c r="C655" s="92">
        <v>4.8999999999999997E-6</v>
      </c>
      <c r="D655" s="92">
        <v>5.0000000000000004E-6</v>
      </c>
      <c r="E655" s="236">
        <v>6184.6800000000012</v>
      </c>
      <c r="F655" s="236">
        <v>2244</v>
      </c>
      <c r="G655" s="236">
        <v>10399</v>
      </c>
      <c r="H655" s="236"/>
      <c r="I655" s="237">
        <v>195.38749999999999</v>
      </c>
      <c r="J655" s="237">
        <v>9113</v>
      </c>
      <c r="K655" s="237">
        <v>712</v>
      </c>
      <c r="L655" s="236">
        <v>6975</v>
      </c>
      <c r="M655" s="236"/>
      <c r="N655" s="237">
        <v>364</v>
      </c>
      <c r="O655" s="237">
        <v>3364</v>
      </c>
      <c r="P655" s="237">
        <v>0</v>
      </c>
      <c r="Q655" s="236">
        <v>0</v>
      </c>
      <c r="R655" s="237">
        <f t="shared" si="10"/>
        <v>5749</v>
      </c>
      <c r="S655" s="236"/>
      <c r="T655" s="237">
        <v>2780</v>
      </c>
      <c r="U655" s="238">
        <v>2381</v>
      </c>
      <c r="V655" s="238">
        <v>5160</v>
      </c>
    </row>
    <row r="656" spans="1:22">
      <c r="A656" s="231">
        <v>97221</v>
      </c>
      <c r="B656" s="232" t="s">
        <v>1366</v>
      </c>
      <c r="C656" s="92">
        <v>6.1999999999999999E-6</v>
      </c>
      <c r="D656" s="92">
        <v>6.2999999999999998E-6</v>
      </c>
      <c r="E656" s="236">
        <v>6603.27</v>
      </c>
      <c r="F656" s="236">
        <v>2827</v>
      </c>
      <c r="G656" s="236">
        <v>13158</v>
      </c>
      <c r="H656" s="236"/>
      <c r="I656" s="237">
        <v>247.22499999999999</v>
      </c>
      <c r="J656" s="237">
        <v>11531</v>
      </c>
      <c r="K656" s="237">
        <v>901</v>
      </c>
      <c r="L656" s="236">
        <v>5895</v>
      </c>
      <c r="M656" s="236"/>
      <c r="N656" s="237">
        <v>461</v>
      </c>
      <c r="O656" s="237">
        <v>4256</v>
      </c>
      <c r="P656" s="237">
        <v>0</v>
      </c>
      <c r="Q656" s="236">
        <v>0</v>
      </c>
      <c r="R656" s="237">
        <f t="shared" si="10"/>
        <v>7275</v>
      </c>
      <c r="S656" s="236"/>
      <c r="T656" s="237">
        <v>3517</v>
      </c>
      <c r="U656" s="238">
        <v>2057</v>
      </c>
      <c r="V656" s="238">
        <v>5574</v>
      </c>
    </row>
    <row r="657" spans="1:22">
      <c r="A657" s="231">
        <v>97301</v>
      </c>
      <c r="B657" s="232" t="s">
        <v>1367</v>
      </c>
      <c r="C657" s="92">
        <v>2.5742E-3</v>
      </c>
      <c r="D657" s="92">
        <v>2.6905000000000002E-3</v>
      </c>
      <c r="E657" s="236">
        <v>1080030.6199999999</v>
      </c>
      <c r="F657" s="236">
        <v>1207480</v>
      </c>
      <c r="G657" s="236">
        <v>5463315</v>
      </c>
      <c r="H657" s="236"/>
      <c r="I657" s="237">
        <v>102646</v>
      </c>
      <c r="J657" s="237">
        <v>4787605</v>
      </c>
      <c r="K657" s="237">
        <v>374188</v>
      </c>
      <c r="L657" s="236">
        <v>36738</v>
      </c>
      <c r="M657" s="236"/>
      <c r="N657" s="237">
        <v>191441</v>
      </c>
      <c r="O657" s="237">
        <v>1767080</v>
      </c>
      <c r="P657" s="237">
        <v>0</v>
      </c>
      <c r="Q657" s="236">
        <v>62348</v>
      </c>
      <c r="R657" s="237">
        <f t="shared" si="10"/>
        <v>3020525</v>
      </c>
      <c r="S657" s="236"/>
      <c r="T657" s="237">
        <v>1460264</v>
      </c>
      <c r="U657" s="238">
        <v>-7105</v>
      </c>
      <c r="V657" s="238">
        <v>1453159</v>
      </c>
    </row>
    <row r="658" spans="1:22">
      <c r="A658" s="231">
        <v>97304</v>
      </c>
      <c r="B658" s="232" t="s">
        <v>1368</v>
      </c>
      <c r="C658" s="92">
        <v>1.7600000000000001E-5</v>
      </c>
      <c r="D658" s="92">
        <v>1.8499999999999999E-5</v>
      </c>
      <c r="E658" s="236">
        <v>11927.640000000001</v>
      </c>
      <c r="F658" s="236">
        <v>8303</v>
      </c>
      <c r="G658" s="236">
        <v>37353</v>
      </c>
      <c r="H658" s="236"/>
      <c r="I658" s="237">
        <v>702</v>
      </c>
      <c r="J658" s="237">
        <v>32733</v>
      </c>
      <c r="K658" s="237">
        <v>2558</v>
      </c>
      <c r="L658" s="236">
        <v>7244</v>
      </c>
      <c r="M658" s="236"/>
      <c r="N658" s="237">
        <v>1309</v>
      </c>
      <c r="O658" s="237">
        <v>12082</v>
      </c>
      <c r="P658" s="237">
        <v>0</v>
      </c>
      <c r="Q658" s="236">
        <v>0</v>
      </c>
      <c r="R658" s="237">
        <f t="shared" si="10"/>
        <v>20651</v>
      </c>
      <c r="S658" s="236"/>
      <c r="T658" s="237">
        <v>9984</v>
      </c>
      <c r="U658" s="238">
        <v>2504</v>
      </c>
      <c r="V658" s="238">
        <v>12488</v>
      </c>
    </row>
    <row r="659" spans="1:22">
      <c r="A659" s="231">
        <v>97311</v>
      </c>
      <c r="B659" s="232" t="s">
        <v>1369</v>
      </c>
      <c r="C659" s="92">
        <v>9.5E-4</v>
      </c>
      <c r="D659" s="92">
        <v>1.0311000000000001E-3</v>
      </c>
      <c r="E659" s="236">
        <v>367318.43000000005</v>
      </c>
      <c r="F659" s="236">
        <v>462751</v>
      </c>
      <c r="G659" s="236">
        <v>2016218.25</v>
      </c>
      <c r="H659" s="236"/>
      <c r="I659" s="237">
        <v>37881.25</v>
      </c>
      <c r="J659" s="237">
        <v>1766849.9</v>
      </c>
      <c r="K659" s="237">
        <v>138093</v>
      </c>
      <c r="L659" s="236">
        <v>0</v>
      </c>
      <c r="M659" s="236"/>
      <c r="N659" s="237">
        <v>70650.55</v>
      </c>
      <c r="O659" s="237">
        <v>652135.1</v>
      </c>
      <c r="P659" s="237">
        <v>0</v>
      </c>
      <c r="Q659" s="236">
        <v>97758</v>
      </c>
      <c r="R659" s="237">
        <f t="shared" si="10"/>
        <v>1114714.7999999998</v>
      </c>
      <c r="S659" s="236"/>
      <c r="T659" s="237">
        <v>538906</v>
      </c>
      <c r="U659" s="238">
        <v>-33821</v>
      </c>
      <c r="V659" s="238">
        <v>505085</v>
      </c>
    </row>
    <row r="660" spans="1:22">
      <c r="A660" s="231">
        <v>97401</v>
      </c>
      <c r="B660" s="232" t="s">
        <v>1370</v>
      </c>
      <c r="C660" s="92">
        <v>6.9633000000000004E-3</v>
      </c>
      <c r="D660" s="92">
        <v>6.9844E-3</v>
      </c>
      <c r="E660" s="236">
        <v>2848906.9899999998</v>
      </c>
      <c r="F660" s="236">
        <v>3134557</v>
      </c>
      <c r="G660" s="236">
        <v>14778455</v>
      </c>
      <c r="H660" s="236"/>
      <c r="I660" s="237">
        <v>277662</v>
      </c>
      <c r="J660" s="237">
        <v>12950638</v>
      </c>
      <c r="K660" s="237">
        <v>1012192</v>
      </c>
      <c r="L660" s="236">
        <v>0</v>
      </c>
      <c r="M660" s="236"/>
      <c r="N660" s="237">
        <v>517854</v>
      </c>
      <c r="O660" s="237">
        <v>4780013</v>
      </c>
      <c r="P660" s="237">
        <v>0</v>
      </c>
      <c r="Q660" s="236">
        <v>142656</v>
      </c>
      <c r="R660" s="237">
        <f t="shared" si="10"/>
        <v>8170625</v>
      </c>
      <c r="S660" s="236"/>
      <c r="T660" s="237">
        <v>3950064</v>
      </c>
      <c r="U660" s="238">
        <v>-59462</v>
      </c>
      <c r="V660" s="238">
        <v>3890602</v>
      </c>
    </row>
    <row r="661" spans="1:22">
      <c r="A661" s="231">
        <v>97402</v>
      </c>
      <c r="B661" s="232" t="s">
        <v>1371</v>
      </c>
      <c r="C661" s="92">
        <v>4.4700000000000002E-5</v>
      </c>
      <c r="D661" s="92">
        <v>2.3799999999999999E-5</v>
      </c>
      <c r="E661" s="236">
        <v>21076.7</v>
      </c>
      <c r="F661" s="236">
        <v>10681</v>
      </c>
      <c r="G661" s="236">
        <v>94868</v>
      </c>
      <c r="H661" s="236"/>
      <c r="I661" s="237">
        <v>1782</v>
      </c>
      <c r="J661" s="237">
        <v>83135</v>
      </c>
      <c r="K661" s="237">
        <v>6498</v>
      </c>
      <c r="L661" s="236">
        <v>15050</v>
      </c>
      <c r="M661" s="236"/>
      <c r="N661" s="237">
        <v>3324</v>
      </c>
      <c r="O661" s="237">
        <v>30685</v>
      </c>
      <c r="P661" s="237">
        <v>0</v>
      </c>
      <c r="Q661" s="236">
        <v>0</v>
      </c>
      <c r="R661" s="237">
        <f t="shared" si="10"/>
        <v>52450</v>
      </c>
      <c r="S661" s="236"/>
      <c r="T661" s="237">
        <v>25357</v>
      </c>
      <c r="U661" s="238">
        <v>4096</v>
      </c>
      <c r="V661" s="238">
        <v>29453</v>
      </c>
    </row>
    <row r="662" spans="1:22">
      <c r="A662" s="231">
        <v>97404</v>
      </c>
      <c r="B662" s="232" t="s">
        <v>1372</v>
      </c>
      <c r="C662" s="92">
        <v>2.1049999999999999E-4</v>
      </c>
      <c r="D662" s="92">
        <v>2.1249999999999999E-4</v>
      </c>
      <c r="E662" s="236">
        <v>73914.680000000008</v>
      </c>
      <c r="F662" s="236">
        <v>95369</v>
      </c>
      <c r="G662" s="236">
        <v>446752</v>
      </c>
      <c r="H662" s="236"/>
      <c r="I662" s="237">
        <v>8393.6875</v>
      </c>
      <c r="J662" s="237">
        <v>391497</v>
      </c>
      <c r="K662" s="237">
        <v>30598</v>
      </c>
      <c r="L662" s="236">
        <v>1976</v>
      </c>
      <c r="M662" s="236"/>
      <c r="N662" s="237">
        <v>15655</v>
      </c>
      <c r="O662" s="237">
        <v>144499</v>
      </c>
      <c r="P662" s="237">
        <v>0</v>
      </c>
      <c r="Q662" s="236">
        <v>16111</v>
      </c>
      <c r="R662" s="237">
        <f t="shared" si="10"/>
        <v>246998</v>
      </c>
      <c r="S662" s="236"/>
      <c r="T662" s="237">
        <v>119410</v>
      </c>
      <c r="U662" s="238">
        <v>-3656</v>
      </c>
      <c r="V662" s="238">
        <v>115754</v>
      </c>
    </row>
    <row r="663" spans="1:22">
      <c r="A663" s="231">
        <v>97405</v>
      </c>
      <c r="B663" s="232" t="s">
        <v>1373</v>
      </c>
      <c r="C663" s="92">
        <v>1.087E-4</v>
      </c>
      <c r="D663" s="92">
        <v>1.081E-4</v>
      </c>
      <c r="E663" s="236">
        <v>55456.069999999992</v>
      </c>
      <c r="F663" s="236">
        <v>48515</v>
      </c>
      <c r="G663" s="236">
        <v>230698</v>
      </c>
      <c r="H663" s="236"/>
      <c r="I663" s="237">
        <v>4334</v>
      </c>
      <c r="J663" s="237">
        <v>202165</v>
      </c>
      <c r="K663" s="237">
        <v>15801</v>
      </c>
      <c r="L663" s="236">
        <v>20704</v>
      </c>
      <c r="M663" s="236"/>
      <c r="N663" s="237">
        <v>8084</v>
      </c>
      <c r="O663" s="237">
        <v>74618</v>
      </c>
      <c r="P663" s="237">
        <v>0</v>
      </c>
      <c r="Q663" s="236">
        <v>9828.61</v>
      </c>
      <c r="R663" s="237">
        <f t="shared" si="10"/>
        <v>127547</v>
      </c>
      <c r="S663" s="236"/>
      <c r="T663" s="237">
        <v>61662</v>
      </c>
      <c r="U663" s="238">
        <v>1556</v>
      </c>
      <c r="V663" s="238">
        <v>63218</v>
      </c>
    </row>
    <row r="664" spans="1:22">
      <c r="A664" s="231">
        <v>97408</v>
      </c>
      <c r="B664" s="232" t="s">
        <v>1374</v>
      </c>
      <c r="C664" s="92">
        <v>4.9299999999999999E-5</v>
      </c>
      <c r="D664" s="92">
        <v>5.1199999999999998E-5</v>
      </c>
      <c r="E664" s="236">
        <v>28028.109999999997</v>
      </c>
      <c r="F664" s="236">
        <v>22978</v>
      </c>
      <c r="G664" s="236">
        <v>104631</v>
      </c>
      <c r="H664" s="236"/>
      <c r="I664" s="237">
        <v>1966</v>
      </c>
      <c r="J664" s="237">
        <v>91690</v>
      </c>
      <c r="K664" s="237">
        <v>7166</v>
      </c>
      <c r="L664" s="236">
        <v>7585</v>
      </c>
      <c r="M664" s="236"/>
      <c r="N664" s="237">
        <v>3666</v>
      </c>
      <c r="O664" s="237">
        <v>33842</v>
      </c>
      <c r="P664" s="237">
        <v>0</v>
      </c>
      <c r="Q664" s="236">
        <v>0</v>
      </c>
      <c r="R664" s="237">
        <f t="shared" si="10"/>
        <v>57848</v>
      </c>
      <c r="S664" s="236"/>
      <c r="T664" s="237">
        <v>27966</v>
      </c>
      <c r="U664" s="238">
        <v>2375</v>
      </c>
      <c r="V664" s="238">
        <v>30341</v>
      </c>
    </row>
    <row r="665" spans="1:22">
      <c r="A665" s="231">
        <v>97411</v>
      </c>
      <c r="B665" s="232" t="s">
        <v>1375</v>
      </c>
      <c r="C665" s="92">
        <v>6.7269000000000001E-3</v>
      </c>
      <c r="D665" s="92">
        <v>7.0987000000000003E-3</v>
      </c>
      <c r="E665" s="236">
        <v>2531536.58</v>
      </c>
      <c r="F665" s="236">
        <v>3185854</v>
      </c>
      <c r="G665" s="236">
        <v>14276735</v>
      </c>
      <c r="H665" s="236"/>
      <c r="I665" s="237">
        <v>268235</v>
      </c>
      <c r="J665" s="237">
        <v>12510971</v>
      </c>
      <c r="K665" s="237">
        <v>977829</v>
      </c>
      <c r="L665" s="236">
        <v>0</v>
      </c>
      <c r="M665" s="236"/>
      <c r="N665" s="237">
        <v>500273</v>
      </c>
      <c r="O665" s="237">
        <v>4617734</v>
      </c>
      <c r="P665" s="237">
        <v>0</v>
      </c>
      <c r="Q665" s="236">
        <v>854591</v>
      </c>
      <c r="R665" s="237">
        <f t="shared" si="10"/>
        <v>7893237</v>
      </c>
      <c r="S665" s="236"/>
      <c r="T665" s="237">
        <v>3815962</v>
      </c>
      <c r="U665" s="238">
        <v>-289319</v>
      </c>
      <c r="V665" s="238">
        <v>3526643</v>
      </c>
    </row>
    <row r="666" spans="1:22">
      <c r="A666" s="231">
        <v>97412</v>
      </c>
      <c r="B666" s="232" t="s">
        <v>1376</v>
      </c>
      <c r="C666" s="92">
        <v>4.424E-3</v>
      </c>
      <c r="D666" s="92">
        <v>4.1891999999999997E-3</v>
      </c>
      <c r="E666" s="236">
        <v>1763681.7500000002</v>
      </c>
      <c r="F666" s="236">
        <v>1880088</v>
      </c>
      <c r="G666" s="236">
        <v>9389210</v>
      </c>
      <c r="H666" s="236"/>
      <c r="I666" s="237">
        <v>176407</v>
      </c>
      <c r="J666" s="237">
        <v>8227941</v>
      </c>
      <c r="K666" s="237">
        <v>643077</v>
      </c>
      <c r="L666" s="236">
        <v>158642</v>
      </c>
      <c r="M666" s="236"/>
      <c r="N666" s="237">
        <v>329008</v>
      </c>
      <c r="O666" s="237">
        <v>3036890</v>
      </c>
      <c r="P666" s="237">
        <v>0</v>
      </c>
      <c r="Q666" s="236">
        <v>0</v>
      </c>
      <c r="R666" s="237">
        <f t="shared" si="10"/>
        <v>5191051</v>
      </c>
      <c r="S666" s="236"/>
      <c r="T666" s="237">
        <v>2509598</v>
      </c>
      <c r="U666" s="238">
        <v>54211</v>
      </c>
      <c r="V666" s="238">
        <v>2563810</v>
      </c>
    </row>
    <row r="667" spans="1:22">
      <c r="A667" s="231">
        <v>97413</v>
      </c>
      <c r="B667" s="232" t="s">
        <v>1377</v>
      </c>
      <c r="C667" s="92">
        <v>2.7910000000000001E-4</v>
      </c>
      <c r="D667" s="92">
        <v>2.9320000000000003E-4</v>
      </c>
      <c r="E667" s="236">
        <v>126701.6</v>
      </c>
      <c r="F667" s="236">
        <v>131586</v>
      </c>
      <c r="G667" s="236">
        <v>592344</v>
      </c>
      <c r="H667" s="236"/>
      <c r="I667" s="237">
        <v>11129</v>
      </c>
      <c r="J667" s="237">
        <v>519082</v>
      </c>
      <c r="K667" s="237">
        <v>40570</v>
      </c>
      <c r="L667" s="236">
        <v>1832</v>
      </c>
      <c r="M667" s="236"/>
      <c r="N667" s="237">
        <v>20756</v>
      </c>
      <c r="O667" s="237">
        <v>191590</v>
      </c>
      <c r="P667" s="237">
        <v>0</v>
      </c>
      <c r="Q667" s="236">
        <v>10212</v>
      </c>
      <c r="R667" s="237">
        <f t="shared" si="10"/>
        <v>327492</v>
      </c>
      <c r="S667" s="236"/>
      <c r="T667" s="237">
        <v>158325</v>
      </c>
      <c r="U667" s="238">
        <v>-4433</v>
      </c>
      <c r="V667" s="238">
        <v>153891</v>
      </c>
    </row>
    <row r="668" spans="1:22">
      <c r="A668" s="231">
        <v>97421</v>
      </c>
      <c r="B668" s="232" t="s">
        <v>1378</v>
      </c>
      <c r="C668" s="92">
        <v>4.1120000000000002E-4</v>
      </c>
      <c r="D668" s="92">
        <v>4.1140000000000003E-4</v>
      </c>
      <c r="E668" s="236">
        <v>162264.79999999999</v>
      </c>
      <c r="F668" s="236">
        <v>184634</v>
      </c>
      <c r="G668" s="236">
        <v>872704</v>
      </c>
      <c r="H668" s="236"/>
      <c r="I668" s="237">
        <v>16397</v>
      </c>
      <c r="J668" s="237">
        <v>764767</v>
      </c>
      <c r="K668" s="237">
        <v>59772</v>
      </c>
      <c r="L668" s="236">
        <v>0</v>
      </c>
      <c r="M668" s="236"/>
      <c r="N668" s="237">
        <v>30581</v>
      </c>
      <c r="O668" s="237">
        <v>282272</v>
      </c>
      <c r="P668" s="237">
        <v>0</v>
      </c>
      <c r="Q668" s="236">
        <v>40232</v>
      </c>
      <c r="R668" s="237">
        <f t="shared" si="10"/>
        <v>482495</v>
      </c>
      <c r="S668" s="236"/>
      <c r="T668" s="237">
        <v>233261</v>
      </c>
      <c r="U668" s="238">
        <v>-16104</v>
      </c>
      <c r="V668" s="238">
        <v>217157</v>
      </c>
    </row>
    <row r="669" spans="1:22">
      <c r="A669" s="231">
        <v>97423</v>
      </c>
      <c r="B669" s="232" t="s">
        <v>1379</v>
      </c>
      <c r="C669" s="92">
        <v>4.5800000000000002E-5</v>
      </c>
      <c r="D669" s="92">
        <v>4.5300000000000003E-5</v>
      </c>
      <c r="E669" s="236">
        <v>37545.089999999997</v>
      </c>
      <c r="F669" s="236">
        <v>20330</v>
      </c>
      <c r="G669" s="236">
        <v>97203</v>
      </c>
      <c r="H669" s="236"/>
      <c r="I669" s="237">
        <v>1826.2750000000001</v>
      </c>
      <c r="J669" s="237">
        <v>85181</v>
      </c>
      <c r="K669" s="237">
        <v>6658</v>
      </c>
      <c r="L669" s="236">
        <v>26530</v>
      </c>
      <c r="M669" s="236"/>
      <c r="N669" s="237">
        <v>3406</v>
      </c>
      <c r="O669" s="237">
        <v>31440</v>
      </c>
      <c r="P669" s="237">
        <v>0</v>
      </c>
      <c r="Q669" s="236">
        <v>0</v>
      </c>
      <c r="R669" s="237">
        <f t="shared" si="10"/>
        <v>53741</v>
      </c>
      <c r="S669" s="236"/>
      <c r="T669" s="237">
        <v>25981</v>
      </c>
      <c r="U669" s="238">
        <v>8002</v>
      </c>
      <c r="V669" s="238">
        <v>33982</v>
      </c>
    </row>
    <row r="670" spans="1:22">
      <c r="A670" s="231">
        <v>97431</v>
      </c>
      <c r="B670" s="232" t="s">
        <v>1380</v>
      </c>
      <c r="C670" s="92">
        <v>8.5199999999999997E-5</v>
      </c>
      <c r="D670" s="92">
        <v>8.7700000000000004E-5</v>
      </c>
      <c r="E670" s="236">
        <v>38446.49</v>
      </c>
      <c r="F670" s="236">
        <v>39359</v>
      </c>
      <c r="G670" s="236">
        <v>180823</v>
      </c>
      <c r="H670" s="236"/>
      <c r="I670" s="237">
        <v>3397.35</v>
      </c>
      <c r="J670" s="237">
        <v>158459</v>
      </c>
      <c r="K670" s="237">
        <v>12385</v>
      </c>
      <c r="L670" s="236">
        <v>2882</v>
      </c>
      <c r="M670" s="236"/>
      <c r="N670" s="237">
        <v>6336</v>
      </c>
      <c r="O670" s="237">
        <v>58486</v>
      </c>
      <c r="P670" s="237">
        <v>0</v>
      </c>
      <c r="Q670" s="236">
        <v>0</v>
      </c>
      <c r="R670" s="237">
        <f t="shared" si="10"/>
        <v>99973</v>
      </c>
      <c r="S670" s="236"/>
      <c r="T670" s="237">
        <v>48331</v>
      </c>
      <c r="U670" s="238">
        <v>909</v>
      </c>
      <c r="V670" s="238">
        <v>49241</v>
      </c>
    </row>
    <row r="671" spans="1:22">
      <c r="A671" s="231">
        <v>97441</v>
      </c>
      <c r="B671" s="232" t="s">
        <v>1381</v>
      </c>
      <c r="C671" s="92">
        <v>7.0500000000000006E-5</v>
      </c>
      <c r="D671" s="92">
        <v>6.8700000000000003E-5</v>
      </c>
      <c r="E671" s="236">
        <v>23078.829999999998</v>
      </c>
      <c r="F671" s="236">
        <v>30832</v>
      </c>
      <c r="G671" s="236">
        <v>149625</v>
      </c>
      <c r="H671" s="236"/>
      <c r="I671" s="237">
        <v>2811</v>
      </c>
      <c r="J671" s="237">
        <v>131119</v>
      </c>
      <c r="K671" s="237">
        <v>10248</v>
      </c>
      <c r="L671" s="236">
        <v>406</v>
      </c>
      <c r="M671" s="236"/>
      <c r="N671" s="237">
        <v>5243</v>
      </c>
      <c r="O671" s="237">
        <v>48395</v>
      </c>
      <c r="P671" s="237">
        <v>0</v>
      </c>
      <c r="Q671" s="236">
        <v>4997</v>
      </c>
      <c r="R671" s="237">
        <f t="shared" si="10"/>
        <v>82724</v>
      </c>
      <c r="S671" s="236"/>
      <c r="T671" s="237">
        <v>39992</v>
      </c>
      <c r="U671" s="238">
        <v>-1212</v>
      </c>
      <c r="V671" s="238">
        <v>38780</v>
      </c>
    </row>
    <row r="672" spans="1:22">
      <c r="A672" s="231">
        <v>97451</v>
      </c>
      <c r="B672" s="232" t="s">
        <v>1382</v>
      </c>
      <c r="C672" s="92">
        <v>6.1039999999999998E-4</v>
      </c>
      <c r="D672" s="92">
        <v>5.1670000000000004E-4</v>
      </c>
      <c r="E672" s="236">
        <v>212064.53000000003</v>
      </c>
      <c r="F672" s="236">
        <v>231892</v>
      </c>
      <c r="G672" s="236">
        <v>1295473</v>
      </c>
      <c r="H672" s="236"/>
      <c r="I672" s="237">
        <v>24339.7</v>
      </c>
      <c r="J672" s="237">
        <v>1135248</v>
      </c>
      <c r="K672" s="237">
        <v>88728</v>
      </c>
      <c r="L672" s="236">
        <v>30041</v>
      </c>
      <c r="M672" s="236"/>
      <c r="N672" s="237">
        <v>45395</v>
      </c>
      <c r="O672" s="237">
        <v>419014</v>
      </c>
      <c r="P672" s="237">
        <v>0</v>
      </c>
      <c r="Q672" s="236">
        <v>5880</v>
      </c>
      <c r="R672" s="237">
        <f t="shared" si="10"/>
        <v>716234</v>
      </c>
      <c r="S672" s="236"/>
      <c r="T672" s="237">
        <v>346261</v>
      </c>
      <c r="U672" s="238">
        <v>8187</v>
      </c>
      <c r="V672" s="238">
        <v>354448</v>
      </c>
    </row>
    <row r="673" spans="1:22">
      <c r="A673" s="231">
        <v>97461</v>
      </c>
      <c r="B673" s="232" t="s">
        <v>1383</v>
      </c>
      <c r="C673" s="92">
        <v>5.1869999999999998E-4</v>
      </c>
      <c r="D673" s="92">
        <v>5.3859999999999997E-4</v>
      </c>
      <c r="E673" s="236">
        <v>202229.84000000003</v>
      </c>
      <c r="F673" s="236">
        <v>241720</v>
      </c>
      <c r="G673" s="236">
        <v>1100855</v>
      </c>
      <c r="H673" s="236"/>
      <c r="I673" s="237">
        <v>20683</v>
      </c>
      <c r="J673" s="237">
        <v>964700</v>
      </c>
      <c r="K673" s="237">
        <v>75399</v>
      </c>
      <c r="L673" s="236">
        <v>4454</v>
      </c>
      <c r="M673" s="236"/>
      <c r="N673" s="237">
        <v>38575</v>
      </c>
      <c r="O673" s="237">
        <v>356066</v>
      </c>
      <c r="P673" s="237">
        <v>0</v>
      </c>
      <c r="Q673" s="236">
        <v>46078</v>
      </c>
      <c r="R673" s="237">
        <f t="shared" si="10"/>
        <v>608634</v>
      </c>
      <c r="S673" s="236"/>
      <c r="T673" s="237">
        <v>294242</v>
      </c>
      <c r="U673" s="238">
        <v>-12231</v>
      </c>
      <c r="V673" s="238">
        <v>282012</v>
      </c>
    </row>
    <row r="674" spans="1:22">
      <c r="A674" s="231">
        <v>97463</v>
      </c>
      <c r="B674" s="232" t="s">
        <v>1384</v>
      </c>
      <c r="C674" s="92">
        <v>5.0099999999999998E-5</v>
      </c>
      <c r="D674" s="92">
        <v>5.6400000000000002E-5</v>
      </c>
      <c r="E674" s="236">
        <v>17389.919999999998</v>
      </c>
      <c r="F674" s="236">
        <v>25312</v>
      </c>
      <c r="G674" s="236">
        <v>106329</v>
      </c>
      <c r="H674" s="236"/>
      <c r="I674" s="237">
        <v>1998</v>
      </c>
      <c r="J674" s="237">
        <v>93178</v>
      </c>
      <c r="K674" s="237">
        <v>7283</v>
      </c>
      <c r="L674" s="236">
        <v>2539</v>
      </c>
      <c r="M674" s="236"/>
      <c r="N674" s="237">
        <v>3726</v>
      </c>
      <c r="O674" s="237">
        <v>34392</v>
      </c>
      <c r="P674" s="237">
        <v>0</v>
      </c>
      <c r="Q674" s="236">
        <v>5965</v>
      </c>
      <c r="R674" s="237">
        <f t="shared" si="10"/>
        <v>58786</v>
      </c>
      <c r="S674" s="236"/>
      <c r="T674" s="237">
        <v>28420</v>
      </c>
      <c r="U674" s="238">
        <v>-427</v>
      </c>
      <c r="V674" s="238">
        <v>27993</v>
      </c>
    </row>
    <row r="675" spans="1:22">
      <c r="A675" s="231">
        <v>97471</v>
      </c>
      <c r="B675" s="232" t="s">
        <v>1385</v>
      </c>
      <c r="C675" s="92">
        <v>1.27E-5</v>
      </c>
      <c r="D675" s="92">
        <v>1.31E-5</v>
      </c>
      <c r="E675" s="236">
        <v>8483.43</v>
      </c>
      <c r="F675" s="236">
        <v>5879</v>
      </c>
      <c r="G675" s="236">
        <v>26954</v>
      </c>
      <c r="H675" s="236"/>
      <c r="I675" s="237">
        <v>506.41250000000002</v>
      </c>
      <c r="J675" s="237">
        <v>23620</v>
      </c>
      <c r="K675" s="237">
        <v>1846</v>
      </c>
      <c r="L675" s="236">
        <v>5163</v>
      </c>
      <c r="M675" s="236"/>
      <c r="N675" s="237">
        <v>944</v>
      </c>
      <c r="O675" s="237">
        <v>8718</v>
      </c>
      <c r="P675" s="237">
        <v>0</v>
      </c>
      <c r="Q675" s="236">
        <v>0</v>
      </c>
      <c r="R675" s="237">
        <f t="shared" si="10"/>
        <v>14902</v>
      </c>
      <c r="S675" s="236"/>
      <c r="T675" s="237">
        <v>7204</v>
      </c>
      <c r="U675" s="238">
        <v>1775</v>
      </c>
      <c r="V675" s="238">
        <v>8980</v>
      </c>
    </row>
    <row r="676" spans="1:22">
      <c r="A676" s="231">
        <v>97481</v>
      </c>
      <c r="B676" s="232" t="s">
        <v>1386</v>
      </c>
      <c r="C676" s="92">
        <v>1.63E-5</v>
      </c>
      <c r="D676" s="92">
        <v>1.13E-5</v>
      </c>
      <c r="E676" s="236">
        <v>5817.26</v>
      </c>
      <c r="F676" s="236">
        <v>5071</v>
      </c>
      <c r="G676" s="236">
        <v>34594</v>
      </c>
      <c r="H676" s="236"/>
      <c r="I676" s="237">
        <v>649.96249999999998</v>
      </c>
      <c r="J676" s="237">
        <v>30315</v>
      </c>
      <c r="K676" s="237">
        <v>2369</v>
      </c>
      <c r="L676" s="236">
        <v>5965</v>
      </c>
      <c r="M676" s="236"/>
      <c r="N676" s="237">
        <v>1212</v>
      </c>
      <c r="O676" s="237">
        <v>11189</v>
      </c>
      <c r="P676" s="237">
        <v>0</v>
      </c>
      <c r="Q676" s="236">
        <v>0</v>
      </c>
      <c r="R676" s="237">
        <f t="shared" si="10"/>
        <v>19126</v>
      </c>
      <c r="S676" s="236"/>
      <c r="T676" s="237">
        <v>9246</v>
      </c>
      <c r="U676" s="238">
        <v>2373</v>
      </c>
      <c r="V676" s="238">
        <v>11619</v>
      </c>
    </row>
    <row r="677" spans="1:22">
      <c r="A677" s="231">
        <v>97491</v>
      </c>
      <c r="B677" s="232" t="s">
        <v>1387</v>
      </c>
      <c r="C677" s="92">
        <v>0</v>
      </c>
      <c r="D677" s="92">
        <v>0</v>
      </c>
      <c r="E677" s="236">
        <v>0</v>
      </c>
      <c r="F677" s="236">
        <v>0</v>
      </c>
      <c r="G677" s="236">
        <v>0</v>
      </c>
      <c r="H677" s="236"/>
      <c r="I677" s="237">
        <v>0</v>
      </c>
      <c r="J677" s="237">
        <v>0</v>
      </c>
      <c r="K677" s="237">
        <v>0</v>
      </c>
      <c r="L677" s="236">
        <v>0</v>
      </c>
      <c r="M677" s="236"/>
      <c r="N677" s="237">
        <v>0</v>
      </c>
      <c r="O677" s="237">
        <v>0</v>
      </c>
      <c r="P677" s="237">
        <v>0</v>
      </c>
      <c r="Q677" s="236">
        <v>12790</v>
      </c>
      <c r="R677" s="237">
        <f t="shared" si="10"/>
        <v>0</v>
      </c>
      <c r="S677" s="236"/>
      <c r="T677" s="237">
        <v>0</v>
      </c>
      <c r="U677" s="238">
        <v>-4941</v>
      </c>
      <c r="V677" s="238">
        <v>-4941</v>
      </c>
    </row>
    <row r="678" spans="1:22">
      <c r="A678" s="231">
        <v>97501</v>
      </c>
      <c r="B678" s="232" t="s">
        <v>1388</v>
      </c>
      <c r="C678" s="92">
        <v>9.6730000000000004E-4</v>
      </c>
      <c r="D678" s="92">
        <v>9.7659999999999999E-4</v>
      </c>
      <c r="E678" s="236">
        <v>413876.56</v>
      </c>
      <c r="F678" s="236">
        <v>438292</v>
      </c>
      <c r="G678" s="236">
        <v>2052935</v>
      </c>
      <c r="H678" s="236"/>
      <c r="I678" s="237">
        <v>38571</v>
      </c>
      <c r="J678" s="237">
        <v>1799025</v>
      </c>
      <c r="K678" s="237">
        <v>140608</v>
      </c>
      <c r="L678" s="236">
        <v>45898</v>
      </c>
      <c r="M678" s="236"/>
      <c r="N678" s="237">
        <v>71937</v>
      </c>
      <c r="O678" s="237">
        <v>664011</v>
      </c>
      <c r="P678" s="237">
        <v>0</v>
      </c>
      <c r="Q678" s="236">
        <v>0</v>
      </c>
      <c r="R678" s="237">
        <f t="shared" si="10"/>
        <v>1135014</v>
      </c>
      <c r="S678" s="236"/>
      <c r="T678" s="237">
        <v>548719</v>
      </c>
      <c r="U678" s="238">
        <v>19873</v>
      </c>
      <c r="V678" s="238">
        <v>568592</v>
      </c>
    </row>
    <row r="679" spans="1:22">
      <c r="A679" s="231">
        <v>97511</v>
      </c>
      <c r="B679" s="232" t="s">
        <v>1389</v>
      </c>
      <c r="C679" s="92">
        <v>2.3220000000000001E-4</v>
      </c>
      <c r="D679" s="92">
        <v>2.1719999999999999E-4</v>
      </c>
      <c r="E679" s="236">
        <v>97777.06</v>
      </c>
      <c r="F679" s="236">
        <v>97478</v>
      </c>
      <c r="G679" s="236">
        <v>492806</v>
      </c>
      <c r="H679" s="236"/>
      <c r="I679" s="237">
        <v>9259</v>
      </c>
      <c r="J679" s="237">
        <v>431855</v>
      </c>
      <c r="K679" s="237">
        <v>33753</v>
      </c>
      <c r="L679" s="236">
        <v>10778</v>
      </c>
      <c r="M679" s="236"/>
      <c r="N679" s="237">
        <v>17268</v>
      </c>
      <c r="O679" s="237">
        <v>159396</v>
      </c>
      <c r="P679" s="237">
        <v>0</v>
      </c>
      <c r="Q679" s="236">
        <v>1307</v>
      </c>
      <c r="R679" s="237">
        <f t="shared" si="10"/>
        <v>272459</v>
      </c>
      <c r="S679" s="236"/>
      <c r="T679" s="237">
        <v>131720</v>
      </c>
      <c r="U679" s="238">
        <v>2532</v>
      </c>
      <c r="V679" s="238">
        <v>134252</v>
      </c>
    </row>
    <row r="680" spans="1:22">
      <c r="A680" s="231">
        <v>97521</v>
      </c>
      <c r="B680" s="232" t="s">
        <v>1390</v>
      </c>
      <c r="C680" s="92">
        <v>1.293E-4</v>
      </c>
      <c r="D680" s="92">
        <v>1.404E-4</v>
      </c>
      <c r="E680" s="236">
        <v>48146.35</v>
      </c>
      <c r="F680" s="236">
        <v>63011</v>
      </c>
      <c r="G680" s="236">
        <v>274418</v>
      </c>
      <c r="H680" s="236"/>
      <c r="I680" s="237">
        <v>5156</v>
      </c>
      <c r="J680" s="237">
        <v>240478</v>
      </c>
      <c r="K680" s="237">
        <v>18795</v>
      </c>
      <c r="L680" s="236">
        <v>4401.88</v>
      </c>
      <c r="M680" s="236"/>
      <c r="N680" s="237">
        <v>9616</v>
      </c>
      <c r="O680" s="237">
        <v>88759</v>
      </c>
      <c r="P680" s="237">
        <v>0</v>
      </c>
      <c r="Q680" s="236">
        <v>17530</v>
      </c>
      <c r="R680" s="237">
        <f t="shared" si="10"/>
        <v>151719</v>
      </c>
      <c r="S680" s="236"/>
      <c r="T680" s="237">
        <v>73348</v>
      </c>
      <c r="U680" s="238">
        <v>-3048</v>
      </c>
      <c r="V680" s="238">
        <v>70299</v>
      </c>
    </row>
    <row r="681" spans="1:22">
      <c r="A681" s="231">
        <v>97531</v>
      </c>
      <c r="B681" s="232" t="s">
        <v>1391</v>
      </c>
      <c r="C681" s="92">
        <v>3.6300000000000001E-5</v>
      </c>
      <c r="D681" s="92">
        <v>3.5099999999999999E-5</v>
      </c>
      <c r="E681" s="236">
        <v>18181.670000000002</v>
      </c>
      <c r="F681" s="236">
        <v>15753</v>
      </c>
      <c r="G681" s="236">
        <v>77041</v>
      </c>
      <c r="H681" s="236"/>
      <c r="I681" s="237">
        <v>1447</v>
      </c>
      <c r="J681" s="237">
        <v>67512</v>
      </c>
      <c r="K681" s="237">
        <v>5277</v>
      </c>
      <c r="L681" s="236">
        <v>3234</v>
      </c>
      <c r="M681" s="236"/>
      <c r="N681" s="237">
        <v>2700</v>
      </c>
      <c r="O681" s="237">
        <v>24918</v>
      </c>
      <c r="P681" s="237">
        <v>0</v>
      </c>
      <c r="Q681" s="236">
        <v>14595</v>
      </c>
      <c r="R681" s="237">
        <f t="shared" si="10"/>
        <v>42594</v>
      </c>
      <c r="S681" s="236"/>
      <c r="T681" s="237">
        <v>20592</v>
      </c>
      <c r="U681" s="238">
        <v>-4705</v>
      </c>
      <c r="V681" s="238">
        <v>15887</v>
      </c>
    </row>
    <row r="682" spans="1:22">
      <c r="A682" s="231">
        <v>97601</v>
      </c>
      <c r="B682" s="232" t="s">
        <v>1392</v>
      </c>
      <c r="C682" s="92">
        <v>4.7808E-3</v>
      </c>
      <c r="D682" s="92">
        <v>4.8238999999999999E-3</v>
      </c>
      <c r="E682" s="236">
        <v>1911817.8699999999</v>
      </c>
      <c r="F682" s="236">
        <v>2164937</v>
      </c>
      <c r="G682" s="236">
        <v>10146459</v>
      </c>
      <c r="H682" s="236"/>
      <c r="I682" s="237">
        <v>190634.4</v>
      </c>
      <c r="J682" s="237">
        <v>8891533</v>
      </c>
      <c r="K682" s="237">
        <v>694942</v>
      </c>
      <c r="L682" s="236">
        <v>0</v>
      </c>
      <c r="M682" s="236"/>
      <c r="N682" s="237">
        <v>355543</v>
      </c>
      <c r="O682" s="237">
        <v>3281818</v>
      </c>
      <c r="P682" s="237">
        <v>0</v>
      </c>
      <c r="Q682" s="236">
        <v>137509</v>
      </c>
      <c r="R682" s="237">
        <f t="shared" si="10"/>
        <v>5609715</v>
      </c>
      <c r="S682" s="236"/>
      <c r="T682" s="237">
        <v>2712000</v>
      </c>
      <c r="U682" s="238">
        <v>-46067</v>
      </c>
      <c r="V682" s="238">
        <v>2665933</v>
      </c>
    </row>
    <row r="683" spans="1:22">
      <c r="A683" s="231">
        <v>97607</v>
      </c>
      <c r="B683" s="232" t="s">
        <v>1393</v>
      </c>
      <c r="C683" s="92">
        <v>1.9199999999999999E-5</v>
      </c>
      <c r="D683" s="92">
        <v>2.27E-5</v>
      </c>
      <c r="E683" s="236">
        <v>13222.63</v>
      </c>
      <c r="F683" s="236">
        <v>10188</v>
      </c>
      <c r="G683" s="236">
        <v>40749</v>
      </c>
      <c r="H683" s="236"/>
      <c r="I683" s="237">
        <v>766</v>
      </c>
      <c r="J683" s="237">
        <v>35709</v>
      </c>
      <c r="K683" s="237">
        <v>2791</v>
      </c>
      <c r="L683" s="236">
        <v>8819</v>
      </c>
      <c r="M683" s="236"/>
      <c r="N683" s="237">
        <v>1428</v>
      </c>
      <c r="O683" s="237">
        <v>13180</v>
      </c>
      <c r="P683" s="237">
        <v>0</v>
      </c>
      <c r="Q683" s="236">
        <v>0</v>
      </c>
      <c r="R683" s="237">
        <f t="shared" si="10"/>
        <v>22529</v>
      </c>
      <c r="S683" s="236"/>
      <c r="T683" s="237">
        <v>10892</v>
      </c>
      <c r="U683" s="238">
        <v>3435</v>
      </c>
      <c r="V683" s="238">
        <v>14327</v>
      </c>
    </row>
    <row r="684" spans="1:22">
      <c r="A684" s="231">
        <v>97611</v>
      </c>
      <c r="B684" s="232" t="s">
        <v>1394</v>
      </c>
      <c r="C684" s="92">
        <v>2.5750999999999999E-3</v>
      </c>
      <c r="D684" s="92">
        <v>2.7582000000000001E-3</v>
      </c>
      <c r="E684" s="236">
        <v>984035.03</v>
      </c>
      <c r="F684" s="236">
        <v>1237864</v>
      </c>
      <c r="G684" s="236">
        <v>5465225</v>
      </c>
      <c r="H684" s="236"/>
      <c r="I684" s="237">
        <v>102682</v>
      </c>
      <c r="J684" s="237">
        <v>4789279</v>
      </c>
      <c r="K684" s="237">
        <v>374319</v>
      </c>
      <c r="L684" s="236">
        <v>0</v>
      </c>
      <c r="M684" s="236"/>
      <c r="N684" s="237">
        <v>191508</v>
      </c>
      <c r="O684" s="237">
        <v>1767698</v>
      </c>
      <c r="P684" s="237">
        <v>0</v>
      </c>
      <c r="Q684" s="236">
        <v>281180</v>
      </c>
      <c r="R684" s="237">
        <f t="shared" si="10"/>
        <v>3021581</v>
      </c>
      <c r="S684" s="236"/>
      <c r="T684" s="237">
        <v>1460774</v>
      </c>
      <c r="U684" s="238">
        <v>-93860</v>
      </c>
      <c r="V684" s="238">
        <v>1366915</v>
      </c>
    </row>
    <row r="685" spans="1:22">
      <c r="A685" s="231">
        <v>97613</v>
      </c>
      <c r="B685" s="232" t="s">
        <v>1395</v>
      </c>
      <c r="C685" s="92">
        <v>1.2459999999999999E-4</v>
      </c>
      <c r="D685" s="92">
        <v>1.21E-4</v>
      </c>
      <c r="E685" s="236">
        <v>55529.85</v>
      </c>
      <c r="F685" s="236">
        <v>54304</v>
      </c>
      <c r="G685" s="236">
        <v>264443</v>
      </c>
      <c r="H685" s="236"/>
      <c r="I685" s="237">
        <v>4968</v>
      </c>
      <c r="J685" s="237">
        <v>231736</v>
      </c>
      <c r="K685" s="237">
        <v>18112</v>
      </c>
      <c r="L685" s="236">
        <v>5357</v>
      </c>
      <c r="M685" s="236"/>
      <c r="N685" s="237">
        <v>9266</v>
      </c>
      <c r="O685" s="237">
        <v>85533</v>
      </c>
      <c r="P685" s="237">
        <v>0</v>
      </c>
      <c r="Q685" s="236">
        <v>5319</v>
      </c>
      <c r="R685" s="237">
        <f t="shared" si="10"/>
        <v>146203</v>
      </c>
      <c r="S685" s="236"/>
      <c r="T685" s="237">
        <v>70682</v>
      </c>
      <c r="U685" s="238">
        <v>-505</v>
      </c>
      <c r="V685" s="238">
        <v>70177</v>
      </c>
    </row>
    <row r="686" spans="1:22">
      <c r="A686" s="231">
        <v>97621</v>
      </c>
      <c r="B686" s="232" t="s">
        <v>1396</v>
      </c>
      <c r="C686" s="92">
        <v>4.7429999999999998E-4</v>
      </c>
      <c r="D686" s="92">
        <v>5.1290000000000005E-4</v>
      </c>
      <c r="E686" s="236">
        <v>166598.32</v>
      </c>
      <c r="F686" s="236">
        <v>230186</v>
      </c>
      <c r="G686" s="236">
        <v>1006623</v>
      </c>
      <c r="H686" s="236"/>
      <c r="I686" s="237">
        <v>18913</v>
      </c>
      <c r="J686" s="237">
        <v>882123</v>
      </c>
      <c r="K686" s="237">
        <v>68945</v>
      </c>
      <c r="L686" s="236">
        <v>24561</v>
      </c>
      <c r="M686" s="236"/>
      <c r="N686" s="237">
        <v>35273</v>
      </c>
      <c r="O686" s="237">
        <v>325587</v>
      </c>
      <c r="P686" s="237">
        <v>0</v>
      </c>
      <c r="Q686" s="236">
        <v>43510</v>
      </c>
      <c r="R686" s="237">
        <f t="shared" si="10"/>
        <v>556536</v>
      </c>
      <c r="S686" s="236"/>
      <c r="T686" s="237">
        <v>269056</v>
      </c>
      <c r="U686" s="238">
        <v>-2547</v>
      </c>
      <c r="V686" s="238">
        <v>266509</v>
      </c>
    </row>
    <row r="687" spans="1:22">
      <c r="A687" s="231">
        <v>97623</v>
      </c>
      <c r="B687" s="232" t="s">
        <v>1397</v>
      </c>
      <c r="C687" s="92">
        <v>2.9200000000000002E-5</v>
      </c>
      <c r="D687" s="92">
        <v>3.0000000000000001E-5</v>
      </c>
      <c r="E687" s="236">
        <v>14038.030000000002</v>
      </c>
      <c r="F687" s="236">
        <v>13463.82</v>
      </c>
      <c r="G687" s="236">
        <v>61972</v>
      </c>
      <c r="H687" s="236"/>
      <c r="I687" s="237">
        <v>1164</v>
      </c>
      <c r="J687" s="237">
        <v>54307</v>
      </c>
      <c r="K687" s="237">
        <v>4245</v>
      </c>
      <c r="L687" s="236">
        <v>10193</v>
      </c>
      <c r="M687" s="236"/>
      <c r="N687" s="237">
        <v>2172</v>
      </c>
      <c r="O687" s="237">
        <v>20045</v>
      </c>
      <c r="P687" s="237">
        <v>0</v>
      </c>
      <c r="Q687" s="236">
        <v>0</v>
      </c>
      <c r="R687" s="237">
        <f t="shared" si="10"/>
        <v>34262</v>
      </c>
      <c r="S687" s="236"/>
      <c r="T687" s="237">
        <v>16564</v>
      </c>
      <c r="U687" s="238">
        <v>3688</v>
      </c>
      <c r="V687" s="238">
        <v>20252</v>
      </c>
    </row>
    <row r="688" spans="1:22">
      <c r="A688" s="231">
        <v>97627</v>
      </c>
      <c r="B688" s="232" t="s">
        <v>1398</v>
      </c>
      <c r="C688" s="92">
        <v>1.0200000000000001E-5</v>
      </c>
      <c r="D688" s="92">
        <v>9.0999999999999993E-6</v>
      </c>
      <c r="E688" s="236">
        <v>4149.8899999999994</v>
      </c>
      <c r="F688" s="236">
        <v>4084</v>
      </c>
      <c r="G688" s="236">
        <v>21648</v>
      </c>
      <c r="H688" s="236"/>
      <c r="I688" s="237">
        <v>406.72500000000002</v>
      </c>
      <c r="J688" s="237">
        <v>18970</v>
      </c>
      <c r="K688" s="237">
        <v>1483</v>
      </c>
      <c r="L688" s="236">
        <v>942</v>
      </c>
      <c r="M688" s="236"/>
      <c r="N688" s="237">
        <v>759</v>
      </c>
      <c r="O688" s="237">
        <v>7002</v>
      </c>
      <c r="P688" s="237">
        <v>0</v>
      </c>
      <c r="Q688" s="236">
        <v>1562</v>
      </c>
      <c r="R688" s="237">
        <f t="shared" si="10"/>
        <v>11968</v>
      </c>
      <c r="S688" s="236"/>
      <c r="T688" s="237">
        <v>5786</v>
      </c>
      <c r="U688" s="238">
        <v>-217</v>
      </c>
      <c r="V688" s="238">
        <v>5570</v>
      </c>
    </row>
    <row r="689" spans="1:22">
      <c r="A689" s="231">
        <v>97631</v>
      </c>
      <c r="B689" s="232" t="s">
        <v>1399</v>
      </c>
      <c r="C689" s="92">
        <v>2.009E-4</v>
      </c>
      <c r="D689" s="92">
        <v>1.7239999999999999E-4</v>
      </c>
      <c r="E689" s="236">
        <v>69843.56</v>
      </c>
      <c r="F689" s="236">
        <v>77372</v>
      </c>
      <c r="G689" s="236">
        <v>426377</v>
      </c>
      <c r="H689" s="236"/>
      <c r="I689" s="237">
        <v>8011</v>
      </c>
      <c r="J689" s="237">
        <v>373642</v>
      </c>
      <c r="K689" s="237">
        <v>29203</v>
      </c>
      <c r="L689" s="236">
        <v>14802</v>
      </c>
      <c r="M689" s="236"/>
      <c r="N689" s="237">
        <v>14941</v>
      </c>
      <c r="O689" s="237">
        <v>137909</v>
      </c>
      <c r="P689" s="237">
        <v>0</v>
      </c>
      <c r="Q689" s="236">
        <v>0</v>
      </c>
      <c r="R689" s="237">
        <f t="shared" si="10"/>
        <v>235733</v>
      </c>
      <c r="S689" s="236"/>
      <c r="T689" s="237">
        <v>113964</v>
      </c>
      <c r="U689" s="238">
        <v>5491</v>
      </c>
      <c r="V689" s="238">
        <v>119456</v>
      </c>
    </row>
    <row r="690" spans="1:22">
      <c r="A690" s="231">
        <v>97637</v>
      </c>
      <c r="B690" s="232" t="s">
        <v>1400</v>
      </c>
      <c r="C690" s="92">
        <v>4.7999999999999998E-6</v>
      </c>
      <c r="D690" s="92">
        <v>6.1999999999999999E-6</v>
      </c>
      <c r="E690" s="236">
        <v>2878.4200000000005</v>
      </c>
      <c r="F690" s="236">
        <v>2783</v>
      </c>
      <c r="G690" s="236">
        <v>10187</v>
      </c>
      <c r="H690" s="236"/>
      <c r="I690" s="237">
        <v>191</v>
      </c>
      <c r="J690" s="237">
        <v>8927</v>
      </c>
      <c r="K690" s="237">
        <v>698</v>
      </c>
      <c r="L690" s="236">
        <v>655</v>
      </c>
      <c r="M690" s="236"/>
      <c r="N690" s="237">
        <v>357</v>
      </c>
      <c r="O690" s="237">
        <v>3295</v>
      </c>
      <c r="P690" s="237">
        <v>0</v>
      </c>
      <c r="Q690" s="236">
        <v>40</v>
      </c>
      <c r="R690" s="237">
        <f t="shared" si="10"/>
        <v>5632</v>
      </c>
      <c r="S690" s="236"/>
      <c r="T690" s="237">
        <v>2723</v>
      </c>
      <c r="U690" s="238">
        <v>244</v>
      </c>
      <c r="V690" s="238">
        <v>2967</v>
      </c>
    </row>
    <row r="691" spans="1:22">
      <c r="A691" s="231">
        <v>97641</v>
      </c>
      <c r="B691" s="232" t="s">
        <v>1401</v>
      </c>
      <c r="C691" s="92">
        <v>6.9999999999999994E-5</v>
      </c>
      <c r="D691" s="92">
        <v>5.3900000000000002E-5</v>
      </c>
      <c r="E691" s="236">
        <v>31635.049999999996</v>
      </c>
      <c r="F691" s="236">
        <v>24190</v>
      </c>
      <c r="G691" s="236">
        <v>148563</v>
      </c>
      <c r="H691" s="236"/>
      <c r="I691" s="237">
        <v>2791</v>
      </c>
      <c r="J691" s="237">
        <v>130189</v>
      </c>
      <c r="K691" s="237">
        <v>10175</v>
      </c>
      <c r="L691" s="236">
        <v>15548</v>
      </c>
      <c r="M691" s="236"/>
      <c r="N691" s="237">
        <v>5205.83</v>
      </c>
      <c r="O691" s="237">
        <v>48052.06</v>
      </c>
      <c r="P691" s="237">
        <v>0</v>
      </c>
      <c r="Q691" s="236">
        <v>5807</v>
      </c>
      <c r="R691" s="237">
        <f t="shared" si="10"/>
        <v>82136.94</v>
      </c>
      <c r="S691" s="236"/>
      <c r="T691" s="237">
        <v>39709</v>
      </c>
      <c r="U691" s="238">
        <v>1546</v>
      </c>
      <c r="V691" s="238">
        <v>41255</v>
      </c>
    </row>
    <row r="692" spans="1:22">
      <c r="A692" s="231">
        <v>97651</v>
      </c>
      <c r="B692" s="232" t="s">
        <v>1402</v>
      </c>
      <c r="C692" s="92">
        <v>5.1579999999999996E-4</v>
      </c>
      <c r="D692" s="92">
        <v>5.4140000000000004E-4</v>
      </c>
      <c r="E692" s="236">
        <v>190593.37</v>
      </c>
      <c r="F692" s="236">
        <v>242977</v>
      </c>
      <c r="G692" s="236">
        <v>1094700</v>
      </c>
      <c r="H692" s="236"/>
      <c r="I692" s="237">
        <v>20568</v>
      </c>
      <c r="J692" s="237">
        <v>959307</v>
      </c>
      <c r="K692" s="237">
        <v>74977</v>
      </c>
      <c r="L692" s="236">
        <v>4062</v>
      </c>
      <c r="M692" s="236"/>
      <c r="N692" s="237">
        <v>38360</v>
      </c>
      <c r="O692" s="237">
        <v>354075</v>
      </c>
      <c r="P692" s="237">
        <v>0</v>
      </c>
      <c r="Q692" s="236">
        <v>51828</v>
      </c>
      <c r="R692" s="237">
        <f t="shared" si="10"/>
        <v>605232</v>
      </c>
      <c r="S692" s="236"/>
      <c r="T692" s="237">
        <v>292597</v>
      </c>
      <c r="U692" s="238">
        <v>-17066</v>
      </c>
      <c r="V692" s="238">
        <v>275532</v>
      </c>
    </row>
    <row r="693" spans="1:22">
      <c r="A693" s="231">
        <v>97661</v>
      </c>
      <c r="B693" s="232" t="s">
        <v>1403</v>
      </c>
      <c r="C693" s="92">
        <v>4.3900000000000003E-5</v>
      </c>
      <c r="D693" s="92">
        <v>3.1999999999999999E-5</v>
      </c>
      <c r="E693" s="236">
        <v>18869.439999999999</v>
      </c>
      <c r="F693" s="236">
        <v>14361</v>
      </c>
      <c r="G693" s="236">
        <v>93171</v>
      </c>
      <c r="H693" s="236"/>
      <c r="I693" s="237">
        <v>1751</v>
      </c>
      <c r="J693" s="237">
        <v>81647</v>
      </c>
      <c r="K693" s="237">
        <v>6381</v>
      </c>
      <c r="L693" s="236">
        <v>12364</v>
      </c>
      <c r="M693" s="236"/>
      <c r="N693" s="237">
        <v>3265</v>
      </c>
      <c r="O693" s="237">
        <v>30136</v>
      </c>
      <c r="P693" s="237">
        <v>0</v>
      </c>
      <c r="Q693" s="236">
        <v>2964</v>
      </c>
      <c r="R693" s="237">
        <f t="shared" si="10"/>
        <v>51511</v>
      </c>
      <c r="S693" s="236"/>
      <c r="T693" s="237">
        <v>24903</v>
      </c>
      <c r="U693" s="238">
        <v>3435</v>
      </c>
      <c r="V693" s="238">
        <v>28338</v>
      </c>
    </row>
    <row r="694" spans="1:22">
      <c r="A694" s="231">
        <v>97701</v>
      </c>
      <c r="B694" s="232" t="s">
        <v>1404</v>
      </c>
      <c r="C694" s="92">
        <v>2.5081000000000001E-3</v>
      </c>
      <c r="D694" s="92">
        <v>2.4424999999999998E-3</v>
      </c>
      <c r="E694" s="236">
        <v>1011241.6699999999</v>
      </c>
      <c r="F694" s="236">
        <v>1096179</v>
      </c>
      <c r="G694" s="236">
        <v>5323028</v>
      </c>
      <c r="H694" s="236"/>
      <c r="I694" s="237">
        <v>100010</v>
      </c>
      <c r="J694" s="237">
        <v>4664670</v>
      </c>
      <c r="K694" s="237">
        <v>364580</v>
      </c>
      <c r="L694" s="236">
        <v>31450</v>
      </c>
      <c r="M694" s="236"/>
      <c r="N694" s="237">
        <v>186525</v>
      </c>
      <c r="O694" s="237">
        <v>1721705</v>
      </c>
      <c r="P694" s="237">
        <v>0</v>
      </c>
      <c r="Q694" s="236">
        <v>17434</v>
      </c>
      <c r="R694" s="237">
        <f t="shared" si="10"/>
        <v>2942965</v>
      </c>
      <c r="S694" s="236"/>
      <c r="T694" s="237">
        <v>1422767</v>
      </c>
      <c r="U694" s="238">
        <v>529</v>
      </c>
      <c r="V694" s="238">
        <v>1423296</v>
      </c>
    </row>
    <row r="695" spans="1:22">
      <c r="A695" s="231">
        <v>97705</v>
      </c>
      <c r="B695" s="232" t="s">
        <v>1405</v>
      </c>
      <c r="C695" s="92">
        <v>6.41E-5</v>
      </c>
      <c r="D695" s="92">
        <v>5.1700000000000003E-5</v>
      </c>
      <c r="E695" s="236">
        <v>21949.45</v>
      </c>
      <c r="F695" s="236">
        <v>23203</v>
      </c>
      <c r="G695" s="236">
        <v>136042</v>
      </c>
      <c r="H695" s="236"/>
      <c r="I695" s="237">
        <v>2556</v>
      </c>
      <c r="J695" s="237">
        <v>119216</v>
      </c>
      <c r="K695" s="237">
        <v>9318</v>
      </c>
      <c r="L695" s="236">
        <v>9600</v>
      </c>
      <c r="M695" s="236"/>
      <c r="N695" s="237">
        <v>4767</v>
      </c>
      <c r="O695" s="237">
        <v>44002</v>
      </c>
      <c r="P695" s="237">
        <v>0</v>
      </c>
      <c r="Q695" s="236">
        <v>3526</v>
      </c>
      <c r="R695" s="237">
        <f t="shared" si="10"/>
        <v>75214</v>
      </c>
      <c r="S695" s="236"/>
      <c r="T695" s="237">
        <v>36362</v>
      </c>
      <c r="U695" s="238">
        <v>2791</v>
      </c>
      <c r="V695" s="238">
        <v>39153</v>
      </c>
    </row>
    <row r="696" spans="1:22">
      <c r="A696" s="231">
        <v>97711</v>
      </c>
      <c r="B696" s="232" t="s">
        <v>1406</v>
      </c>
      <c r="C696" s="92">
        <v>9.3789999999999998E-4</v>
      </c>
      <c r="D696" s="92">
        <v>9.6489999999999998E-4</v>
      </c>
      <c r="E696" s="236">
        <v>373399.85</v>
      </c>
      <c r="F696" s="236">
        <v>433041</v>
      </c>
      <c r="G696" s="236">
        <v>1990538</v>
      </c>
      <c r="H696" s="236"/>
      <c r="I696" s="237">
        <v>37399</v>
      </c>
      <c r="J696" s="237">
        <v>1744346</v>
      </c>
      <c r="K696" s="237">
        <v>136334</v>
      </c>
      <c r="L696" s="236">
        <v>18485</v>
      </c>
      <c r="M696" s="236"/>
      <c r="N696" s="237">
        <v>69751</v>
      </c>
      <c r="O696" s="237">
        <v>643829</v>
      </c>
      <c r="P696" s="237">
        <v>0</v>
      </c>
      <c r="Q696" s="236">
        <v>24399</v>
      </c>
      <c r="R696" s="237">
        <f t="shared" si="10"/>
        <v>1100517</v>
      </c>
      <c r="S696" s="236"/>
      <c r="T696" s="237">
        <v>532042</v>
      </c>
      <c r="U696" s="238">
        <v>2197</v>
      </c>
      <c r="V696" s="238">
        <v>534239</v>
      </c>
    </row>
    <row r="697" spans="1:22">
      <c r="A697" s="231">
        <v>97713</v>
      </c>
      <c r="B697" s="232" t="s">
        <v>1407</v>
      </c>
      <c r="C697" s="92">
        <v>5.3699999999999997E-5</v>
      </c>
      <c r="D697" s="92">
        <v>5.5600000000000003E-5</v>
      </c>
      <c r="E697" s="236">
        <v>17632.46</v>
      </c>
      <c r="F697" s="236">
        <v>24953</v>
      </c>
      <c r="G697" s="236">
        <v>113969</v>
      </c>
      <c r="H697" s="236"/>
      <c r="I697" s="237">
        <v>2141</v>
      </c>
      <c r="J697" s="237">
        <v>99874</v>
      </c>
      <c r="K697" s="237">
        <v>7806</v>
      </c>
      <c r="L697" s="236">
        <v>1862.64</v>
      </c>
      <c r="M697" s="236"/>
      <c r="N697" s="237">
        <v>3994</v>
      </c>
      <c r="O697" s="237">
        <v>36863</v>
      </c>
      <c r="P697" s="237">
        <v>0</v>
      </c>
      <c r="Q697" s="236">
        <v>10607</v>
      </c>
      <c r="R697" s="237">
        <f t="shared" si="10"/>
        <v>63011</v>
      </c>
      <c r="S697" s="236"/>
      <c r="T697" s="237">
        <v>30462</v>
      </c>
      <c r="U697" s="238">
        <v>-2389</v>
      </c>
      <c r="V697" s="238">
        <v>28073</v>
      </c>
    </row>
    <row r="698" spans="1:22">
      <c r="A698" s="231">
        <v>97717</v>
      </c>
      <c r="B698" s="232" t="s">
        <v>1408</v>
      </c>
      <c r="C698" s="92">
        <v>7.5000000000000002E-6</v>
      </c>
      <c r="D698" s="92">
        <v>6.6000000000000003E-6</v>
      </c>
      <c r="E698" s="236">
        <v>4301.63</v>
      </c>
      <c r="F698" s="236">
        <v>2962</v>
      </c>
      <c r="G698" s="236">
        <v>15918</v>
      </c>
      <c r="H698" s="236"/>
      <c r="I698" s="237">
        <v>299.0625</v>
      </c>
      <c r="J698" s="237">
        <v>13949</v>
      </c>
      <c r="K698" s="237">
        <v>1090.2075</v>
      </c>
      <c r="L698" s="236">
        <v>1454</v>
      </c>
      <c r="M698" s="236"/>
      <c r="N698" s="237">
        <v>558</v>
      </c>
      <c r="O698" s="237">
        <v>5148</v>
      </c>
      <c r="P698" s="237">
        <v>0</v>
      </c>
      <c r="Q698" s="236">
        <v>3295</v>
      </c>
      <c r="R698" s="237">
        <f t="shared" si="10"/>
        <v>8801</v>
      </c>
      <c r="S698" s="236"/>
      <c r="T698" s="237">
        <v>4255</v>
      </c>
      <c r="U698" s="238">
        <v>-1145</v>
      </c>
      <c r="V698" s="238">
        <v>3109</v>
      </c>
    </row>
    <row r="699" spans="1:22">
      <c r="A699" s="231">
        <v>97721</v>
      </c>
      <c r="B699" s="232" t="s">
        <v>1409</v>
      </c>
      <c r="C699" s="92">
        <v>5.7249999999999998E-4</v>
      </c>
      <c r="D699" s="92">
        <v>5.2689999999999996E-4</v>
      </c>
      <c r="E699" s="236">
        <v>224528.03999999998</v>
      </c>
      <c r="F699" s="236">
        <v>236470</v>
      </c>
      <c r="G699" s="236">
        <v>1215037</v>
      </c>
      <c r="H699" s="236"/>
      <c r="I699" s="237">
        <v>22828.4375</v>
      </c>
      <c r="J699" s="237">
        <v>1064760</v>
      </c>
      <c r="K699" s="237">
        <v>83219</v>
      </c>
      <c r="L699" s="236">
        <v>19505</v>
      </c>
      <c r="M699" s="236"/>
      <c r="N699" s="237">
        <v>42576</v>
      </c>
      <c r="O699" s="237">
        <v>392997</v>
      </c>
      <c r="P699" s="237">
        <v>0</v>
      </c>
      <c r="Q699" s="236">
        <v>36721</v>
      </c>
      <c r="R699" s="237">
        <f t="shared" si="10"/>
        <v>671763</v>
      </c>
      <c r="S699" s="236"/>
      <c r="T699" s="237">
        <v>324762</v>
      </c>
      <c r="U699" s="238">
        <v>-7125</v>
      </c>
      <c r="V699" s="238">
        <v>317637</v>
      </c>
    </row>
    <row r="700" spans="1:22">
      <c r="A700" s="231">
        <v>97727</v>
      </c>
      <c r="B700" s="232" t="s">
        <v>1410</v>
      </c>
      <c r="C700" s="92">
        <v>2.37E-5</v>
      </c>
      <c r="D700" s="92">
        <v>2.5299999999999998E-5</v>
      </c>
      <c r="E700" s="236">
        <v>9369.1200000000008</v>
      </c>
      <c r="F700" s="236">
        <v>11354</v>
      </c>
      <c r="G700" s="236">
        <v>50299</v>
      </c>
      <c r="H700" s="236"/>
      <c r="I700" s="237">
        <v>945.03750000000002</v>
      </c>
      <c r="J700" s="237">
        <v>44078</v>
      </c>
      <c r="K700" s="237">
        <v>3445</v>
      </c>
      <c r="L700" s="236">
        <v>0</v>
      </c>
      <c r="M700" s="236"/>
      <c r="N700" s="237">
        <v>1763</v>
      </c>
      <c r="O700" s="237">
        <v>16269</v>
      </c>
      <c r="P700" s="237">
        <v>0</v>
      </c>
      <c r="Q700" s="236">
        <v>3253</v>
      </c>
      <c r="R700" s="237">
        <f t="shared" si="10"/>
        <v>27809</v>
      </c>
      <c r="S700" s="236"/>
      <c r="T700" s="237">
        <v>13444</v>
      </c>
      <c r="U700" s="238">
        <v>-1207</v>
      </c>
      <c r="V700" s="238">
        <v>12237</v>
      </c>
    </row>
    <row r="701" spans="1:22">
      <c r="A701" s="231">
        <v>97731</v>
      </c>
      <c r="B701" s="232" t="s">
        <v>1411</v>
      </c>
      <c r="C701" s="92">
        <v>3.7100000000000001E-5</v>
      </c>
      <c r="D701" s="92">
        <v>3.3599999999999997E-5</v>
      </c>
      <c r="E701" s="236">
        <v>17225.91</v>
      </c>
      <c r="F701" s="236">
        <v>15079</v>
      </c>
      <c r="G701" s="236">
        <v>78739</v>
      </c>
      <c r="H701" s="236"/>
      <c r="I701" s="237">
        <v>1479</v>
      </c>
      <c r="J701" s="237">
        <v>69000</v>
      </c>
      <c r="K701" s="237">
        <v>5393</v>
      </c>
      <c r="L701" s="236">
        <v>8501</v>
      </c>
      <c r="M701" s="236"/>
      <c r="N701" s="237">
        <v>2759</v>
      </c>
      <c r="O701" s="237">
        <v>25468</v>
      </c>
      <c r="P701" s="237">
        <v>0</v>
      </c>
      <c r="Q701" s="236">
        <v>0</v>
      </c>
      <c r="R701" s="237">
        <f t="shared" si="10"/>
        <v>43532</v>
      </c>
      <c r="S701" s="236"/>
      <c r="T701" s="237">
        <v>21046</v>
      </c>
      <c r="U701" s="238">
        <v>2797</v>
      </c>
      <c r="V701" s="238">
        <v>23843</v>
      </c>
    </row>
    <row r="702" spans="1:22">
      <c r="A702" s="231">
        <v>97801</v>
      </c>
      <c r="B702" s="232" t="s">
        <v>1946</v>
      </c>
      <c r="C702" s="92">
        <v>7.3343000000000002E-3</v>
      </c>
      <c r="D702" s="92">
        <v>7.4117999999999996E-3</v>
      </c>
      <c r="E702" s="236">
        <v>2930301.9699999993</v>
      </c>
      <c r="F702" s="236">
        <v>3326371</v>
      </c>
      <c r="G702" s="236">
        <v>15565842</v>
      </c>
      <c r="H702" s="236"/>
      <c r="I702" s="237">
        <v>292455</v>
      </c>
      <c r="J702" s="237">
        <v>13640639</v>
      </c>
      <c r="K702" s="237">
        <v>1066121</v>
      </c>
      <c r="L702" s="236">
        <v>55808</v>
      </c>
      <c r="M702" s="236"/>
      <c r="N702" s="237">
        <v>545445</v>
      </c>
      <c r="O702" s="237">
        <v>5034689</v>
      </c>
      <c r="P702" s="237">
        <v>0</v>
      </c>
      <c r="Q702" s="236">
        <v>191858</v>
      </c>
      <c r="R702" s="237">
        <f t="shared" si="10"/>
        <v>8605950</v>
      </c>
      <c r="S702" s="236"/>
      <c r="T702" s="237">
        <v>4160521</v>
      </c>
      <c r="U702" s="238">
        <v>-29463</v>
      </c>
      <c r="V702" s="238">
        <v>4131058</v>
      </c>
    </row>
    <row r="703" spans="1:22">
      <c r="A703" s="231">
        <v>97802</v>
      </c>
      <c r="B703" s="232" t="s">
        <v>1413</v>
      </c>
      <c r="C703" s="92">
        <v>1.8120000000000001E-4</v>
      </c>
      <c r="D703" s="92">
        <v>1.8599999999999999E-4</v>
      </c>
      <c r="E703" s="236">
        <v>74110.990000000005</v>
      </c>
      <c r="F703" s="236">
        <v>83476</v>
      </c>
      <c r="G703" s="236">
        <v>384567</v>
      </c>
      <c r="H703" s="236"/>
      <c r="I703" s="237">
        <v>7225.35</v>
      </c>
      <c r="J703" s="237">
        <v>337003</v>
      </c>
      <c r="K703" s="237">
        <v>26339</v>
      </c>
      <c r="L703" s="236">
        <v>19490</v>
      </c>
      <c r="M703" s="236"/>
      <c r="N703" s="237">
        <v>13476</v>
      </c>
      <c r="O703" s="237">
        <v>124386</v>
      </c>
      <c r="P703" s="237">
        <v>0</v>
      </c>
      <c r="Q703" s="236">
        <v>22046</v>
      </c>
      <c r="R703" s="237">
        <f t="shared" si="10"/>
        <v>212617</v>
      </c>
      <c r="S703" s="236"/>
      <c r="T703" s="237">
        <v>102789</v>
      </c>
      <c r="U703" s="238">
        <v>2255</v>
      </c>
      <c r="V703" s="238">
        <v>105045</v>
      </c>
    </row>
    <row r="704" spans="1:22">
      <c r="A704" s="231">
        <v>97803</v>
      </c>
      <c r="B704" s="232" t="s">
        <v>1414</v>
      </c>
      <c r="C704" s="92">
        <v>7.9099999999999998E-5</v>
      </c>
      <c r="D704" s="92">
        <v>7.6600000000000005E-5</v>
      </c>
      <c r="E704" s="236">
        <v>33622</v>
      </c>
      <c r="F704" s="236">
        <v>34378</v>
      </c>
      <c r="G704" s="236">
        <v>167877</v>
      </c>
      <c r="H704" s="236"/>
      <c r="I704" s="237">
        <v>3154</v>
      </c>
      <c r="J704" s="237">
        <v>147114</v>
      </c>
      <c r="K704" s="237">
        <v>11498</v>
      </c>
      <c r="L704" s="236">
        <v>9364</v>
      </c>
      <c r="M704" s="236"/>
      <c r="N704" s="237">
        <v>5883</v>
      </c>
      <c r="O704" s="237">
        <v>54299</v>
      </c>
      <c r="P704" s="237">
        <v>0</v>
      </c>
      <c r="Q704" s="236">
        <v>2358</v>
      </c>
      <c r="R704" s="237">
        <f t="shared" si="10"/>
        <v>92815</v>
      </c>
      <c r="S704" s="236"/>
      <c r="T704" s="237">
        <v>44871</v>
      </c>
      <c r="U704" s="238">
        <v>3329</v>
      </c>
      <c r="V704" s="238">
        <v>48200</v>
      </c>
    </row>
    <row r="705" spans="1:22">
      <c r="A705" s="231">
        <v>97805</v>
      </c>
      <c r="B705" s="232" t="s">
        <v>1415</v>
      </c>
      <c r="C705" s="92">
        <v>8.2600000000000002E-5</v>
      </c>
      <c r="D705" s="92">
        <v>6.7700000000000006E-5</v>
      </c>
      <c r="E705" s="236">
        <v>34033.410000000003</v>
      </c>
      <c r="F705" s="236">
        <v>30383</v>
      </c>
      <c r="G705" s="236">
        <v>175305</v>
      </c>
      <c r="H705" s="236"/>
      <c r="I705" s="237">
        <v>3294</v>
      </c>
      <c r="J705" s="237">
        <v>153623</v>
      </c>
      <c r="K705" s="237">
        <v>12007</v>
      </c>
      <c r="L705" s="236">
        <v>13426</v>
      </c>
      <c r="M705" s="236"/>
      <c r="N705" s="237">
        <v>6143</v>
      </c>
      <c r="O705" s="237">
        <v>56701</v>
      </c>
      <c r="P705" s="237">
        <v>0</v>
      </c>
      <c r="Q705" s="236">
        <v>453.72</v>
      </c>
      <c r="R705" s="237">
        <f t="shared" si="10"/>
        <v>96922</v>
      </c>
      <c r="S705" s="236"/>
      <c r="T705" s="237">
        <v>46856</v>
      </c>
      <c r="U705" s="238">
        <v>3757</v>
      </c>
      <c r="V705" s="238">
        <v>50613</v>
      </c>
    </row>
    <row r="706" spans="1:22">
      <c r="A706" s="231">
        <v>97811</v>
      </c>
      <c r="B706" s="232" t="s">
        <v>1416</v>
      </c>
      <c r="C706" s="92">
        <v>2.4088E-3</v>
      </c>
      <c r="D706" s="92">
        <v>2.5788E-3</v>
      </c>
      <c r="E706" s="236">
        <v>950193.23999999987</v>
      </c>
      <c r="F706" s="236">
        <v>1157350</v>
      </c>
      <c r="G706" s="236">
        <v>5112281</v>
      </c>
      <c r="H706" s="236"/>
      <c r="I706" s="237">
        <v>96050.9</v>
      </c>
      <c r="J706" s="237">
        <v>4479987</v>
      </c>
      <c r="K706" s="237">
        <v>350146</v>
      </c>
      <c r="L706" s="236">
        <v>0</v>
      </c>
      <c r="M706" s="236"/>
      <c r="N706" s="237">
        <v>179140</v>
      </c>
      <c r="O706" s="237">
        <v>1653540</v>
      </c>
      <c r="P706" s="237">
        <v>0</v>
      </c>
      <c r="Q706" s="236">
        <v>235946</v>
      </c>
      <c r="R706" s="237">
        <f t="shared" si="10"/>
        <v>2826447</v>
      </c>
      <c r="S706" s="236"/>
      <c r="T706" s="237">
        <v>1366438</v>
      </c>
      <c r="U706" s="238">
        <v>-72994</v>
      </c>
      <c r="V706" s="238">
        <v>1293444</v>
      </c>
    </row>
    <row r="707" spans="1:22">
      <c r="A707" s="231">
        <v>97817</v>
      </c>
      <c r="B707" s="232" t="s">
        <v>1417</v>
      </c>
      <c r="C707" s="92">
        <v>3.9999999999999998E-6</v>
      </c>
      <c r="D707" s="92">
        <v>7.0999999999999998E-6</v>
      </c>
      <c r="E707" s="236">
        <v>7287.0899999999992</v>
      </c>
      <c r="F707" s="236">
        <v>3186</v>
      </c>
      <c r="G707" s="236">
        <v>8489.34</v>
      </c>
      <c r="H707" s="236"/>
      <c r="I707" s="237">
        <v>159.5</v>
      </c>
      <c r="J707" s="237">
        <v>7439</v>
      </c>
      <c r="K707" s="237">
        <v>581</v>
      </c>
      <c r="L707" s="236">
        <v>4157</v>
      </c>
      <c r="M707" s="236"/>
      <c r="N707" s="237">
        <v>297</v>
      </c>
      <c r="O707" s="237">
        <v>2746</v>
      </c>
      <c r="P707" s="237">
        <v>0</v>
      </c>
      <c r="Q707" s="236">
        <v>3747</v>
      </c>
      <c r="R707" s="237">
        <f t="shared" si="10"/>
        <v>4693</v>
      </c>
      <c r="S707" s="236"/>
      <c r="T707" s="237">
        <v>2269</v>
      </c>
      <c r="U707" s="238">
        <v>78</v>
      </c>
      <c r="V707" s="238">
        <v>2347</v>
      </c>
    </row>
    <row r="708" spans="1:22">
      <c r="A708" s="231">
        <v>97818</v>
      </c>
      <c r="B708" s="232" t="s">
        <v>1418</v>
      </c>
      <c r="C708" s="92">
        <v>2.12E-5</v>
      </c>
      <c r="D708" s="92">
        <v>8.3999999999999992E-6</v>
      </c>
      <c r="E708" s="236">
        <v>8689.8200000000015</v>
      </c>
      <c r="F708" s="236">
        <v>3770</v>
      </c>
      <c r="G708" s="236">
        <v>44994</v>
      </c>
      <c r="H708" s="236"/>
      <c r="I708" s="237">
        <v>845.35</v>
      </c>
      <c r="J708" s="237">
        <v>39429</v>
      </c>
      <c r="K708" s="237">
        <v>3082</v>
      </c>
      <c r="L708" s="236">
        <v>8112</v>
      </c>
      <c r="M708" s="236"/>
      <c r="N708" s="237">
        <v>1577</v>
      </c>
      <c r="O708" s="237">
        <v>14553</v>
      </c>
      <c r="P708" s="237">
        <v>0</v>
      </c>
      <c r="Q708" s="236">
        <v>4294.42</v>
      </c>
      <c r="R708" s="237">
        <f t="shared" si="10"/>
        <v>24876</v>
      </c>
      <c r="S708" s="236"/>
      <c r="T708" s="237">
        <v>12026</v>
      </c>
      <c r="U708" s="238">
        <v>58</v>
      </c>
      <c r="V708" s="238">
        <v>12084</v>
      </c>
    </row>
    <row r="709" spans="1:22">
      <c r="A709" s="231">
        <v>97821</v>
      </c>
      <c r="B709" s="232" t="s">
        <v>1419</v>
      </c>
      <c r="C709" s="92">
        <v>1.1620000000000001E-4</v>
      </c>
      <c r="D709" s="92">
        <v>1.3329999999999999E-4</v>
      </c>
      <c r="E709" s="236">
        <v>52013.57</v>
      </c>
      <c r="F709" s="236">
        <v>59824</v>
      </c>
      <c r="G709" s="236">
        <v>246615</v>
      </c>
      <c r="H709" s="236"/>
      <c r="I709" s="237">
        <v>4633</v>
      </c>
      <c r="J709" s="237">
        <v>216114</v>
      </c>
      <c r="K709" s="237">
        <v>16891</v>
      </c>
      <c r="L709" s="236">
        <v>0</v>
      </c>
      <c r="M709" s="236"/>
      <c r="N709" s="237">
        <v>8642</v>
      </c>
      <c r="O709" s="237">
        <v>79766</v>
      </c>
      <c r="P709" s="237">
        <v>0</v>
      </c>
      <c r="Q709" s="236">
        <v>26909</v>
      </c>
      <c r="R709" s="237">
        <f t="shared" si="10"/>
        <v>136348</v>
      </c>
      <c r="S709" s="236"/>
      <c r="T709" s="237">
        <v>65917</v>
      </c>
      <c r="U709" s="238">
        <v>-10681</v>
      </c>
      <c r="V709" s="238">
        <v>55236</v>
      </c>
    </row>
    <row r="710" spans="1:22">
      <c r="A710" s="231">
        <v>97823</v>
      </c>
      <c r="B710" s="232" t="s">
        <v>1420</v>
      </c>
      <c r="C710" s="92">
        <v>2.4600000000000002E-5</v>
      </c>
      <c r="D710" s="92">
        <v>2.58E-5</v>
      </c>
      <c r="E710" s="236">
        <v>11852.430000000002</v>
      </c>
      <c r="F710" s="236">
        <v>11579</v>
      </c>
      <c r="G710" s="236">
        <v>52209</v>
      </c>
      <c r="H710" s="236"/>
      <c r="I710" s="237">
        <v>981</v>
      </c>
      <c r="J710" s="237">
        <v>45752</v>
      </c>
      <c r="K710" s="237">
        <v>3576</v>
      </c>
      <c r="L710" s="236">
        <v>926</v>
      </c>
      <c r="M710" s="236"/>
      <c r="N710" s="237">
        <v>1829</v>
      </c>
      <c r="O710" s="237">
        <v>16887</v>
      </c>
      <c r="P710" s="237">
        <v>0</v>
      </c>
      <c r="Q710" s="236">
        <v>1188</v>
      </c>
      <c r="R710" s="237">
        <f t="shared" si="10"/>
        <v>28865</v>
      </c>
      <c r="S710" s="236"/>
      <c r="T710" s="237">
        <v>13955</v>
      </c>
      <c r="U710" s="238">
        <v>-338</v>
      </c>
      <c r="V710" s="238">
        <v>13616</v>
      </c>
    </row>
    <row r="711" spans="1:22">
      <c r="A711" s="231">
        <v>97831</v>
      </c>
      <c r="B711" s="232" t="s">
        <v>1421</v>
      </c>
      <c r="C711" s="92">
        <v>1.482E-4</v>
      </c>
      <c r="D711" s="92">
        <v>1.5860000000000001E-4</v>
      </c>
      <c r="E711" s="236">
        <v>66463.330000000016</v>
      </c>
      <c r="F711" s="236">
        <v>71179</v>
      </c>
      <c r="G711" s="236">
        <v>314530</v>
      </c>
      <c r="H711" s="236"/>
      <c r="I711" s="237">
        <v>5909</v>
      </c>
      <c r="J711" s="237">
        <v>275629</v>
      </c>
      <c r="K711" s="237">
        <v>21543</v>
      </c>
      <c r="L711" s="236">
        <v>0</v>
      </c>
      <c r="M711" s="236"/>
      <c r="N711" s="237">
        <v>11021</v>
      </c>
      <c r="O711" s="237">
        <v>101733</v>
      </c>
      <c r="P711" s="237">
        <v>0</v>
      </c>
      <c r="Q711" s="236">
        <v>14308</v>
      </c>
      <c r="R711" s="237">
        <f t="shared" si="10"/>
        <v>173896</v>
      </c>
      <c r="S711" s="236"/>
      <c r="T711" s="237">
        <v>84069</v>
      </c>
      <c r="U711" s="238">
        <v>-5891</v>
      </c>
      <c r="V711" s="238">
        <v>78179</v>
      </c>
    </row>
    <row r="712" spans="1:22">
      <c r="A712" s="231">
        <v>97837</v>
      </c>
      <c r="B712" s="232" t="s">
        <v>1422</v>
      </c>
      <c r="C712" s="92">
        <v>8.8000000000000004E-6</v>
      </c>
      <c r="D712" s="92">
        <v>1.3699999999999999E-5</v>
      </c>
      <c r="E712" s="236">
        <v>6597.01</v>
      </c>
      <c r="F712" s="236">
        <v>6148</v>
      </c>
      <c r="G712" s="236">
        <v>18677</v>
      </c>
      <c r="H712" s="236"/>
      <c r="I712" s="237">
        <v>351</v>
      </c>
      <c r="J712" s="237">
        <v>16367</v>
      </c>
      <c r="K712" s="237">
        <v>1279</v>
      </c>
      <c r="L712" s="236">
        <v>2093</v>
      </c>
      <c r="M712" s="236"/>
      <c r="N712" s="237">
        <v>654</v>
      </c>
      <c r="O712" s="237">
        <v>6041</v>
      </c>
      <c r="P712" s="237">
        <v>0</v>
      </c>
      <c r="Q712" s="236">
        <v>289</v>
      </c>
      <c r="R712" s="237">
        <f t="shared" si="10"/>
        <v>10326</v>
      </c>
      <c r="S712" s="236"/>
      <c r="T712" s="237">
        <v>4992</v>
      </c>
      <c r="U712" s="238">
        <v>751</v>
      </c>
      <c r="V712" s="238">
        <v>5743</v>
      </c>
    </row>
    <row r="713" spans="1:22">
      <c r="A713" s="231">
        <v>97840</v>
      </c>
      <c r="B713" s="232" t="s">
        <v>1423</v>
      </c>
      <c r="C713" s="92">
        <v>1.403E-4</v>
      </c>
      <c r="D713" s="92">
        <v>1.4799999999999999E-4</v>
      </c>
      <c r="E713" s="236">
        <v>98734.69</v>
      </c>
      <c r="F713" s="236">
        <v>66422</v>
      </c>
      <c r="G713" s="236">
        <v>297764</v>
      </c>
      <c r="H713" s="236"/>
      <c r="I713" s="237">
        <v>5594</v>
      </c>
      <c r="J713" s="237">
        <v>260936</v>
      </c>
      <c r="K713" s="237">
        <v>20394</v>
      </c>
      <c r="L713" s="236">
        <v>64083</v>
      </c>
      <c r="M713" s="236"/>
      <c r="N713" s="237">
        <v>10434</v>
      </c>
      <c r="O713" s="237">
        <v>96310</v>
      </c>
      <c r="P713" s="237">
        <v>0</v>
      </c>
      <c r="Q713" s="236">
        <v>1938</v>
      </c>
      <c r="R713" s="237">
        <f t="shared" ref="R713:R776" si="11">IF(J713&gt;O713,J713-O713,O713-J713)</f>
        <v>164626</v>
      </c>
      <c r="S713" s="236"/>
      <c r="T713" s="237">
        <v>79588</v>
      </c>
      <c r="U713" s="238">
        <v>19035</v>
      </c>
      <c r="V713" s="238">
        <v>98623</v>
      </c>
    </row>
    <row r="714" spans="1:22">
      <c r="A714" s="231">
        <v>97841</v>
      </c>
      <c r="B714" s="232" t="s">
        <v>1424</v>
      </c>
      <c r="C714" s="92">
        <v>1.45E-5</v>
      </c>
      <c r="D714" s="92">
        <v>1.5699999999999999E-5</v>
      </c>
      <c r="E714" s="236">
        <v>6090.83</v>
      </c>
      <c r="F714" s="236">
        <v>7046</v>
      </c>
      <c r="G714" s="236">
        <v>30774</v>
      </c>
      <c r="H714" s="236"/>
      <c r="I714" s="237">
        <v>578.1875</v>
      </c>
      <c r="J714" s="237">
        <v>26968</v>
      </c>
      <c r="K714" s="237">
        <v>2108</v>
      </c>
      <c r="L714" s="236">
        <v>636</v>
      </c>
      <c r="M714" s="236"/>
      <c r="N714" s="237">
        <v>1078</v>
      </c>
      <c r="O714" s="237">
        <v>9954</v>
      </c>
      <c r="P714" s="237">
        <v>0</v>
      </c>
      <c r="Q714" s="236">
        <v>8091</v>
      </c>
      <c r="R714" s="237">
        <f t="shared" si="11"/>
        <v>17014</v>
      </c>
      <c r="S714" s="236"/>
      <c r="T714" s="237">
        <v>8225</v>
      </c>
      <c r="U714" s="238">
        <v>-3707</v>
      </c>
      <c r="V714" s="238">
        <v>4519</v>
      </c>
    </row>
    <row r="715" spans="1:22">
      <c r="A715" s="231">
        <v>97847</v>
      </c>
      <c r="B715" s="232" t="s">
        <v>1425</v>
      </c>
      <c r="C715" s="92">
        <v>2.2000000000000001E-6</v>
      </c>
      <c r="D715" s="92">
        <v>2.7E-6</v>
      </c>
      <c r="E715" s="236">
        <v>1833.5700000000002</v>
      </c>
      <c r="F715" s="236">
        <v>1212</v>
      </c>
      <c r="G715" s="236">
        <v>4669</v>
      </c>
      <c r="H715" s="236"/>
      <c r="I715" s="237">
        <v>88</v>
      </c>
      <c r="J715" s="237">
        <v>4092</v>
      </c>
      <c r="K715" s="237">
        <v>320</v>
      </c>
      <c r="L715" s="236">
        <v>650</v>
      </c>
      <c r="M715" s="236"/>
      <c r="N715" s="237">
        <v>164</v>
      </c>
      <c r="O715" s="237">
        <v>1510</v>
      </c>
      <c r="P715" s="237">
        <v>0</v>
      </c>
      <c r="Q715" s="236">
        <v>145</v>
      </c>
      <c r="R715" s="237">
        <f t="shared" si="11"/>
        <v>2582</v>
      </c>
      <c r="S715" s="236"/>
      <c r="T715" s="237">
        <v>1248</v>
      </c>
      <c r="U715" s="238">
        <v>113</v>
      </c>
      <c r="V715" s="238">
        <v>1361</v>
      </c>
    </row>
    <row r="716" spans="1:22">
      <c r="A716" s="231">
        <v>97851</v>
      </c>
      <c r="B716" s="232" t="s">
        <v>1426</v>
      </c>
      <c r="C716" s="92">
        <v>2.7460000000000001E-4</v>
      </c>
      <c r="D716" s="92">
        <v>2.7E-4</v>
      </c>
      <c r="E716" s="236">
        <v>101247.38999999998</v>
      </c>
      <c r="F716" s="236">
        <v>121174.38</v>
      </c>
      <c r="G716" s="236">
        <v>582793</v>
      </c>
      <c r="H716" s="236"/>
      <c r="I716" s="237">
        <v>10950</v>
      </c>
      <c r="J716" s="237">
        <v>510713</v>
      </c>
      <c r="K716" s="237">
        <v>39916</v>
      </c>
      <c r="L716" s="236">
        <v>2911</v>
      </c>
      <c r="M716" s="236"/>
      <c r="N716" s="237">
        <v>20422</v>
      </c>
      <c r="O716" s="237">
        <v>188501</v>
      </c>
      <c r="P716" s="237">
        <v>0</v>
      </c>
      <c r="Q716" s="236">
        <v>8317</v>
      </c>
      <c r="R716" s="237">
        <f t="shared" si="11"/>
        <v>322212</v>
      </c>
      <c r="S716" s="236"/>
      <c r="T716" s="237">
        <v>155772</v>
      </c>
      <c r="U716" s="238">
        <v>-838</v>
      </c>
      <c r="V716" s="238">
        <v>154934</v>
      </c>
    </row>
    <row r="717" spans="1:22">
      <c r="A717" s="231">
        <v>97853</v>
      </c>
      <c r="B717" s="232" t="s">
        <v>1427</v>
      </c>
      <c r="C717" s="92">
        <v>9.1600000000000004E-5</v>
      </c>
      <c r="D717" s="92">
        <v>1.114E-4</v>
      </c>
      <c r="E717" s="236">
        <v>34606.629999999997</v>
      </c>
      <c r="F717" s="236">
        <v>49996</v>
      </c>
      <c r="G717" s="236">
        <v>194406</v>
      </c>
      <c r="H717" s="236"/>
      <c r="I717" s="237">
        <v>3652.55</v>
      </c>
      <c r="J717" s="237">
        <v>170362</v>
      </c>
      <c r="K717" s="237">
        <v>13315</v>
      </c>
      <c r="L717" s="236">
        <v>6323</v>
      </c>
      <c r="M717" s="236"/>
      <c r="N717" s="237">
        <v>6812</v>
      </c>
      <c r="O717" s="237">
        <v>62880</v>
      </c>
      <c r="P717" s="237">
        <v>0</v>
      </c>
      <c r="Q717" s="236">
        <v>13159</v>
      </c>
      <c r="R717" s="237">
        <f t="shared" si="11"/>
        <v>107482</v>
      </c>
      <c r="S717" s="236"/>
      <c r="T717" s="237">
        <v>51962</v>
      </c>
      <c r="U717" s="238">
        <v>-826</v>
      </c>
      <c r="V717" s="238">
        <v>51136</v>
      </c>
    </row>
    <row r="718" spans="1:22">
      <c r="A718" s="231">
        <v>97861</v>
      </c>
      <c r="B718" s="232" t="s">
        <v>1428</v>
      </c>
      <c r="C718" s="92">
        <v>6.8499999999999998E-5</v>
      </c>
      <c r="D718" s="92">
        <v>6.6799999999999997E-5</v>
      </c>
      <c r="E718" s="236">
        <v>25465.590000000004</v>
      </c>
      <c r="F718" s="236">
        <v>29979</v>
      </c>
      <c r="G718" s="236">
        <v>145380</v>
      </c>
      <c r="H718" s="236"/>
      <c r="I718" s="237">
        <v>2731.4375</v>
      </c>
      <c r="J718" s="237">
        <v>127399</v>
      </c>
      <c r="K718" s="237">
        <v>9957</v>
      </c>
      <c r="L718" s="236">
        <v>2745</v>
      </c>
      <c r="M718" s="236"/>
      <c r="N718" s="237">
        <v>5094</v>
      </c>
      <c r="O718" s="237">
        <v>47022</v>
      </c>
      <c r="P718" s="237">
        <v>0</v>
      </c>
      <c r="Q718" s="236">
        <v>8154</v>
      </c>
      <c r="R718" s="237">
        <f t="shared" si="11"/>
        <v>80377</v>
      </c>
      <c r="S718" s="236"/>
      <c r="T718" s="237">
        <v>38858</v>
      </c>
      <c r="U718" s="238">
        <v>-2826</v>
      </c>
      <c r="V718" s="238">
        <v>36032</v>
      </c>
    </row>
    <row r="719" spans="1:22">
      <c r="A719" s="231">
        <v>97871</v>
      </c>
      <c r="B719" s="232" t="s">
        <v>1429</v>
      </c>
      <c r="C719" s="92">
        <v>3.1500000000000001E-4</v>
      </c>
      <c r="D719" s="92">
        <v>3.1530000000000002E-4</v>
      </c>
      <c r="E719" s="236">
        <v>247765.79000000004</v>
      </c>
      <c r="F719" s="236">
        <v>141505</v>
      </c>
      <c r="G719" s="236">
        <v>668536</v>
      </c>
      <c r="H719" s="236"/>
      <c r="I719" s="237">
        <v>12560.625</v>
      </c>
      <c r="J719" s="237">
        <v>585850.23</v>
      </c>
      <c r="K719" s="237">
        <v>45789</v>
      </c>
      <c r="L719" s="236">
        <v>173467</v>
      </c>
      <c r="M719" s="236"/>
      <c r="N719" s="237">
        <v>23426</v>
      </c>
      <c r="O719" s="237">
        <v>216234</v>
      </c>
      <c r="P719" s="237">
        <v>0</v>
      </c>
      <c r="Q719" s="236">
        <v>0</v>
      </c>
      <c r="R719" s="237">
        <f t="shared" si="11"/>
        <v>369616.23</v>
      </c>
      <c r="S719" s="236"/>
      <c r="T719" s="237">
        <v>178690</v>
      </c>
      <c r="U719" s="238">
        <v>54798</v>
      </c>
      <c r="V719" s="238">
        <v>233488</v>
      </c>
    </row>
    <row r="720" spans="1:22">
      <c r="A720" s="231">
        <v>97877</v>
      </c>
      <c r="B720" s="232" t="s">
        <v>1430</v>
      </c>
      <c r="C720" s="92">
        <v>2.2000000000000001E-6</v>
      </c>
      <c r="D720" s="92">
        <v>2.6000000000000001E-6</v>
      </c>
      <c r="E720" s="236">
        <v>1917.4899999999998</v>
      </c>
      <c r="F720" s="236">
        <v>1167</v>
      </c>
      <c r="G720" s="236">
        <v>4669</v>
      </c>
      <c r="H720" s="236"/>
      <c r="I720" s="237">
        <v>88</v>
      </c>
      <c r="J720" s="237">
        <v>4092</v>
      </c>
      <c r="K720" s="237">
        <v>320</v>
      </c>
      <c r="L720" s="236">
        <v>1306</v>
      </c>
      <c r="M720" s="236"/>
      <c r="N720" s="237">
        <v>164</v>
      </c>
      <c r="O720" s="237">
        <v>1510</v>
      </c>
      <c r="P720" s="237">
        <v>0</v>
      </c>
      <c r="Q720" s="236">
        <v>0</v>
      </c>
      <c r="R720" s="237">
        <f t="shared" si="11"/>
        <v>2582</v>
      </c>
      <c r="S720" s="236"/>
      <c r="T720" s="237">
        <v>1248</v>
      </c>
      <c r="U720" s="238">
        <v>452</v>
      </c>
      <c r="V720" s="238">
        <v>1700</v>
      </c>
    </row>
    <row r="721" spans="1:22">
      <c r="A721" s="231">
        <v>97901</v>
      </c>
      <c r="B721" s="232" t="s">
        <v>1431</v>
      </c>
      <c r="C721" s="92">
        <v>4.3616999999999996E-3</v>
      </c>
      <c r="D721" s="92">
        <v>4.2928000000000003E-3</v>
      </c>
      <c r="E721" s="236">
        <v>1721465.11</v>
      </c>
      <c r="F721" s="236">
        <v>1926583</v>
      </c>
      <c r="G721" s="236">
        <v>9256989</v>
      </c>
      <c r="H721" s="236"/>
      <c r="I721" s="237">
        <v>173923</v>
      </c>
      <c r="J721" s="237">
        <v>8112073</v>
      </c>
      <c r="K721" s="237">
        <v>634021</v>
      </c>
      <c r="L721" s="236">
        <v>76379</v>
      </c>
      <c r="M721" s="236"/>
      <c r="N721" s="237">
        <v>324375</v>
      </c>
      <c r="O721" s="237">
        <v>2994124</v>
      </c>
      <c r="P721" s="237">
        <v>0</v>
      </c>
      <c r="Q721" s="236">
        <v>20062</v>
      </c>
      <c r="R721" s="237">
        <f t="shared" si="11"/>
        <v>5117949</v>
      </c>
      <c r="S721" s="236"/>
      <c r="T721" s="237">
        <v>2474257</v>
      </c>
      <c r="U721" s="238">
        <v>24654</v>
      </c>
      <c r="V721" s="238">
        <v>2498911</v>
      </c>
    </row>
    <row r="722" spans="1:22">
      <c r="A722" s="231">
        <v>97911</v>
      </c>
      <c r="B722" s="232" t="s">
        <v>1432</v>
      </c>
      <c r="C722" s="92">
        <v>1.3190000000000001E-3</v>
      </c>
      <c r="D722" s="92">
        <v>1.4008E-3</v>
      </c>
      <c r="E722" s="236">
        <v>549902.35000000009</v>
      </c>
      <c r="F722" s="236">
        <v>628671</v>
      </c>
      <c r="G722" s="236">
        <v>2799360</v>
      </c>
      <c r="H722" s="236"/>
      <c r="I722" s="237">
        <v>52595.125</v>
      </c>
      <c r="J722" s="237">
        <v>2453132</v>
      </c>
      <c r="K722" s="237">
        <v>191731</v>
      </c>
      <c r="L722" s="236">
        <v>50935</v>
      </c>
      <c r="M722" s="236"/>
      <c r="N722" s="237">
        <v>98093</v>
      </c>
      <c r="O722" s="237">
        <v>905438</v>
      </c>
      <c r="P722" s="237">
        <v>0</v>
      </c>
      <c r="Q722" s="236">
        <v>38377</v>
      </c>
      <c r="R722" s="237">
        <f t="shared" si="11"/>
        <v>1547694</v>
      </c>
      <c r="S722" s="236"/>
      <c r="T722" s="237">
        <v>748228</v>
      </c>
      <c r="U722" s="238">
        <v>10404</v>
      </c>
      <c r="V722" s="238">
        <v>758632</v>
      </c>
    </row>
    <row r="723" spans="1:22">
      <c r="A723" s="231">
        <v>97913</v>
      </c>
      <c r="B723" s="232" t="s">
        <v>1433</v>
      </c>
      <c r="C723" s="92">
        <v>3.7400000000000001E-5</v>
      </c>
      <c r="D723" s="92">
        <v>3.7700000000000002E-5</v>
      </c>
      <c r="E723" s="236">
        <v>23994.67</v>
      </c>
      <c r="F723" s="236">
        <v>16920</v>
      </c>
      <c r="G723" s="236">
        <v>79375</v>
      </c>
      <c r="H723" s="236"/>
      <c r="I723" s="237">
        <v>1491.325</v>
      </c>
      <c r="J723" s="237">
        <v>69558</v>
      </c>
      <c r="K723" s="237">
        <v>5437</v>
      </c>
      <c r="L723" s="236">
        <v>11163</v>
      </c>
      <c r="M723" s="236"/>
      <c r="N723" s="237">
        <v>2781</v>
      </c>
      <c r="O723" s="237">
        <v>25674</v>
      </c>
      <c r="P723" s="237">
        <v>0</v>
      </c>
      <c r="Q723" s="236">
        <v>0</v>
      </c>
      <c r="R723" s="237">
        <f t="shared" si="11"/>
        <v>43884</v>
      </c>
      <c r="S723" s="236"/>
      <c r="T723" s="237">
        <v>21216</v>
      </c>
      <c r="U723" s="238">
        <v>3404</v>
      </c>
      <c r="V723" s="238">
        <v>24620</v>
      </c>
    </row>
    <row r="724" spans="1:22">
      <c r="A724" s="231">
        <v>97917</v>
      </c>
      <c r="B724" s="232" t="s">
        <v>1434</v>
      </c>
      <c r="C724" s="92">
        <v>1.98E-5</v>
      </c>
      <c r="D724" s="92">
        <v>2.0599999999999999E-5</v>
      </c>
      <c r="E724" s="236">
        <v>11950.349999999999</v>
      </c>
      <c r="F724" s="236">
        <v>9245</v>
      </c>
      <c r="G724" s="236">
        <v>42022</v>
      </c>
      <c r="H724" s="236"/>
      <c r="I724" s="237">
        <v>789.52499999999998</v>
      </c>
      <c r="J724" s="237">
        <v>36825</v>
      </c>
      <c r="K724" s="237">
        <v>2878</v>
      </c>
      <c r="L724" s="236">
        <v>6195</v>
      </c>
      <c r="M724" s="236"/>
      <c r="N724" s="237">
        <v>1473</v>
      </c>
      <c r="O724" s="237">
        <v>13592</v>
      </c>
      <c r="P724" s="237">
        <v>0</v>
      </c>
      <c r="Q724" s="236">
        <v>0</v>
      </c>
      <c r="R724" s="237">
        <f t="shared" si="11"/>
        <v>23233</v>
      </c>
      <c r="S724" s="236"/>
      <c r="T724" s="237">
        <v>11232</v>
      </c>
      <c r="U724" s="238">
        <v>2211</v>
      </c>
      <c r="V724" s="238">
        <v>13443</v>
      </c>
    </row>
    <row r="725" spans="1:22">
      <c r="A725" s="231">
        <v>97921</v>
      </c>
      <c r="B725" s="232" t="s">
        <v>1435</v>
      </c>
      <c r="C725" s="92">
        <v>2.2169999999999999E-4</v>
      </c>
      <c r="D725" s="92">
        <v>2.3599999999999999E-4</v>
      </c>
      <c r="E725" s="236">
        <v>93980.13</v>
      </c>
      <c r="F725" s="236">
        <v>105915</v>
      </c>
      <c r="G725" s="236">
        <v>470522</v>
      </c>
      <c r="H725" s="236"/>
      <c r="I725" s="237">
        <v>8840</v>
      </c>
      <c r="J725" s="237">
        <v>412327</v>
      </c>
      <c r="K725" s="237">
        <v>32227</v>
      </c>
      <c r="L725" s="236">
        <v>17914</v>
      </c>
      <c r="M725" s="236"/>
      <c r="N725" s="237">
        <v>16488</v>
      </c>
      <c r="O725" s="237">
        <v>152188</v>
      </c>
      <c r="P725" s="237">
        <v>0</v>
      </c>
      <c r="Q725" s="236">
        <v>8707</v>
      </c>
      <c r="R725" s="237">
        <f t="shared" si="11"/>
        <v>260139</v>
      </c>
      <c r="S725" s="236"/>
      <c r="T725" s="237">
        <v>125764</v>
      </c>
      <c r="U725" s="238">
        <v>3320</v>
      </c>
      <c r="V725" s="238">
        <v>129084</v>
      </c>
    </row>
    <row r="726" spans="1:22">
      <c r="A726" s="231">
        <v>97931</v>
      </c>
      <c r="B726" s="232" t="s">
        <v>1436</v>
      </c>
      <c r="C726" s="92">
        <v>6.1600000000000007E-5</v>
      </c>
      <c r="D726" s="92">
        <v>6.7999999999999999E-5</v>
      </c>
      <c r="E726" s="236">
        <v>26190.6</v>
      </c>
      <c r="F726" s="236">
        <v>30518</v>
      </c>
      <c r="G726" s="236">
        <v>130736</v>
      </c>
      <c r="H726" s="236"/>
      <c r="I726" s="237">
        <v>2456</v>
      </c>
      <c r="J726" s="237">
        <v>114566</v>
      </c>
      <c r="K726" s="237">
        <v>8954</v>
      </c>
      <c r="L726" s="236">
        <v>19564</v>
      </c>
      <c r="M726" s="236"/>
      <c r="N726" s="237">
        <v>4581</v>
      </c>
      <c r="O726" s="237">
        <v>42286</v>
      </c>
      <c r="P726" s="237">
        <v>0</v>
      </c>
      <c r="Q726" s="236">
        <v>13697</v>
      </c>
      <c r="R726" s="237">
        <f t="shared" si="11"/>
        <v>72280</v>
      </c>
      <c r="S726" s="236"/>
      <c r="T726" s="237">
        <v>34944</v>
      </c>
      <c r="U726" s="238">
        <v>733</v>
      </c>
      <c r="V726" s="238">
        <v>35677</v>
      </c>
    </row>
    <row r="727" spans="1:22">
      <c r="A727" s="231">
        <v>97941</v>
      </c>
      <c r="B727" s="232" t="s">
        <v>1437</v>
      </c>
      <c r="C727" s="92">
        <v>2.3330000000000001E-4</v>
      </c>
      <c r="D727" s="92">
        <v>2.3120000000000001E-4</v>
      </c>
      <c r="E727" s="236">
        <v>99201.06</v>
      </c>
      <c r="F727" s="236">
        <v>103761</v>
      </c>
      <c r="G727" s="236">
        <v>495141</v>
      </c>
      <c r="H727" s="236"/>
      <c r="I727" s="237">
        <v>9303</v>
      </c>
      <c r="J727" s="237">
        <v>433901</v>
      </c>
      <c r="K727" s="237">
        <v>33913</v>
      </c>
      <c r="L727" s="236">
        <v>27337</v>
      </c>
      <c r="M727" s="236"/>
      <c r="N727" s="237">
        <v>17350</v>
      </c>
      <c r="O727" s="237">
        <v>160151</v>
      </c>
      <c r="P727" s="237">
        <v>0</v>
      </c>
      <c r="Q727" s="236">
        <v>299</v>
      </c>
      <c r="R727" s="237">
        <f t="shared" si="11"/>
        <v>273750</v>
      </c>
      <c r="S727" s="236"/>
      <c r="T727" s="237">
        <v>132344</v>
      </c>
      <c r="U727" s="238">
        <v>9188</v>
      </c>
      <c r="V727" s="238">
        <v>141532</v>
      </c>
    </row>
    <row r="728" spans="1:22">
      <c r="A728" s="231">
        <v>97947</v>
      </c>
      <c r="B728" s="232" t="s">
        <v>1438</v>
      </c>
      <c r="C728" s="92">
        <v>1.5500000000000001E-5</v>
      </c>
      <c r="D728" s="92">
        <v>1.1199999999999999E-5</v>
      </c>
      <c r="E728" s="236">
        <v>11155.259999999998</v>
      </c>
      <c r="F728" s="236">
        <v>5026</v>
      </c>
      <c r="G728" s="236">
        <v>32896</v>
      </c>
      <c r="H728" s="236"/>
      <c r="I728" s="237">
        <v>618.0625</v>
      </c>
      <c r="J728" s="237">
        <v>28828</v>
      </c>
      <c r="K728" s="237">
        <v>2253</v>
      </c>
      <c r="L728" s="236">
        <v>9195</v>
      </c>
      <c r="M728" s="236"/>
      <c r="N728" s="237">
        <v>1153</v>
      </c>
      <c r="O728" s="237">
        <v>10640</v>
      </c>
      <c r="P728" s="237">
        <v>0</v>
      </c>
      <c r="Q728" s="236">
        <v>615</v>
      </c>
      <c r="R728" s="237">
        <f t="shared" si="11"/>
        <v>18188</v>
      </c>
      <c r="S728" s="236"/>
      <c r="T728" s="237">
        <v>8793</v>
      </c>
      <c r="U728" s="238">
        <v>2366</v>
      </c>
      <c r="V728" s="238">
        <v>11159</v>
      </c>
    </row>
    <row r="729" spans="1:22">
      <c r="A729" s="231">
        <v>97948</v>
      </c>
      <c r="B729" s="232" t="s">
        <v>1439</v>
      </c>
      <c r="C729" s="92">
        <v>3.5200000000000002E-5</v>
      </c>
      <c r="D729" s="92">
        <v>3.43E-5</v>
      </c>
      <c r="E729" s="236">
        <v>13687.969999999998</v>
      </c>
      <c r="F729" s="236">
        <v>15394</v>
      </c>
      <c r="G729" s="236">
        <v>74706</v>
      </c>
      <c r="H729" s="236"/>
      <c r="I729" s="237">
        <v>1404</v>
      </c>
      <c r="J729" s="237">
        <v>65466</v>
      </c>
      <c r="K729" s="237">
        <v>5117</v>
      </c>
      <c r="L729" s="236">
        <v>3029</v>
      </c>
      <c r="M729" s="236"/>
      <c r="N729" s="237">
        <v>2618</v>
      </c>
      <c r="O729" s="237">
        <v>24163</v>
      </c>
      <c r="P729" s="237">
        <v>0</v>
      </c>
      <c r="Q729" s="236">
        <v>138</v>
      </c>
      <c r="R729" s="237">
        <f t="shared" si="11"/>
        <v>41303</v>
      </c>
      <c r="S729" s="236"/>
      <c r="T729" s="237">
        <v>19968</v>
      </c>
      <c r="U729" s="238">
        <v>1084</v>
      </c>
      <c r="V729" s="238">
        <v>21052</v>
      </c>
    </row>
    <row r="730" spans="1:22">
      <c r="A730" s="231">
        <v>97951</v>
      </c>
      <c r="B730" s="232" t="s">
        <v>1440</v>
      </c>
      <c r="C730" s="92">
        <v>1.2497000000000001E-3</v>
      </c>
      <c r="D730" s="92">
        <v>1.2842000000000001E-3</v>
      </c>
      <c r="E730" s="236">
        <v>544314.75</v>
      </c>
      <c r="F730" s="236">
        <v>576341</v>
      </c>
      <c r="G730" s="236">
        <v>2652282</v>
      </c>
      <c r="H730" s="236"/>
      <c r="I730" s="237">
        <v>49832</v>
      </c>
      <c r="J730" s="237">
        <v>2324245</v>
      </c>
      <c r="K730" s="237">
        <v>181658</v>
      </c>
      <c r="L730" s="236">
        <v>21304</v>
      </c>
      <c r="M730" s="236"/>
      <c r="N730" s="237">
        <v>92939</v>
      </c>
      <c r="O730" s="237">
        <v>857867</v>
      </c>
      <c r="P730" s="237">
        <v>0</v>
      </c>
      <c r="Q730" s="236">
        <v>14204.62</v>
      </c>
      <c r="R730" s="237">
        <f t="shared" si="11"/>
        <v>1466378</v>
      </c>
      <c r="S730" s="236"/>
      <c r="T730" s="237">
        <v>708916</v>
      </c>
      <c r="U730" s="238">
        <v>-103</v>
      </c>
      <c r="V730" s="238">
        <v>708813</v>
      </c>
    </row>
    <row r="731" spans="1:22">
      <c r="A731" s="231">
        <v>97957</v>
      </c>
      <c r="B731" s="232" t="s">
        <v>1441</v>
      </c>
      <c r="C731" s="92">
        <v>1.9599999999999999E-5</v>
      </c>
      <c r="D731" s="92">
        <v>1.9899999999999999E-5</v>
      </c>
      <c r="E731" s="236">
        <v>11054.150000000001</v>
      </c>
      <c r="F731" s="236">
        <v>8931</v>
      </c>
      <c r="G731" s="236">
        <v>41598</v>
      </c>
      <c r="H731" s="236"/>
      <c r="I731" s="237">
        <v>781.55</v>
      </c>
      <c r="J731" s="237">
        <v>36453</v>
      </c>
      <c r="K731" s="237">
        <v>2849</v>
      </c>
      <c r="L731" s="236">
        <v>2215</v>
      </c>
      <c r="M731" s="236"/>
      <c r="N731" s="237">
        <v>1458</v>
      </c>
      <c r="O731" s="237">
        <v>13455</v>
      </c>
      <c r="P731" s="237">
        <v>0</v>
      </c>
      <c r="Q731" s="236">
        <v>1781</v>
      </c>
      <c r="R731" s="237">
        <f t="shared" si="11"/>
        <v>22998</v>
      </c>
      <c r="S731" s="236"/>
      <c r="T731" s="237">
        <v>11118</v>
      </c>
      <c r="U731" s="238">
        <v>-84</v>
      </c>
      <c r="V731" s="238">
        <v>11035</v>
      </c>
    </row>
    <row r="732" spans="1:22">
      <c r="A732" s="231">
        <v>98001</v>
      </c>
      <c r="B732" s="232" t="s">
        <v>1442</v>
      </c>
      <c r="C732" s="92">
        <v>4.9659999999999999E-3</v>
      </c>
      <c r="D732" s="92">
        <v>4.9379999999999997E-3</v>
      </c>
      <c r="E732" s="236">
        <v>2027252.35</v>
      </c>
      <c r="F732" s="236">
        <v>2216145</v>
      </c>
      <c r="G732" s="236">
        <v>10539516</v>
      </c>
      <c r="H732" s="236"/>
      <c r="I732" s="237">
        <v>198019.25</v>
      </c>
      <c r="J732" s="237">
        <v>9235975</v>
      </c>
      <c r="K732" s="237">
        <v>721863</v>
      </c>
      <c r="L732" s="236">
        <v>119593</v>
      </c>
      <c r="M732" s="236"/>
      <c r="N732" s="237">
        <v>369316</v>
      </c>
      <c r="O732" s="237">
        <v>3408950</v>
      </c>
      <c r="P732" s="237">
        <v>0</v>
      </c>
      <c r="Q732" s="236">
        <v>0</v>
      </c>
      <c r="R732" s="237">
        <f t="shared" si="11"/>
        <v>5827025</v>
      </c>
      <c r="S732" s="236"/>
      <c r="T732" s="237">
        <v>2817058</v>
      </c>
      <c r="U732" s="238">
        <v>52585</v>
      </c>
      <c r="V732" s="238">
        <v>2869642</v>
      </c>
    </row>
    <row r="733" spans="1:22">
      <c r="A733" s="231">
        <v>98002</v>
      </c>
      <c r="B733" s="232" t="s">
        <v>1443</v>
      </c>
      <c r="C733" s="92">
        <v>7.3000000000000004E-6</v>
      </c>
      <c r="D733" s="92">
        <v>7.1999999999999997E-6</v>
      </c>
      <c r="E733" s="236">
        <v>3644.9599999999991</v>
      </c>
      <c r="F733" s="236">
        <v>3231</v>
      </c>
      <c r="G733" s="236">
        <v>15493</v>
      </c>
      <c r="H733" s="236"/>
      <c r="I733" s="237">
        <v>291</v>
      </c>
      <c r="J733" s="237">
        <v>13577</v>
      </c>
      <c r="K733" s="237">
        <v>1061</v>
      </c>
      <c r="L733" s="236">
        <v>799</v>
      </c>
      <c r="M733" s="236"/>
      <c r="N733" s="237">
        <v>543</v>
      </c>
      <c r="O733" s="237">
        <v>5011</v>
      </c>
      <c r="P733" s="237">
        <v>0</v>
      </c>
      <c r="Q733" s="236">
        <v>13050</v>
      </c>
      <c r="R733" s="237">
        <f t="shared" si="11"/>
        <v>8566</v>
      </c>
      <c r="S733" s="236"/>
      <c r="T733" s="237">
        <v>4141</v>
      </c>
      <c r="U733" s="238">
        <v>-6329</v>
      </c>
      <c r="V733" s="238">
        <v>-2188</v>
      </c>
    </row>
    <row r="734" spans="1:22">
      <c r="A734" s="231">
        <v>98003</v>
      </c>
      <c r="B734" s="232" t="s">
        <v>1444</v>
      </c>
      <c r="C734" s="92">
        <v>8.1600000000000005E-5</v>
      </c>
      <c r="D734" s="92">
        <v>6.8100000000000002E-5</v>
      </c>
      <c r="E734" s="236">
        <v>60648.32</v>
      </c>
      <c r="F734" s="236">
        <v>30563</v>
      </c>
      <c r="G734" s="236">
        <v>173183</v>
      </c>
      <c r="H734" s="236"/>
      <c r="I734" s="237">
        <v>3253.8</v>
      </c>
      <c r="J734" s="237">
        <v>151763</v>
      </c>
      <c r="K734" s="237">
        <v>11861</v>
      </c>
      <c r="L734" s="236">
        <v>41565</v>
      </c>
      <c r="M734" s="236"/>
      <c r="N734" s="237">
        <v>6069</v>
      </c>
      <c r="O734" s="237">
        <v>56015</v>
      </c>
      <c r="P734" s="237">
        <v>0</v>
      </c>
      <c r="Q734" s="236">
        <v>0</v>
      </c>
      <c r="R734" s="237">
        <f t="shared" si="11"/>
        <v>95748</v>
      </c>
      <c r="S734" s="236"/>
      <c r="T734" s="237">
        <v>46289</v>
      </c>
      <c r="U734" s="238">
        <v>12223</v>
      </c>
      <c r="V734" s="238">
        <v>58512</v>
      </c>
    </row>
    <row r="735" spans="1:22">
      <c r="A735" s="231">
        <v>98004</v>
      </c>
      <c r="B735" s="232" t="s">
        <v>1445</v>
      </c>
      <c r="C735" s="92">
        <v>1.209E-4</v>
      </c>
      <c r="D735" s="92">
        <v>1.2630000000000001E-4</v>
      </c>
      <c r="E735" s="236">
        <v>71693.130000000019</v>
      </c>
      <c r="F735" s="236">
        <v>56683</v>
      </c>
      <c r="G735" s="236">
        <v>256590</v>
      </c>
      <c r="H735" s="236"/>
      <c r="I735" s="237">
        <v>4821</v>
      </c>
      <c r="J735" s="237">
        <v>224855</v>
      </c>
      <c r="K735" s="237">
        <v>17574</v>
      </c>
      <c r="L735" s="236">
        <v>29242</v>
      </c>
      <c r="M735" s="236"/>
      <c r="N735" s="237">
        <v>8991</v>
      </c>
      <c r="O735" s="237">
        <v>82993</v>
      </c>
      <c r="P735" s="237">
        <v>0</v>
      </c>
      <c r="Q735" s="236">
        <v>0</v>
      </c>
      <c r="R735" s="237">
        <f t="shared" si="11"/>
        <v>141862</v>
      </c>
      <c r="S735" s="236"/>
      <c r="T735" s="237">
        <v>68583</v>
      </c>
      <c r="U735" s="238">
        <v>9885</v>
      </c>
      <c r="V735" s="238">
        <v>78468</v>
      </c>
    </row>
    <row r="736" spans="1:22">
      <c r="A736" s="231">
        <v>98008</v>
      </c>
      <c r="B736" s="232" t="s">
        <v>1446</v>
      </c>
      <c r="C736" s="92">
        <v>7.7999999999999999E-6</v>
      </c>
      <c r="D736" s="92">
        <v>8.3000000000000002E-6</v>
      </c>
      <c r="E736" s="236">
        <v>3013.8200000000006</v>
      </c>
      <c r="F736" s="236">
        <v>3725</v>
      </c>
      <c r="G736" s="236">
        <v>16554</v>
      </c>
      <c r="H736" s="236"/>
      <c r="I736" s="237">
        <v>311</v>
      </c>
      <c r="J736" s="237">
        <v>14507</v>
      </c>
      <c r="K736" s="237">
        <v>1134</v>
      </c>
      <c r="L736" s="236">
        <v>0</v>
      </c>
      <c r="M736" s="236"/>
      <c r="N736" s="237">
        <v>580</v>
      </c>
      <c r="O736" s="237">
        <v>5354</v>
      </c>
      <c r="P736" s="237">
        <v>0</v>
      </c>
      <c r="Q736" s="236">
        <v>1300</v>
      </c>
      <c r="R736" s="237">
        <f t="shared" si="11"/>
        <v>9153</v>
      </c>
      <c r="S736" s="236"/>
      <c r="T736" s="237">
        <v>4425</v>
      </c>
      <c r="U736" s="238">
        <v>-496</v>
      </c>
      <c r="V736" s="238">
        <v>3929</v>
      </c>
    </row>
    <row r="737" spans="1:22">
      <c r="A737" s="231">
        <v>98011</v>
      </c>
      <c r="B737" s="232" t="s">
        <v>1447</v>
      </c>
      <c r="C737" s="92">
        <v>3.1795E-3</v>
      </c>
      <c r="D737" s="92">
        <v>3.5899E-3</v>
      </c>
      <c r="E737" s="236">
        <v>1249395.6299999999</v>
      </c>
      <c r="F737" s="236">
        <v>1611126</v>
      </c>
      <c r="G737" s="236">
        <v>6747964</v>
      </c>
      <c r="H737" s="236"/>
      <c r="I737" s="237">
        <v>126783</v>
      </c>
      <c r="J737" s="237">
        <v>5913368</v>
      </c>
      <c r="K737" s="237">
        <v>462175</v>
      </c>
      <c r="L737" s="236">
        <v>0</v>
      </c>
      <c r="M737" s="236"/>
      <c r="N737" s="237">
        <v>236456</v>
      </c>
      <c r="O737" s="237">
        <v>2182593</v>
      </c>
      <c r="P737" s="237">
        <v>0</v>
      </c>
      <c r="Q737" s="236">
        <v>424125</v>
      </c>
      <c r="R737" s="237">
        <f t="shared" si="11"/>
        <v>3730775</v>
      </c>
      <c r="S737" s="236"/>
      <c r="T737" s="237">
        <v>1803632</v>
      </c>
      <c r="U737" s="238">
        <v>-139309</v>
      </c>
      <c r="V737" s="238">
        <v>1664322</v>
      </c>
    </row>
    <row r="738" spans="1:22">
      <c r="A738" s="231">
        <v>98013</v>
      </c>
      <c r="B738" s="232" t="s">
        <v>1448</v>
      </c>
      <c r="C738" s="92">
        <v>1.426E-4</v>
      </c>
      <c r="D738" s="92">
        <v>1.427E-4</v>
      </c>
      <c r="E738" s="236">
        <v>126822.16</v>
      </c>
      <c r="F738" s="236">
        <v>64043</v>
      </c>
      <c r="G738" s="236">
        <v>302645</v>
      </c>
      <c r="H738" s="236"/>
      <c r="I738" s="237">
        <v>5686</v>
      </c>
      <c r="J738" s="237">
        <v>265213</v>
      </c>
      <c r="K738" s="237">
        <v>20728</v>
      </c>
      <c r="L738" s="236">
        <v>97343</v>
      </c>
      <c r="M738" s="236"/>
      <c r="N738" s="237">
        <v>10605</v>
      </c>
      <c r="O738" s="237">
        <v>97889</v>
      </c>
      <c r="P738" s="237">
        <v>0</v>
      </c>
      <c r="Q738" s="236">
        <v>4167</v>
      </c>
      <c r="R738" s="237">
        <f t="shared" si="11"/>
        <v>167324</v>
      </c>
      <c r="S738" s="236"/>
      <c r="T738" s="237">
        <v>80893</v>
      </c>
      <c r="U738" s="238">
        <v>27256</v>
      </c>
      <c r="V738" s="238">
        <v>108149</v>
      </c>
    </row>
    <row r="739" spans="1:22">
      <c r="A739" s="231">
        <v>98021</v>
      </c>
      <c r="B739" s="232" t="s">
        <v>1449</v>
      </c>
      <c r="C739" s="92">
        <v>7.5099999999999996E-5</v>
      </c>
      <c r="D739" s="92">
        <v>7.4099999999999999E-5</v>
      </c>
      <c r="E739" s="236">
        <v>28245.75</v>
      </c>
      <c r="F739" s="236">
        <v>33256</v>
      </c>
      <c r="G739" s="236">
        <v>159387</v>
      </c>
      <c r="H739" s="236"/>
      <c r="I739" s="237">
        <v>2995</v>
      </c>
      <c r="J739" s="237">
        <v>139674</v>
      </c>
      <c r="K739" s="237">
        <v>10917</v>
      </c>
      <c r="L739" s="236">
        <v>20868</v>
      </c>
      <c r="M739" s="236"/>
      <c r="N739" s="237">
        <v>5585</v>
      </c>
      <c r="O739" s="237">
        <v>51553</v>
      </c>
      <c r="P739" s="237">
        <v>0</v>
      </c>
      <c r="Q739" s="236">
        <v>1894</v>
      </c>
      <c r="R739" s="237">
        <f t="shared" si="11"/>
        <v>88121</v>
      </c>
      <c r="S739" s="236"/>
      <c r="T739" s="237">
        <v>42602</v>
      </c>
      <c r="U739" s="238">
        <v>6826</v>
      </c>
      <c r="V739" s="238">
        <v>49428</v>
      </c>
    </row>
    <row r="740" spans="1:22">
      <c r="A740" s="231">
        <v>98023</v>
      </c>
      <c r="B740" s="232" t="s">
        <v>1450</v>
      </c>
      <c r="C740" s="92">
        <v>1.45E-5</v>
      </c>
      <c r="D740" s="92">
        <v>2.1500000000000001E-5</v>
      </c>
      <c r="E740" s="236">
        <v>6210.57</v>
      </c>
      <c r="F740" s="236">
        <v>9649</v>
      </c>
      <c r="G740" s="236">
        <v>30774</v>
      </c>
      <c r="H740" s="236"/>
      <c r="I740" s="237">
        <v>578.1875</v>
      </c>
      <c r="J740" s="237">
        <v>26968</v>
      </c>
      <c r="K740" s="237">
        <v>2108</v>
      </c>
      <c r="L740" s="236">
        <v>0</v>
      </c>
      <c r="M740" s="236"/>
      <c r="N740" s="237">
        <v>1078</v>
      </c>
      <c r="O740" s="237">
        <v>9954</v>
      </c>
      <c r="P740" s="237">
        <v>0</v>
      </c>
      <c r="Q740" s="236">
        <v>7858</v>
      </c>
      <c r="R740" s="237">
        <f t="shared" si="11"/>
        <v>17014</v>
      </c>
      <c r="S740" s="236"/>
      <c r="T740" s="237">
        <v>8225</v>
      </c>
      <c r="U740" s="238">
        <v>-2638</v>
      </c>
      <c r="V740" s="238">
        <v>5587</v>
      </c>
    </row>
    <row r="741" spans="1:22">
      <c r="A741" s="231">
        <v>98031</v>
      </c>
      <c r="B741" s="232" t="s">
        <v>1451</v>
      </c>
      <c r="C741" s="92">
        <v>1.5530000000000001E-4</v>
      </c>
      <c r="D741" s="92">
        <v>1.7009999999999999E-4</v>
      </c>
      <c r="E741" s="236">
        <v>66785.13</v>
      </c>
      <c r="F741" s="236">
        <v>76340</v>
      </c>
      <c r="G741" s="236">
        <v>329599</v>
      </c>
      <c r="H741" s="236"/>
      <c r="I741" s="237">
        <v>6193</v>
      </c>
      <c r="J741" s="237">
        <v>288833</v>
      </c>
      <c r="K741" s="237">
        <v>22575</v>
      </c>
      <c r="L741" s="236">
        <v>7207</v>
      </c>
      <c r="M741" s="236"/>
      <c r="N741" s="237">
        <v>11550</v>
      </c>
      <c r="O741" s="237">
        <v>106607</v>
      </c>
      <c r="P741" s="237">
        <v>0</v>
      </c>
      <c r="Q741" s="236">
        <v>8978</v>
      </c>
      <c r="R741" s="237">
        <f t="shared" si="11"/>
        <v>182226</v>
      </c>
      <c r="S741" s="236"/>
      <c r="T741" s="237">
        <v>88097</v>
      </c>
      <c r="U741" s="238">
        <v>-569</v>
      </c>
      <c r="V741" s="238">
        <v>87528</v>
      </c>
    </row>
    <row r="742" spans="1:22">
      <c r="A742" s="231">
        <v>98041</v>
      </c>
      <c r="B742" s="232" t="s">
        <v>1452</v>
      </c>
      <c r="C742" s="92">
        <v>1.6559999999999999E-4</v>
      </c>
      <c r="D742" s="92">
        <v>1.438E-4</v>
      </c>
      <c r="E742" s="236">
        <v>62577.35</v>
      </c>
      <c r="F742" s="236">
        <v>64537</v>
      </c>
      <c r="G742" s="236">
        <v>351459</v>
      </c>
      <c r="H742" s="236"/>
      <c r="I742" s="237">
        <v>6603</v>
      </c>
      <c r="J742" s="237">
        <v>307990</v>
      </c>
      <c r="K742" s="237">
        <v>24072</v>
      </c>
      <c r="L742" s="236">
        <v>7422</v>
      </c>
      <c r="M742" s="236"/>
      <c r="N742" s="237">
        <v>12316</v>
      </c>
      <c r="O742" s="237">
        <v>113677</v>
      </c>
      <c r="P742" s="237">
        <v>0</v>
      </c>
      <c r="Q742" s="236">
        <v>9673</v>
      </c>
      <c r="R742" s="237">
        <f t="shared" si="11"/>
        <v>194313</v>
      </c>
      <c r="S742" s="236"/>
      <c r="T742" s="237">
        <v>93940</v>
      </c>
      <c r="U742" s="238">
        <v>-1971</v>
      </c>
      <c r="V742" s="238">
        <v>91969</v>
      </c>
    </row>
    <row r="743" spans="1:22">
      <c r="A743" s="231">
        <v>98051</v>
      </c>
      <c r="B743" s="232" t="s">
        <v>1453</v>
      </c>
      <c r="C743" s="92">
        <v>3.0019999999999998E-4</v>
      </c>
      <c r="D743" s="92">
        <v>2.699E-4</v>
      </c>
      <c r="E743" s="236">
        <v>123086.21000000002</v>
      </c>
      <c r="F743" s="236">
        <v>121130</v>
      </c>
      <c r="G743" s="236">
        <v>637125</v>
      </c>
      <c r="H743" s="236"/>
      <c r="I743" s="237">
        <v>11970</v>
      </c>
      <c r="J743" s="237">
        <v>558325</v>
      </c>
      <c r="K743" s="237">
        <v>43637</v>
      </c>
      <c r="L743" s="236">
        <v>31222</v>
      </c>
      <c r="M743" s="236"/>
      <c r="N743" s="237">
        <v>22326</v>
      </c>
      <c r="O743" s="237">
        <v>206075</v>
      </c>
      <c r="P743" s="237">
        <v>0</v>
      </c>
      <c r="Q743" s="236">
        <v>229</v>
      </c>
      <c r="R743" s="237">
        <f t="shared" si="11"/>
        <v>352250</v>
      </c>
      <c r="S743" s="236"/>
      <c r="T743" s="237">
        <v>170294</v>
      </c>
      <c r="U743" s="238">
        <v>9416</v>
      </c>
      <c r="V743" s="238">
        <v>179711</v>
      </c>
    </row>
    <row r="744" spans="1:22">
      <c r="A744" s="231">
        <v>98061</v>
      </c>
      <c r="B744" s="232" t="s">
        <v>1454</v>
      </c>
      <c r="C744" s="92">
        <v>9.9099999999999996E-5</v>
      </c>
      <c r="D744" s="92">
        <v>1.3410000000000001E-4</v>
      </c>
      <c r="E744" s="236">
        <v>42535.31</v>
      </c>
      <c r="F744" s="236">
        <v>60183</v>
      </c>
      <c r="G744" s="236">
        <v>210323</v>
      </c>
      <c r="H744" s="236"/>
      <c r="I744" s="237">
        <v>3952</v>
      </c>
      <c r="J744" s="237">
        <v>184310</v>
      </c>
      <c r="K744" s="237">
        <v>14405</v>
      </c>
      <c r="L744" s="236">
        <v>0</v>
      </c>
      <c r="M744" s="236"/>
      <c r="N744" s="237">
        <v>7370</v>
      </c>
      <c r="O744" s="237">
        <v>68028</v>
      </c>
      <c r="P744" s="237">
        <v>0</v>
      </c>
      <c r="Q744" s="236">
        <v>24647</v>
      </c>
      <c r="R744" s="237">
        <f t="shared" si="11"/>
        <v>116282</v>
      </c>
      <c r="S744" s="236"/>
      <c r="T744" s="237">
        <v>56216</v>
      </c>
      <c r="U744" s="238">
        <v>-7215</v>
      </c>
      <c r="V744" s="238">
        <v>49002</v>
      </c>
    </row>
    <row r="745" spans="1:22">
      <c r="A745" s="231">
        <v>98071</v>
      </c>
      <c r="B745" s="232" t="s">
        <v>1455</v>
      </c>
      <c r="C745" s="92">
        <v>3.4400000000000003E-5</v>
      </c>
      <c r="D745" s="92">
        <v>3.2299999999999999E-5</v>
      </c>
      <c r="E745" s="236">
        <v>24294.65</v>
      </c>
      <c r="F745" s="236">
        <v>14496</v>
      </c>
      <c r="G745" s="236">
        <v>73008</v>
      </c>
      <c r="H745" s="236"/>
      <c r="I745" s="237">
        <v>1371.7</v>
      </c>
      <c r="J745" s="237">
        <v>63979</v>
      </c>
      <c r="K745" s="237">
        <v>5000</v>
      </c>
      <c r="L745" s="236">
        <v>9217</v>
      </c>
      <c r="M745" s="236"/>
      <c r="N745" s="237">
        <v>2558</v>
      </c>
      <c r="O745" s="237">
        <v>23614</v>
      </c>
      <c r="P745" s="237">
        <v>0</v>
      </c>
      <c r="Q745" s="236">
        <v>1859</v>
      </c>
      <c r="R745" s="237">
        <f t="shared" si="11"/>
        <v>40365</v>
      </c>
      <c r="S745" s="236"/>
      <c r="T745" s="237">
        <v>19514</v>
      </c>
      <c r="U745" s="238">
        <v>1734</v>
      </c>
      <c r="V745" s="238">
        <v>21248</v>
      </c>
    </row>
    <row r="746" spans="1:22">
      <c r="A746" s="231">
        <v>98081</v>
      </c>
      <c r="B746" s="232" t="s">
        <v>1456</v>
      </c>
      <c r="C746" s="92">
        <v>1.9400000000000001E-5</v>
      </c>
      <c r="D746" s="92">
        <v>2.0999999999999999E-5</v>
      </c>
      <c r="E746" s="236">
        <v>6798.0999999999995</v>
      </c>
      <c r="F746" s="236">
        <v>9425</v>
      </c>
      <c r="G746" s="236">
        <v>41173</v>
      </c>
      <c r="H746" s="236"/>
      <c r="I746" s="237">
        <v>773.57500000000005</v>
      </c>
      <c r="J746" s="237">
        <v>36081</v>
      </c>
      <c r="K746" s="237">
        <v>2820</v>
      </c>
      <c r="L746" s="236">
        <v>0</v>
      </c>
      <c r="M746" s="236"/>
      <c r="N746" s="237">
        <v>1443</v>
      </c>
      <c r="O746" s="237">
        <v>13317</v>
      </c>
      <c r="P746" s="237">
        <v>0</v>
      </c>
      <c r="Q746" s="236">
        <v>4336</v>
      </c>
      <c r="R746" s="237">
        <f t="shared" si="11"/>
        <v>22764</v>
      </c>
      <c r="S746" s="236"/>
      <c r="T746" s="237">
        <v>11005</v>
      </c>
      <c r="U746" s="238">
        <v>-1542</v>
      </c>
      <c r="V746" s="238">
        <v>9463</v>
      </c>
    </row>
    <row r="747" spans="1:22">
      <c r="A747" s="231">
        <v>98091</v>
      </c>
      <c r="B747" s="232" t="s">
        <v>1457</v>
      </c>
      <c r="C747" s="92">
        <v>5.0899999999999997E-5</v>
      </c>
      <c r="D747" s="92">
        <v>5.49E-5</v>
      </c>
      <c r="E747" s="236">
        <v>23937.15</v>
      </c>
      <c r="F747" s="236">
        <v>24639</v>
      </c>
      <c r="G747" s="236">
        <v>108027</v>
      </c>
      <c r="H747" s="236"/>
      <c r="I747" s="237">
        <v>2030</v>
      </c>
      <c r="J747" s="237">
        <v>94666</v>
      </c>
      <c r="K747" s="237">
        <v>7399</v>
      </c>
      <c r="L747" s="236">
        <v>1196</v>
      </c>
      <c r="M747" s="236"/>
      <c r="N747" s="237">
        <v>3785</v>
      </c>
      <c r="O747" s="237">
        <v>34941</v>
      </c>
      <c r="P747" s="237">
        <v>0</v>
      </c>
      <c r="Q747" s="236">
        <v>1622</v>
      </c>
      <c r="R747" s="237">
        <f t="shared" si="11"/>
        <v>59725</v>
      </c>
      <c r="S747" s="236"/>
      <c r="T747" s="237">
        <v>28874</v>
      </c>
      <c r="U747" s="238">
        <v>-412</v>
      </c>
      <c r="V747" s="238">
        <v>28462</v>
      </c>
    </row>
    <row r="748" spans="1:22">
      <c r="A748" s="231">
        <v>98101</v>
      </c>
      <c r="B748" s="232" t="s">
        <v>1458</v>
      </c>
      <c r="C748" s="92">
        <v>2.7642999999999999E-3</v>
      </c>
      <c r="D748" s="92">
        <v>2.7445E-3</v>
      </c>
      <c r="E748" s="236">
        <v>1093303.25</v>
      </c>
      <c r="F748" s="236">
        <v>1231715</v>
      </c>
      <c r="G748" s="236">
        <v>5866771</v>
      </c>
      <c r="H748" s="236"/>
      <c r="I748" s="237">
        <v>110226</v>
      </c>
      <c r="J748" s="237">
        <v>5141161</v>
      </c>
      <c r="K748" s="237">
        <v>401821</v>
      </c>
      <c r="L748" s="236">
        <v>61462</v>
      </c>
      <c r="M748" s="236"/>
      <c r="N748" s="237">
        <v>205578</v>
      </c>
      <c r="O748" s="237">
        <v>1897576</v>
      </c>
      <c r="P748" s="237">
        <v>0</v>
      </c>
      <c r="Q748" s="236">
        <v>23820</v>
      </c>
      <c r="R748" s="237">
        <f t="shared" si="11"/>
        <v>3243585</v>
      </c>
      <c r="S748" s="236"/>
      <c r="T748" s="237">
        <v>1568102</v>
      </c>
      <c r="U748" s="238">
        <v>17983</v>
      </c>
      <c r="V748" s="238">
        <v>1586085</v>
      </c>
    </row>
    <row r="749" spans="1:22">
      <c r="A749" s="231">
        <v>98102</v>
      </c>
      <c r="B749" s="232" t="s">
        <v>1459</v>
      </c>
      <c r="C749" s="92">
        <v>1.683E-4</v>
      </c>
      <c r="D749" s="92">
        <v>1.7259999999999999E-4</v>
      </c>
      <c r="E749" s="236">
        <v>69015.009999999995</v>
      </c>
      <c r="F749" s="236">
        <v>77462</v>
      </c>
      <c r="G749" s="236">
        <v>357189</v>
      </c>
      <c r="H749" s="236"/>
      <c r="I749" s="237">
        <v>6711</v>
      </c>
      <c r="J749" s="237">
        <v>313011</v>
      </c>
      <c r="K749" s="237">
        <v>24464</v>
      </c>
      <c r="L749" s="236">
        <v>0</v>
      </c>
      <c r="M749" s="236"/>
      <c r="N749" s="237">
        <v>12516</v>
      </c>
      <c r="O749" s="237">
        <v>115531</v>
      </c>
      <c r="P749" s="237">
        <v>0</v>
      </c>
      <c r="Q749" s="236">
        <v>10404</v>
      </c>
      <c r="R749" s="237">
        <f t="shared" si="11"/>
        <v>197480</v>
      </c>
      <c r="S749" s="236"/>
      <c r="T749" s="237">
        <v>95471</v>
      </c>
      <c r="U749" s="238">
        <v>-3682</v>
      </c>
      <c r="V749" s="238">
        <v>91789</v>
      </c>
    </row>
    <row r="750" spans="1:22">
      <c r="A750" s="231">
        <v>98103</v>
      </c>
      <c r="B750" s="232" t="s">
        <v>1460</v>
      </c>
      <c r="C750" s="92">
        <v>5.3600000000000002E-4</v>
      </c>
      <c r="D750" s="92">
        <v>5.7140000000000001E-4</v>
      </c>
      <c r="E750" s="236">
        <v>233081.03999999998</v>
      </c>
      <c r="F750" s="236">
        <v>256441</v>
      </c>
      <c r="G750" s="236">
        <v>1137571.56</v>
      </c>
      <c r="H750" s="236"/>
      <c r="I750" s="237">
        <v>21373</v>
      </c>
      <c r="J750" s="237">
        <v>996875</v>
      </c>
      <c r="K750" s="237">
        <v>77913</v>
      </c>
      <c r="L750" s="236">
        <v>0</v>
      </c>
      <c r="M750" s="236"/>
      <c r="N750" s="237">
        <v>39862</v>
      </c>
      <c r="O750" s="237">
        <v>367941</v>
      </c>
      <c r="P750" s="237">
        <v>0</v>
      </c>
      <c r="Q750" s="236">
        <v>46538</v>
      </c>
      <c r="R750" s="237">
        <f t="shared" si="11"/>
        <v>628934</v>
      </c>
      <c r="S750" s="236"/>
      <c r="T750" s="237">
        <v>304056</v>
      </c>
      <c r="U750" s="238">
        <v>-19483</v>
      </c>
      <c r="V750" s="238">
        <v>284573</v>
      </c>
    </row>
    <row r="751" spans="1:22">
      <c r="A751" s="231">
        <v>98107</v>
      </c>
      <c r="B751" s="232" t="s">
        <v>1461</v>
      </c>
      <c r="C751" s="92">
        <v>1.08E-5</v>
      </c>
      <c r="D751" s="92">
        <v>1.15E-5</v>
      </c>
      <c r="E751" s="236">
        <v>8651.6900000000023</v>
      </c>
      <c r="F751" s="236">
        <v>5161</v>
      </c>
      <c r="G751" s="236">
        <v>22921</v>
      </c>
      <c r="H751" s="236"/>
      <c r="I751" s="237">
        <v>430.65</v>
      </c>
      <c r="J751" s="237">
        <v>20086</v>
      </c>
      <c r="K751" s="237">
        <v>1570</v>
      </c>
      <c r="L751" s="236">
        <v>7420</v>
      </c>
      <c r="M751" s="236"/>
      <c r="N751" s="237">
        <v>803</v>
      </c>
      <c r="O751" s="237">
        <v>7414</v>
      </c>
      <c r="P751" s="237">
        <v>0</v>
      </c>
      <c r="Q751" s="236">
        <v>0</v>
      </c>
      <c r="R751" s="237">
        <f t="shared" si="11"/>
        <v>12672</v>
      </c>
      <c r="S751" s="236"/>
      <c r="T751" s="237">
        <v>6127</v>
      </c>
      <c r="U751" s="238">
        <v>2610</v>
      </c>
      <c r="V751" s="238">
        <v>8737</v>
      </c>
    </row>
    <row r="752" spans="1:22">
      <c r="A752" s="231">
        <v>98109</v>
      </c>
      <c r="B752" s="232" t="s">
        <v>1462</v>
      </c>
      <c r="C752" s="92">
        <v>1.4660000000000001E-4</v>
      </c>
      <c r="D752" s="92">
        <v>2.0680000000000001E-4</v>
      </c>
      <c r="E752" s="236">
        <v>66395.14</v>
      </c>
      <c r="F752" s="236">
        <v>92811</v>
      </c>
      <c r="G752" s="236">
        <v>311134</v>
      </c>
      <c r="H752" s="236"/>
      <c r="I752" s="237">
        <v>5846</v>
      </c>
      <c r="J752" s="237">
        <v>272653</v>
      </c>
      <c r="K752" s="237">
        <v>21310</v>
      </c>
      <c r="L752" s="236">
        <v>3018</v>
      </c>
      <c r="M752" s="236"/>
      <c r="N752" s="237">
        <v>10902</v>
      </c>
      <c r="O752" s="237">
        <v>100635</v>
      </c>
      <c r="P752" s="237">
        <v>0</v>
      </c>
      <c r="Q752" s="236">
        <v>35765</v>
      </c>
      <c r="R752" s="237">
        <f t="shared" si="11"/>
        <v>172018</v>
      </c>
      <c r="S752" s="236"/>
      <c r="T752" s="237">
        <v>83162</v>
      </c>
      <c r="U752" s="238">
        <v>-10144</v>
      </c>
      <c r="V752" s="238">
        <v>73018</v>
      </c>
    </row>
    <row r="753" spans="1:22">
      <c r="A753" s="231">
        <v>98111</v>
      </c>
      <c r="B753" s="232" t="s">
        <v>1463</v>
      </c>
      <c r="C753" s="92">
        <v>1.0191E-3</v>
      </c>
      <c r="D753" s="92">
        <v>1.0443E-3</v>
      </c>
      <c r="E753" s="236">
        <v>380230.60000000003</v>
      </c>
      <c r="F753" s="236">
        <v>468676</v>
      </c>
      <c r="G753" s="236">
        <v>2162872</v>
      </c>
      <c r="H753" s="236"/>
      <c r="I753" s="237">
        <v>40637</v>
      </c>
      <c r="J753" s="237">
        <v>1895365</v>
      </c>
      <c r="K753" s="237">
        <v>148137</v>
      </c>
      <c r="L753" s="236">
        <v>0</v>
      </c>
      <c r="M753" s="236"/>
      <c r="N753" s="237">
        <v>75789</v>
      </c>
      <c r="O753" s="237">
        <v>699569</v>
      </c>
      <c r="P753" s="237">
        <v>0</v>
      </c>
      <c r="Q753" s="236">
        <v>50975</v>
      </c>
      <c r="R753" s="237">
        <f t="shared" si="11"/>
        <v>1195796</v>
      </c>
      <c r="S753" s="236"/>
      <c r="T753" s="237">
        <v>578104</v>
      </c>
      <c r="U753" s="238">
        <v>-14078</v>
      </c>
      <c r="V753" s="238">
        <v>564026</v>
      </c>
    </row>
    <row r="754" spans="1:22">
      <c r="A754" s="231">
        <v>98113</v>
      </c>
      <c r="B754" s="232" t="s">
        <v>1464</v>
      </c>
      <c r="C754" s="92">
        <v>3.8999999999999999E-5</v>
      </c>
      <c r="D754" s="92">
        <v>4.1399999999999997E-5</v>
      </c>
      <c r="E754" s="236">
        <v>20070.23</v>
      </c>
      <c r="F754" s="236">
        <v>18580</v>
      </c>
      <c r="G754" s="236">
        <v>82771</v>
      </c>
      <c r="H754" s="236"/>
      <c r="I754" s="237">
        <v>1555.125</v>
      </c>
      <c r="J754" s="237">
        <v>72534</v>
      </c>
      <c r="K754" s="237">
        <v>5669</v>
      </c>
      <c r="L754" s="236">
        <v>8069</v>
      </c>
      <c r="M754" s="236"/>
      <c r="N754" s="237">
        <v>2900</v>
      </c>
      <c r="O754" s="237">
        <v>26772</v>
      </c>
      <c r="P754" s="237">
        <v>0</v>
      </c>
      <c r="Q754" s="236">
        <v>0</v>
      </c>
      <c r="R754" s="237">
        <f t="shared" si="11"/>
        <v>45762</v>
      </c>
      <c r="S754" s="236"/>
      <c r="T754" s="237">
        <v>22123</v>
      </c>
      <c r="U754" s="238">
        <v>2983</v>
      </c>
      <c r="V754" s="238">
        <v>25107</v>
      </c>
    </row>
    <row r="755" spans="1:22">
      <c r="A755" s="231">
        <v>98121</v>
      </c>
      <c r="B755" s="232" t="s">
        <v>1465</v>
      </c>
      <c r="C755" s="92">
        <v>2.2910000000000001E-4</v>
      </c>
      <c r="D755" s="92">
        <v>2.0689999999999999E-4</v>
      </c>
      <c r="E755" s="236">
        <v>79942.31</v>
      </c>
      <c r="F755" s="236">
        <v>92855</v>
      </c>
      <c r="G755" s="236">
        <v>486227</v>
      </c>
      <c r="H755" s="236"/>
      <c r="I755" s="237">
        <v>9135</v>
      </c>
      <c r="J755" s="237">
        <v>426090</v>
      </c>
      <c r="K755" s="237">
        <v>33302</v>
      </c>
      <c r="L755" s="236">
        <v>3951</v>
      </c>
      <c r="M755" s="236"/>
      <c r="N755" s="237">
        <v>17038</v>
      </c>
      <c r="O755" s="237">
        <v>157268</v>
      </c>
      <c r="P755" s="237">
        <v>0</v>
      </c>
      <c r="Q755" s="236">
        <v>6313</v>
      </c>
      <c r="R755" s="237">
        <f t="shared" si="11"/>
        <v>268822</v>
      </c>
      <c r="S755" s="236"/>
      <c r="T755" s="237">
        <v>129961</v>
      </c>
      <c r="U755" s="238">
        <v>-421</v>
      </c>
      <c r="V755" s="238">
        <v>129540</v>
      </c>
    </row>
    <row r="756" spans="1:22">
      <c r="A756" s="231">
        <v>98131</v>
      </c>
      <c r="B756" s="232" t="s">
        <v>1466</v>
      </c>
      <c r="C756" s="92">
        <v>2.9569999999999998E-4</v>
      </c>
      <c r="D756" s="92">
        <v>3.0610000000000001E-4</v>
      </c>
      <c r="E756" s="236">
        <v>112055.95999999999</v>
      </c>
      <c r="F756" s="236">
        <v>137376</v>
      </c>
      <c r="G756" s="236">
        <v>627574</v>
      </c>
      <c r="H756" s="236"/>
      <c r="I756" s="237">
        <v>11791</v>
      </c>
      <c r="J756" s="237">
        <v>549955</v>
      </c>
      <c r="K756" s="237">
        <v>42983</v>
      </c>
      <c r="L756" s="236">
        <v>0</v>
      </c>
      <c r="M756" s="236"/>
      <c r="N756" s="237">
        <v>21991</v>
      </c>
      <c r="O756" s="237">
        <v>202986</v>
      </c>
      <c r="P756" s="237">
        <v>0</v>
      </c>
      <c r="Q756" s="236">
        <v>44899</v>
      </c>
      <c r="R756" s="237">
        <f t="shared" si="11"/>
        <v>346969</v>
      </c>
      <c r="S756" s="236"/>
      <c r="T756" s="237">
        <v>167741</v>
      </c>
      <c r="U756" s="238">
        <v>-17153</v>
      </c>
      <c r="V756" s="238">
        <v>150589</v>
      </c>
    </row>
    <row r="757" spans="1:22">
      <c r="A757" s="231">
        <v>98141</v>
      </c>
      <c r="B757" s="232" t="s">
        <v>1467</v>
      </c>
      <c r="C757" s="92">
        <v>2.9030000000000001E-4</v>
      </c>
      <c r="D757" s="92">
        <v>3.033E-4</v>
      </c>
      <c r="E757" s="236">
        <v>104127.93999999997</v>
      </c>
      <c r="F757" s="236">
        <v>136119</v>
      </c>
      <c r="G757" s="236">
        <v>616114</v>
      </c>
      <c r="H757" s="236"/>
      <c r="I757" s="237">
        <v>11576</v>
      </c>
      <c r="J757" s="237">
        <v>539912</v>
      </c>
      <c r="K757" s="237">
        <v>42198</v>
      </c>
      <c r="L757" s="236">
        <v>1495</v>
      </c>
      <c r="M757" s="236"/>
      <c r="N757" s="237">
        <v>21589</v>
      </c>
      <c r="O757" s="237">
        <v>199279</v>
      </c>
      <c r="P757" s="237">
        <v>0</v>
      </c>
      <c r="Q757" s="236">
        <v>35601</v>
      </c>
      <c r="R757" s="237">
        <f t="shared" si="11"/>
        <v>340633</v>
      </c>
      <c r="S757" s="236"/>
      <c r="T757" s="237">
        <v>164678</v>
      </c>
      <c r="U757" s="238">
        <v>-12695</v>
      </c>
      <c r="V757" s="238">
        <v>151983</v>
      </c>
    </row>
    <row r="758" spans="1:22">
      <c r="A758" s="231">
        <v>98147</v>
      </c>
      <c r="B758" s="232" t="s">
        <v>1468</v>
      </c>
      <c r="C758" s="92">
        <v>1.29E-5</v>
      </c>
      <c r="D758" s="92">
        <v>1.03E-5</v>
      </c>
      <c r="E758" s="236">
        <v>8826.0300000000007</v>
      </c>
      <c r="F758" s="236">
        <v>4623</v>
      </c>
      <c r="G758" s="236">
        <v>27378</v>
      </c>
      <c r="H758" s="236"/>
      <c r="I758" s="237">
        <v>514</v>
      </c>
      <c r="J758" s="237">
        <v>23992</v>
      </c>
      <c r="K758" s="237">
        <v>1875</v>
      </c>
      <c r="L758" s="236">
        <v>7556</v>
      </c>
      <c r="M758" s="236"/>
      <c r="N758" s="237">
        <v>959</v>
      </c>
      <c r="O758" s="237">
        <v>8855</v>
      </c>
      <c r="P758" s="237">
        <v>0</v>
      </c>
      <c r="Q758" s="236">
        <v>0</v>
      </c>
      <c r="R758" s="237">
        <f t="shared" si="11"/>
        <v>15137</v>
      </c>
      <c r="S758" s="236"/>
      <c r="T758" s="237">
        <v>7318</v>
      </c>
      <c r="U758" s="238">
        <v>2501</v>
      </c>
      <c r="V758" s="238">
        <v>9819</v>
      </c>
    </row>
    <row r="759" spans="1:22">
      <c r="A759" s="231">
        <v>98161</v>
      </c>
      <c r="B759" s="232" t="s">
        <v>1469</v>
      </c>
      <c r="C759" s="92">
        <v>7.4000000000000003E-6</v>
      </c>
      <c r="D759" s="92">
        <v>7.6000000000000001E-6</v>
      </c>
      <c r="E759" s="236">
        <v>4425.3599999999988</v>
      </c>
      <c r="F759" s="236">
        <v>3411</v>
      </c>
      <c r="G759" s="236">
        <v>15705</v>
      </c>
      <c r="H759" s="236"/>
      <c r="I759" s="237">
        <v>295.07499999999999</v>
      </c>
      <c r="J759" s="237">
        <v>13763</v>
      </c>
      <c r="K759" s="237">
        <v>1076</v>
      </c>
      <c r="L759" s="236">
        <v>2152</v>
      </c>
      <c r="M759" s="236"/>
      <c r="N759" s="237">
        <v>550</v>
      </c>
      <c r="O759" s="237">
        <v>5080</v>
      </c>
      <c r="P759" s="237">
        <v>0</v>
      </c>
      <c r="Q759" s="236">
        <v>0</v>
      </c>
      <c r="R759" s="237">
        <f t="shared" si="11"/>
        <v>8683</v>
      </c>
      <c r="S759" s="236"/>
      <c r="T759" s="237">
        <v>4198</v>
      </c>
      <c r="U759" s="238">
        <v>752</v>
      </c>
      <c r="V759" s="238">
        <v>4950</v>
      </c>
    </row>
    <row r="760" spans="1:22">
      <c r="A760" s="231">
        <v>98201</v>
      </c>
      <c r="B760" s="232" t="s">
        <v>1470</v>
      </c>
      <c r="C760" s="92">
        <v>3.0368999999999999E-3</v>
      </c>
      <c r="D760" s="92">
        <v>3.0019999999999999E-3</v>
      </c>
      <c r="E760" s="236">
        <v>1202574.5</v>
      </c>
      <c r="F760" s="236">
        <v>1347280</v>
      </c>
      <c r="G760" s="236">
        <v>6445319</v>
      </c>
      <c r="H760" s="236"/>
      <c r="I760" s="237">
        <v>121096</v>
      </c>
      <c r="J760" s="237">
        <v>5648154</v>
      </c>
      <c r="K760" s="237">
        <v>441447</v>
      </c>
      <c r="L760" s="236">
        <v>0</v>
      </c>
      <c r="M760" s="236"/>
      <c r="N760" s="237">
        <v>225851</v>
      </c>
      <c r="O760" s="237">
        <v>2084704</v>
      </c>
      <c r="P760" s="237">
        <v>0</v>
      </c>
      <c r="Q760" s="236">
        <v>60876</v>
      </c>
      <c r="R760" s="237">
        <f t="shared" si="11"/>
        <v>3563450</v>
      </c>
      <c r="S760" s="236"/>
      <c r="T760" s="237">
        <v>1722739</v>
      </c>
      <c r="U760" s="238">
        <v>-21268</v>
      </c>
      <c r="V760" s="238">
        <v>1701471</v>
      </c>
    </row>
    <row r="761" spans="1:22">
      <c r="A761" s="231">
        <v>98205</v>
      </c>
      <c r="B761" s="232" t="s">
        <v>1471</v>
      </c>
      <c r="C761" s="92">
        <v>5.13E-5</v>
      </c>
      <c r="D761" s="92">
        <v>5.02E-5</v>
      </c>
      <c r="E761" s="236">
        <v>23399.709999999995</v>
      </c>
      <c r="F761" s="236">
        <v>22529</v>
      </c>
      <c r="G761" s="236">
        <v>108876</v>
      </c>
      <c r="H761" s="236"/>
      <c r="I761" s="237">
        <v>2046</v>
      </c>
      <c r="J761" s="237">
        <v>95410</v>
      </c>
      <c r="K761" s="237">
        <v>7457</v>
      </c>
      <c r="L761" s="236">
        <v>2803</v>
      </c>
      <c r="M761" s="236"/>
      <c r="N761" s="237">
        <v>3815</v>
      </c>
      <c r="O761" s="237">
        <v>35215</v>
      </c>
      <c r="P761" s="237">
        <v>0</v>
      </c>
      <c r="Q761" s="236">
        <v>1718</v>
      </c>
      <c r="R761" s="237">
        <f t="shared" si="11"/>
        <v>60195</v>
      </c>
      <c r="S761" s="236"/>
      <c r="T761" s="237">
        <v>29101</v>
      </c>
      <c r="U761" s="238">
        <v>209</v>
      </c>
      <c r="V761" s="238">
        <v>29310</v>
      </c>
    </row>
    <row r="762" spans="1:22">
      <c r="A762" s="231">
        <v>98211</v>
      </c>
      <c r="B762" s="232" t="s">
        <v>1472</v>
      </c>
      <c r="C762" s="92">
        <v>9.1609999999999999E-4</v>
      </c>
      <c r="D762" s="92">
        <v>9.4729999999999999E-4</v>
      </c>
      <c r="E762" s="236">
        <v>316266.55</v>
      </c>
      <c r="F762" s="236">
        <v>425143</v>
      </c>
      <c r="G762" s="236">
        <v>1944271</v>
      </c>
      <c r="H762" s="236"/>
      <c r="I762" s="237">
        <v>36529</v>
      </c>
      <c r="J762" s="237">
        <v>1703801</v>
      </c>
      <c r="K762" s="237">
        <v>133165</v>
      </c>
      <c r="L762" s="236">
        <v>0</v>
      </c>
      <c r="M762" s="236"/>
      <c r="N762" s="237">
        <v>68129</v>
      </c>
      <c r="O762" s="237">
        <v>628864</v>
      </c>
      <c r="P762" s="237">
        <v>0</v>
      </c>
      <c r="Q762" s="236">
        <v>112970</v>
      </c>
      <c r="R762" s="237">
        <f t="shared" si="11"/>
        <v>1074937</v>
      </c>
      <c r="S762" s="236"/>
      <c r="T762" s="237">
        <v>519675</v>
      </c>
      <c r="U762" s="238">
        <v>-35337</v>
      </c>
      <c r="V762" s="238">
        <v>484338</v>
      </c>
    </row>
    <row r="763" spans="1:22">
      <c r="A763" s="231">
        <v>98218</v>
      </c>
      <c r="B763" s="232" t="s">
        <v>1473</v>
      </c>
      <c r="C763" s="92">
        <v>1.0200000000000001E-5</v>
      </c>
      <c r="D763" s="92">
        <v>1.08E-5</v>
      </c>
      <c r="E763" s="236">
        <v>4407.67</v>
      </c>
      <c r="F763" s="236">
        <v>4847</v>
      </c>
      <c r="G763" s="236">
        <v>21648</v>
      </c>
      <c r="H763" s="236"/>
      <c r="I763" s="237">
        <v>406.72500000000002</v>
      </c>
      <c r="J763" s="237">
        <v>18970</v>
      </c>
      <c r="K763" s="237">
        <v>1483</v>
      </c>
      <c r="L763" s="236">
        <v>0</v>
      </c>
      <c r="M763" s="236"/>
      <c r="N763" s="237">
        <v>759</v>
      </c>
      <c r="O763" s="237">
        <v>7002</v>
      </c>
      <c r="P763" s="237">
        <v>0</v>
      </c>
      <c r="Q763" s="236">
        <v>1864</v>
      </c>
      <c r="R763" s="237">
        <f t="shared" si="11"/>
        <v>11968</v>
      </c>
      <c r="S763" s="236"/>
      <c r="T763" s="237">
        <v>5786</v>
      </c>
      <c r="U763" s="238">
        <v>-792</v>
      </c>
      <c r="V763" s="238">
        <v>4994</v>
      </c>
    </row>
    <row r="764" spans="1:22">
      <c r="A764" s="231">
        <v>98221</v>
      </c>
      <c r="B764" s="232" t="s">
        <v>1474</v>
      </c>
      <c r="C764" s="92">
        <v>1.6799999999999998E-5</v>
      </c>
      <c r="D764" s="92">
        <v>1.5999999999999999E-5</v>
      </c>
      <c r="E764" s="236">
        <v>9584.15</v>
      </c>
      <c r="F764" s="236">
        <v>7181</v>
      </c>
      <c r="G764" s="236">
        <v>35655</v>
      </c>
      <c r="H764" s="236"/>
      <c r="I764" s="237">
        <v>669.9</v>
      </c>
      <c r="J764" s="237">
        <v>31245</v>
      </c>
      <c r="K764" s="237">
        <v>2442</v>
      </c>
      <c r="L764" s="236">
        <v>3240</v>
      </c>
      <c r="M764" s="236"/>
      <c r="N764" s="237">
        <v>1249</v>
      </c>
      <c r="O764" s="237">
        <v>11532</v>
      </c>
      <c r="P764" s="237">
        <v>0</v>
      </c>
      <c r="Q764" s="236">
        <v>0</v>
      </c>
      <c r="R764" s="237">
        <f t="shared" si="11"/>
        <v>19713</v>
      </c>
      <c r="S764" s="236"/>
      <c r="T764" s="237">
        <v>9530</v>
      </c>
      <c r="U764" s="238">
        <v>905</v>
      </c>
      <c r="V764" s="238">
        <v>10435</v>
      </c>
    </row>
    <row r="765" spans="1:22">
      <c r="A765" s="231">
        <v>98231</v>
      </c>
      <c r="B765" s="232" t="s">
        <v>1475</v>
      </c>
      <c r="C765" s="92">
        <v>3.1999999999999999E-5</v>
      </c>
      <c r="D765" s="92">
        <v>3.7400000000000001E-5</v>
      </c>
      <c r="E765" s="236">
        <v>13931.16</v>
      </c>
      <c r="F765" s="236">
        <v>16785</v>
      </c>
      <c r="G765" s="236">
        <v>67914.720000000001</v>
      </c>
      <c r="H765" s="236"/>
      <c r="I765" s="237">
        <v>1276</v>
      </c>
      <c r="J765" s="237">
        <v>59515</v>
      </c>
      <c r="K765" s="237">
        <v>4652</v>
      </c>
      <c r="L765" s="236">
        <v>2641</v>
      </c>
      <c r="M765" s="236"/>
      <c r="N765" s="237">
        <v>2380</v>
      </c>
      <c r="O765" s="237">
        <v>21967</v>
      </c>
      <c r="P765" s="237">
        <v>0</v>
      </c>
      <c r="Q765" s="236">
        <v>7471</v>
      </c>
      <c r="R765" s="237">
        <f t="shared" si="11"/>
        <v>37548</v>
      </c>
      <c r="S765" s="236"/>
      <c r="T765" s="237">
        <v>18153</v>
      </c>
      <c r="U765" s="238">
        <v>-2254</v>
      </c>
      <c r="V765" s="238">
        <v>15898</v>
      </c>
    </row>
    <row r="766" spans="1:22">
      <c r="A766" s="231">
        <v>98237</v>
      </c>
      <c r="B766" s="232" t="s">
        <v>1476</v>
      </c>
      <c r="C766" s="92">
        <v>2.7E-6</v>
      </c>
      <c r="D766" s="92">
        <v>2.9000000000000002E-6</v>
      </c>
      <c r="E766" s="236">
        <v>2766.5699999999997</v>
      </c>
      <c r="F766" s="236">
        <v>1302</v>
      </c>
      <c r="G766" s="236">
        <v>5730</v>
      </c>
      <c r="H766" s="236"/>
      <c r="I766" s="237">
        <v>107.66249999999999</v>
      </c>
      <c r="J766" s="237">
        <v>5022</v>
      </c>
      <c r="K766" s="237">
        <v>392</v>
      </c>
      <c r="L766" s="236">
        <v>2342</v>
      </c>
      <c r="M766" s="236"/>
      <c r="N766" s="237">
        <v>201</v>
      </c>
      <c r="O766" s="237">
        <v>1853</v>
      </c>
      <c r="P766" s="237">
        <v>0</v>
      </c>
      <c r="Q766" s="236">
        <v>0</v>
      </c>
      <c r="R766" s="237">
        <f t="shared" si="11"/>
        <v>3169</v>
      </c>
      <c r="S766" s="236"/>
      <c r="T766" s="237">
        <v>1532</v>
      </c>
      <c r="U766" s="238">
        <v>795</v>
      </c>
      <c r="V766" s="238">
        <v>2326</v>
      </c>
    </row>
    <row r="767" spans="1:22">
      <c r="A767" s="231">
        <v>98241</v>
      </c>
      <c r="B767" s="232" t="s">
        <v>1477</v>
      </c>
      <c r="C767" s="92">
        <v>1.98E-5</v>
      </c>
      <c r="D767" s="92">
        <v>1.0200000000000001E-5</v>
      </c>
      <c r="E767" s="236">
        <v>7740.8499999999995</v>
      </c>
      <c r="F767" s="236">
        <v>4578</v>
      </c>
      <c r="G767" s="236">
        <v>42022</v>
      </c>
      <c r="H767" s="236"/>
      <c r="I767" s="237">
        <v>789.52499999999998</v>
      </c>
      <c r="J767" s="237">
        <v>36825</v>
      </c>
      <c r="K767" s="237">
        <v>2878</v>
      </c>
      <c r="L767" s="236">
        <v>8690</v>
      </c>
      <c r="M767" s="236"/>
      <c r="N767" s="237">
        <v>1473</v>
      </c>
      <c r="O767" s="237">
        <v>13592</v>
      </c>
      <c r="P767" s="237">
        <v>0</v>
      </c>
      <c r="Q767" s="236">
        <v>331</v>
      </c>
      <c r="R767" s="237">
        <f t="shared" si="11"/>
        <v>23233</v>
      </c>
      <c r="S767" s="236"/>
      <c r="T767" s="237">
        <v>11232</v>
      </c>
      <c r="U767" s="238">
        <v>3061</v>
      </c>
      <c r="V767" s="238">
        <v>14293</v>
      </c>
    </row>
    <row r="768" spans="1:22">
      <c r="A768" s="231">
        <v>98251</v>
      </c>
      <c r="B768" s="232" t="s">
        <v>1478</v>
      </c>
      <c r="C768" s="92">
        <v>3.1E-6</v>
      </c>
      <c r="D768" s="92">
        <v>3.1E-6</v>
      </c>
      <c r="E768" s="236">
        <v>1870.1600000000003</v>
      </c>
      <c r="F768" s="236">
        <v>1391</v>
      </c>
      <c r="G768" s="236">
        <v>6579</v>
      </c>
      <c r="H768" s="236"/>
      <c r="I768" s="237">
        <v>123.6125</v>
      </c>
      <c r="J768" s="237">
        <v>5766</v>
      </c>
      <c r="K768" s="237">
        <v>451</v>
      </c>
      <c r="L768" s="236">
        <v>1191</v>
      </c>
      <c r="M768" s="236"/>
      <c r="N768" s="237">
        <v>231</v>
      </c>
      <c r="O768" s="237">
        <v>2128</v>
      </c>
      <c r="P768" s="237">
        <v>0</v>
      </c>
      <c r="Q768" s="236">
        <v>0</v>
      </c>
      <c r="R768" s="237">
        <f t="shared" si="11"/>
        <v>3638</v>
      </c>
      <c r="S768" s="236"/>
      <c r="T768" s="237">
        <v>1759</v>
      </c>
      <c r="U768" s="238">
        <v>412</v>
      </c>
      <c r="V768" s="238">
        <v>2171</v>
      </c>
    </row>
    <row r="769" spans="1:22">
      <c r="A769" s="231">
        <v>98261</v>
      </c>
      <c r="B769" s="232" t="s">
        <v>1479</v>
      </c>
      <c r="C769" s="92">
        <v>2.97E-5</v>
      </c>
      <c r="D769" s="92">
        <v>4.3099999999999997E-5</v>
      </c>
      <c r="E769" s="236">
        <v>12989.23</v>
      </c>
      <c r="F769" s="236">
        <v>19343</v>
      </c>
      <c r="G769" s="236">
        <v>63033</v>
      </c>
      <c r="H769" s="236"/>
      <c r="I769" s="237">
        <v>1184</v>
      </c>
      <c r="J769" s="237">
        <v>55237</v>
      </c>
      <c r="K769" s="237">
        <v>4317</v>
      </c>
      <c r="L769" s="236">
        <v>4504</v>
      </c>
      <c r="M769" s="236"/>
      <c r="N769" s="237">
        <v>2209</v>
      </c>
      <c r="O769" s="237">
        <v>20388</v>
      </c>
      <c r="P769" s="237">
        <v>0</v>
      </c>
      <c r="Q769" s="236">
        <v>6643</v>
      </c>
      <c r="R769" s="237">
        <f t="shared" si="11"/>
        <v>34849</v>
      </c>
      <c r="S769" s="236"/>
      <c r="T769" s="237">
        <v>16848</v>
      </c>
      <c r="U769" s="238">
        <v>-118</v>
      </c>
      <c r="V769" s="238">
        <v>16730</v>
      </c>
    </row>
    <row r="770" spans="1:22">
      <c r="A770" s="231">
        <v>98271</v>
      </c>
      <c r="B770" s="232" t="s">
        <v>1480</v>
      </c>
      <c r="C770" s="92">
        <v>4.5000000000000001E-6</v>
      </c>
      <c r="D770" s="92">
        <v>3.4000000000000001E-6</v>
      </c>
      <c r="E770" s="236">
        <v>3055.2599999999998</v>
      </c>
      <c r="F770" s="236">
        <v>1526</v>
      </c>
      <c r="G770" s="236">
        <v>9551</v>
      </c>
      <c r="H770" s="236"/>
      <c r="I770" s="237">
        <v>179.4375</v>
      </c>
      <c r="J770" s="237">
        <v>8369</v>
      </c>
      <c r="K770" s="237">
        <v>654</v>
      </c>
      <c r="L770" s="236">
        <v>3951</v>
      </c>
      <c r="M770" s="236"/>
      <c r="N770" s="237">
        <v>335</v>
      </c>
      <c r="O770" s="237">
        <v>3089</v>
      </c>
      <c r="P770" s="237">
        <v>0</v>
      </c>
      <c r="Q770" s="236">
        <v>0</v>
      </c>
      <c r="R770" s="237">
        <f t="shared" si="11"/>
        <v>5280</v>
      </c>
      <c r="S770" s="236"/>
      <c r="T770" s="237">
        <v>2553</v>
      </c>
      <c r="U770" s="238">
        <v>1392</v>
      </c>
      <c r="V770" s="238">
        <v>3945</v>
      </c>
    </row>
    <row r="771" spans="1:22">
      <c r="A771" s="231">
        <v>98301</v>
      </c>
      <c r="B771" s="232" t="s">
        <v>1481</v>
      </c>
      <c r="C771" s="92">
        <v>1.7776999999999999E-3</v>
      </c>
      <c r="D771" s="92">
        <v>1.7478999999999999E-3</v>
      </c>
      <c r="E771" s="236">
        <v>735954.37000000011</v>
      </c>
      <c r="F771" s="236">
        <v>784447</v>
      </c>
      <c r="G771" s="236">
        <v>3772875</v>
      </c>
      <c r="H771" s="236"/>
      <c r="I771" s="237">
        <v>70886</v>
      </c>
      <c r="J771" s="237">
        <v>3306241</v>
      </c>
      <c r="K771" s="237">
        <v>258408</v>
      </c>
      <c r="L771" s="236">
        <v>76085</v>
      </c>
      <c r="M771" s="236"/>
      <c r="N771" s="237">
        <v>132206</v>
      </c>
      <c r="O771" s="237">
        <v>1220316</v>
      </c>
      <c r="P771" s="237">
        <v>0</v>
      </c>
      <c r="Q771" s="236">
        <v>15711</v>
      </c>
      <c r="R771" s="237">
        <f t="shared" si="11"/>
        <v>2085925</v>
      </c>
      <c r="S771" s="236"/>
      <c r="T771" s="237">
        <v>1008434</v>
      </c>
      <c r="U771" s="238">
        <v>17172</v>
      </c>
      <c r="V771" s="238">
        <v>1025606</v>
      </c>
    </row>
    <row r="772" spans="1:22">
      <c r="A772" s="231">
        <v>98304</v>
      </c>
      <c r="B772" s="232" t="s">
        <v>1482</v>
      </c>
      <c r="C772" s="92">
        <v>2.2900000000000001E-5</v>
      </c>
      <c r="D772" s="92">
        <v>2.4499999999999999E-5</v>
      </c>
      <c r="E772" s="236">
        <v>11385.829999999998</v>
      </c>
      <c r="F772" s="236">
        <v>10995</v>
      </c>
      <c r="G772" s="236">
        <v>48601</v>
      </c>
      <c r="H772" s="236"/>
      <c r="I772" s="237">
        <v>913.13750000000005</v>
      </c>
      <c r="J772" s="237">
        <v>42590</v>
      </c>
      <c r="K772" s="237">
        <v>3329</v>
      </c>
      <c r="L772" s="236">
        <v>1590</v>
      </c>
      <c r="M772" s="236"/>
      <c r="N772" s="237">
        <v>1703</v>
      </c>
      <c r="O772" s="237">
        <v>15720</v>
      </c>
      <c r="P772" s="237">
        <v>0</v>
      </c>
      <c r="Q772" s="236">
        <v>0</v>
      </c>
      <c r="R772" s="237">
        <f t="shared" si="11"/>
        <v>26870</v>
      </c>
      <c r="S772" s="236"/>
      <c r="T772" s="237">
        <v>12990</v>
      </c>
      <c r="U772" s="238">
        <v>514</v>
      </c>
      <c r="V772" s="238">
        <v>13504</v>
      </c>
    </row>
    <row r="773" spans="1:22">
      <c r="A773" s="231">
        <v>98308</v>
      </c>
      <c r="B773" s="232" t="s">
        <v>1483</v>
      </c>
      <c r="C773" s="92">
        <v>2.55E-5</v>
      </c>
      <c r="D773" s="92">
        <v>2.5000000000000001E-5</v>
      </c>
      <c r="E773" s="236">
        <v>13854.839999999998</v>
      </c>
      <c r="F773" s="236">
        <v>11219.85</v>
      </c>
      <c r="G773" s="236">
        <v>54120</v>
      </c>
      <c r="H773" s="236"/>
      <c r="I773" s="237">
        <v>1016.8125</v>
      </c>
      <c r="J773" s="237">
        <v>47426</v>
      </c>
      <c r="K773" s="237">
        <v>3707</v>
      </c>
      <c r="L773" s="236">
        <v>7689</v>
      </c>
      <c r="M773" s="236"/>
      <c r="N773" s="237">
        <v>1896</v>
      </c>
      <c r="O773" s="237">
        <v>17505</v>
      </c>
      <c r="P773" s="237">
        <v>0</v>
      </c>
      <c r="Q773" s="236">
        <v>0</v>
      </c>
      <c r="R773" s="237">
        <f t="shared" si="11"/>
        <v>29921</v>
      </c>
      <c r="S773" s="236"/>
      <c r="T773" s="237">
        <v>14465</v>
      </c>
      <c r="U773" s="238">
        <v>2796</v>
      </c>
      <c r="V773" s="238">
        <v>17261</v>
      </c>
    </row>
    <row r="774" spans="1:22">
      <c r="A774" s="231">
        <v>98311</v>
      </c>
      <c r="B774" s="232" t="s">
        <v>1484</v>
      </c>
      <c r="C774" s="92">
        <v>1.1441999999999999E-3</v>
      </c>
      <c r="D774" s="92">
        <v>1.1704E-3</v>
      </c>
      <c r="E774" s="236">
        <v>413994.32000000007</v>
      </c>
      <c r="F774" s="236">
        <v>525268</v>
      </c>
      <c r="G774" s="236">
        <v>2428376</v>
      </c>
      <c r="H774" s="236"/>
      <c r="I774" s="237">
        <v>45625</v>
      </c>
      <c r="J774" s="237">
        <v>2128031</v>
      </c>
      <c r="K774" s="237">
        <v>166322</v>
      </c>
      <c r="L774" s="236">
        <v>25434</v>
      </c>
      <c r="M774" s="236"/>
      <c r="N774" s="237">
        <v>85093</v>
      </c>
      <c r="O774" s="237">
        <v>785445</v>
      </c>
      <c r="P774" s="237">
        <v>0</v>
      </c>
      <c r="Q774" s="236">
        <v>70361</v>
      </c>
      <c r="R774" s="237">
        <f t="shared" si="11"/>
        <v>1342586</v>
      </c>
      <c r="S774" s="236"/>
      <c r="T774" s="237">
        <v>649069</v>
      </c>
      <c r="U774" s="238">
        <v>-6523</v>
      </c>
      <c r="V774" s="238">
        <v>642547</v>
      </c>
    </row>
    <row r="775" spans="1:22">
      <c r="A775" s="231">
        <v>98313</v>
      </c>
      <c r="B775" s="232" t="s">
        <v>1485</v>
      </c>
      <c r="C775" s="92">
        <v>2.4240000000000001E-4</v>
      </c>
      <c r="D775" s="92">
        <v>2.3589999999999999E-4</v>
      </c>
      <c r="E775" s="236">
        <v>227095.51</v>
      </c>
      <c r="F775" s="236">
        <v>105871</v>
      </c>
      <c r="G775" s="236">
        <v>514454</v>
      </c>
      <c r="H775" s="236"/>
      <c r="I775" s="237">
        <v>9666</v>
      </c>
      <c r="J775" s="237">
        <v>450826</v>
      </c>
      <c r="K775" s="237">
        <v>35236</v>
      </c>
      <c r="L775" s="236">
        <v>166298</v>
      </c>
      <c r="M775" s="236"/>
      <c r="N775" s="237">
        <v>18027</v>
      </c>
      <c r="O775" s="237">
        <v>166397</v>
      </c>
      <c r="P775" s="237">
        <v>0</v>
      </c>
      <c r="Q775" s="236">
        <v>119.4</v>
      </c>
      <c r="R775" s="237">
        <f t="shared" si="11"/>
        <v>284429</v>
      </c>
      <c r="S775" s="236"/>
      <c r="T775" s="237">
        <v>137506</v>
      </c>
      <c r="U775" s="238">
        <v>48906</v>
      </c>
      <c r="V775" s="238">
        <v>186412</v>
      </c>
    </row>
    <row r="776" spans="1:22">
      <c r="A776" s="231">
        <v>98321</v>
      </c>
      <c r="B776" s="232" t="s">
        <v>1486</v>
      </c>
      <c r="C776" s="92">
        <v>2.1399999999999998E-5</v>
      </c>
      <c r="D776" s="92">
        <v>2.9E-5</v>
      </c>
      <c r="E776" s="236">
        <v>9180.25</v>
      </c>
      <c r="F776" s="236">
        <v>13015</v>
      </c>
      <c r="G776" s="236">
        <v>45418</v>
      </c>
      <c r="H776" s="236"/>
      <c r="I776" s="237">
        <v>853</v>
      </c>
      <c r="J776" s="237">
        <v>39801</v>
      </c>
      <c r="K776" s="237">
        <v>3111</v>
      </c>
      <c r="L776" s="236">
        <v>3126</v>
      </c>
      <c r="M776" s="236"/>
      <c r="N776" s="237">
        <v>1591</v>
      </c>
      <c r="O776" s="237">
        <v>14690</v>
      </c>
      <c r="P776" s="237">
        <v>0</v>
      </c>
      <c r="Q776" s="236">
        <v>4186</v>
      </c>
      <c r="R776" s="237">
        <f t="shared" si="11"/>
        <v>25111</v>
      </c>
      <c r="S776" s="236"/>
      <c r="T776" s="237">
        <v>12140</v>
      </c>
      <c r="U776" s="238">
        <v>451</v>
      </c>
      <c r="V776" s="238">
        <v>12591</v>
      </c>
    </row>
    <row r="777" spans="1:22">
      <c r="A777" s="231">
        <v>98331</v>
      </c>
      <c r="B777" s="232" t="s">
        <v>1487</v>
      </c>
      <c r="C777" s="92">
        <v>1.03E-5</v>
      </c>
      <c r="D777" s="92">
        <v>9.7999999999999993E-6</v>
      </c>
      <c r="E777" s="236">
        <v>5903.22</v>
      </c>
      <c r="F777" s="236">
        <v>4398</v>
      </c>
      <c r="G777" s="236">
        <v>21860</v>
      </c>
      <c r="H777" s="236"/>
      <c r="I777" s="237">
        <v>410.71249999999998</v>
      </c>
      <c r="J777" s="237">
        <v>19156</v>
      </c>
      <c r="K777" s="237">
        <v>1497</v>
      </c>
      <c r="L777" s="236">
        <v>2778</v>
      </c>
      <c r="M777" s="236"/>
      <c r="N777" s="237">
        <v>766</v>
      </c>
      <c r="O777" s="237">
        <v>7071</v>
      </c>
      <c r="P777" s="237">
        <v>0</v>
      </c>
      <c r="Q777" s="236">
        <v>264.67</v>
      </c>
      <c r="R777" s="237">
        <f t="shared" ref="R777:R840" si="12">IF(J777&gt;O777,J777-O777,O777-J777)</f>
        <v>12085</v>
      </c>
      <c r="S777" s="236"/>
      <c r="T777" s="237">
        <v>5843</v>
      </c>
      <c r="U777" s="238">
        <v>700</v>
      </c>
      <c r="V777" s="238">
        <v>6542</v>
      </c>
    </row>
    <row r="778" spans="1:22">
      <c r="A778" s="231">
        <v>98401</v>
      </c>
      <c r="B778" s="232" t="s">
        <v>1488</v>
      </c>
      <c r="C778" s="92">
        <v>2.7567999999999998E-3</v>
      </c>
      <c r="D778" s="92">
        <v>2.8057999999999998E-3</v>
      </c>
      <c r="E778" s="236">
        <v>1156444.24</v>
      </c>
      <c r="F778" s="236">
        <v>1259226</v>
      </c>
      <c r="G778" s="236">
        <v>5850853</v>
      </c>
      <c r="H778" s="236"/>
      <c r="I778" s="237">
        <v>109927.4</v>
      </c>
      <c r="J778" s="237">
        <v>5127212</v>
      </c>
      <c r="K778" s="237">
        <v>400731</v>
      </c>
      <c r="L778" s="236">
        <v>92083</v>
      </c>
      <c r="M778" s="236"/>
      <c r="N778" s="237">
        <v>205020</v>
      </c>
      <c r="O778" s="237">
        <v>1892427</v>
      </c>
      <c r="P778" s="237">
        <v>0</v>
      </c>
      <c r="Q778" s="236">
        <v>8491</v>
      </c>
      <c r="R778" s="237">
        <f t="shared" si="12"/>
        <v>3234785</v>
      </c>
      <c r="S778" s="236"/>
      <c r="T778" s="237">
        <v>1563847</v>
      </c>
      <c r="U778" s="238">
        <v>31358</v>
      </c>
      <c r="V778" s="238">
        <v>1595205</v>
      </c>
    </row>
    <row r="779" spans="1:22">
      <c r="A779" s="231">
        <v>98411</v>
      </c>
      <c r="B779" s="232" t="s">
        <v>1490</v>
      </c>
      <c r="C779" s="92">
        <v>2.0076999999999998E-3</v>
      </c>
      <c r="D779" s="92">
        <v>1.9907000000000002E-3</v>
      </c>
      <c r="E779" s="236">
        <v>792048.89</v>
      </c>
      <c r="F779" s="236">
        <v>893414</v>
      </c>
      <c r="G779" s="236">
        <v>4261012</v>
      </c>
      <c r="H779" s="236"/>
      <c r="I779" s="237">
        <v>80057</v>
      </c>
      <c r="J779" s="237">
        <v>3734005</v>
      </c>
      <c r="K779" s="237">
        <v>291841</v>
      </c>
      <c r="L779" s="236">
        <v>8012</v>
      </c>
      <c r="M779" s="236"/>
      <c r="N779" s="237">
        <v>149311</v>
      </c>
      <c r="O779" s="237">
        <v>1378202</v>
      </c>
      <c r="P779" s="237">
        <v>0</v>
      </c>
      <c r="Q779" s="236">
        <v>35211</v>
      </c>
      <c r="R779" s="237">
        <f t="shared" si="12"/>
        <v>2355803</v>
      </c>
      <c r="S779" s="236"/>
      <c r="T779" s="237">
        <v>1138906</v>
      </c>
      <c r="U779" s="238">
        <v>-6790</v>
      </c>
      <c r="V779" s="238">
        <v>1132116</v>
      </c>
    </row>
    <row r="780" spans="1:22">
      <c r="A780" s="231">
        <v>98417</v>
      </c>
      <c r="B780" s="232" t="s">
        <v>1492</v>
      </c>
      <c r="C780" s="92">
        <v>2.4899999999999999E-5</v>
      </c>
      <c r="D780" s="92">
        <v>2.6400000000000001E-5</v>
      </c>
      <c r="E780" s="236">
        <v>12734.51</v>
      </c>
      <c r="F780" s="236">
        <v>11848</v>
      </c>
      <c r="G780" s="236">
        <v>52846</v>
      </c>
      <c r="H780" s="236"/>
      <c r="I780" s="237">
        <v>993</v>
      </c>
      <c r="J780" s="237">
        <v>46310</v>
      </c>
      <c r="K780" s="237">
        <v>3619</v>
      </c>
      <c r="L780" s="236">
        <v>1318</v>
      </c>
      <c r="M780" s="236"/>
      <c r="N780" s="237">
        <v>1852</v>
      </c>
      <c r="O780" s="237">
        <v>17093</v>
      </c>
      <c r="P780" s="237">
        <v>0</v>
      </c>
      <c r="Q780" s="236">
        <v>852</v>
      </c>
      <c r="R780" s="237">
        <f t="shared" si="12"/>
        <v>29217</v>
      </c>
      <c r="S780" s="236"/>
      <c r="T780" s="237">
        <v>14125</v>
      </c>
      <c r="U780" s="238">
        <v>-72</v>
      </c>
      <c r="V780" s="238">
        <v>14053</v>
      </c>
    </row>
    <row r="781" spans="1:22">
      <c r="A781" s="231">
        <v>98421</v>
      </c>
      <c r="B781" s="232" t="s">
        <v>1493</v>
      </c>
      <c r="C781" s="92">
        <v>1.0840000000000001E-4</v>
      </c>
      <c r="D781" s="92">
        <v>1.021E-4</v>
      </c>
      <c r="E781" s="236">
        <v>40835.009999999995</v>
      </c>
      <c r="F781" s="236">
        <v>45822</v>
      </c>
      <c r="G781" s="236">
        <v>230061</v>
      </c>
      <c r="H781" s="236"/>
      <c r="I781" s="237">
        <v>4322.45</v>
      </c>
      <c r="J781" s="237">
        <v>201607</v>
      </c>
      <c r="K781" s="237">
        <v>15757</v>
      </c>
      <c r="L781" s="236">
        <v>7887</v>
      </c>
      <c r="M781" s="236"/>
      <c r="N781" s="237">
        <v>8062</v>
      </c>
      <c r="O781" s="237">
        <v>74412</v>
      </c>
      <c r="P781" s="237">
        <v>0</v>
      </c>
      <c r="Q781" s="236">
        <v>1282</v>
      </c>
      <c r="R781" s="237">
        <f t="shared" si="12"/>
        <v>127195</v>
      </c>
      <c r="S781" s="236"/>
      <c r="T781" s="237">
        <v>61492</v>
      </c>
      <c r="U781" s="238">
        <v>2111</v>
      </c>
      <c r="V781" s="238">
        <v>63603</v>
      </c>
    </row>
    <row r="782" spans="1:22">
      <c r="A782" s="231">
        <v>98427</v>
      </c>
      <c r="B782" s="232" t="s">
        <v>1494</v>
      </c>
      <c r="C782" s="92">
        <v>4.6E-6</v>
      </c>
      <c r="D782" s="92">
        <v>5.2000000000000002E-6</v>
      </c>
      <c r="E782" s="236">
        <v>2927.04</v>
      </c>
      <c r="F782" s="236">
        <v>2334</v>
      </c>
      <c r="G782" s="236">
        <v>9763</v>
      </c>
      <c r="H782" s="236"/>
      <c r="I782" s="237">
        <v>183.42500000000001</v>
      </c>
      <c r="J782" s="237">
        <v>8555</v>
      </c>
      <c r="K782" s="237">
        <v>669</v>
      </c>
      <c r="L782" s="236">
        <v>946</v>
      </c>
      <c r="M782" s="236"/>
      <c r="N782" s="237">
        <v>342</v>
      </c>
      <c r="O782" s="237">
        <v>3158</v>
      </c>
      <c r="P782" s="237">
        <v>0</v>
      </c>
      <c r="Q782" s="236">
        <v>0</v>
      </c>
      <c r="R782" s="237">
        <f t="shared" si="12"/>
        <v>5397</v>
      </c>
      <c r="S782" s="236"/>
      <c r="T782" s="237">
        <v>2609</v>
      </c>
      <c r="U782" s="238">
        <v>309</v>
      </c>
      <c r="V782" s="238">
        <v>2918</v>
      </c>
    </row>
    <row r="783" spans="1:22">
      <c r="A783" s="231">
        <v>98431</v>
      </c>
      <c r="B783" s="232" t="s">
        <v>1495</v>
      </c>
      <c r="C783" s="92">
        <v>2.0010000000000001E-4</v>
      </c>
      <c r="D783" s="92">
        <v>2.0560000000000001E-4</v>
      </c>
      <c r="E783" s="236">
        <v>68368.560000000012</v>
      </c>
      <c r="F783" s="236">
        <v>92272</v>
      </c>
      <c r="G783" s="236">
        <v>424679</v>
      </c>
      <c r="H783" s="236"/>
      <c r="I783" s="237">
        <v>7979</v>
      </c>
      <c r="J783" s="237">
        <v>372154</v>
      </c>
      <c r="K783" s="237">
        <v>29087</v>
      </c>
      <c r="L783" s="236">
        <v>2505</v>
      </c>
      <c r="M783" s="236"/>
      <c r="N783" s="237">
        <v>14881</v>
      </c>
      <c r="O783" s="237">
        <v>137360</v>
      </c>
      <c r="P783" s="237">
        <v>0</v>
      </c>
      <c r="Q783" s="236">
        <v>22555</v>
      </c>
      <c r="R783" s="237">
        <f t="shared" si="12"/>
        <v>234794</v>
      </c>
      <c r="S783" s="236"/>
      <c r="T783" s="237">
        <v>113511</v>
      </c>
      <c r="U783" s="238">
        <v>-5398</v>
      </c>
      <c r="V783" s="238">
        <v>108113</v>
      </c>
    </row>
    <row r="784" spans="1:22">
      <c r="A784" s="231">
        <v>98441</v>
      </c>
      <c r="B784" s="232" t="s">
        <v>1496</v>
      </c>
      <c r="C784" s="92">
        <v>9.1000000000000003E-5</v>
      </c>
      <c r="D784" s="92">
        <v>1.039E-4</v>
      </c>
      <c r="E784" s="236">
        <v>33724.18</v>
      </c>
      <c r="F784" s="236">
        <v>46630</v>
      </c>
      <c r="G784" s="236">
        <v>193132</v>
      </c>
      <c r="H784" s="236"/>
      <c r="I784" s="237">
        <v>3628.625</v>
      </c>
      <c r="J784" s="237">
        <v>169246</v>
      </c>
      <c r="K784" s="237">
        <v>13228</v>
      </c>
      <c r="L784" s="236">
        <v>1146</v>
      </c>
      <c r="M784" s="236"/>
      <c r="N784" s="237">
        <v>6768</v>
      </c>
      <c r="O784" s="237">
        <v>62468</v>
      </c>
      <c r="P784" s="237">
        <v>0</v>
      </c>
      <c r="Q784" s="236">
        <v>21657</v>
      </c>
      <c r="R784" s="237">
        <f t="shared" si="12"/>
        <v>106778</v>
      </c>
      <c r="S784" s="236"/>
      <c r="T784" s="237">
        <v>51621</v>
      </c>
      <c r="U784" s="238">
        <v>-6156</v>
      </c>
      <c r="V784" s="238">
        <v>45466</v>
      </c>
    </row>
    <row r="785" spans="1:22">
      <c r="A785" s="231">
        <v>98451</v>
      </c>
      <c r="B785" s="232" t="s">
        <v>1497</v>
      </c>
      <c r="C785" s="92">
        <v>5.6199999999999997E-5</v>
      </c>
      <c r="D785" s="92">
        <v>6.0300000000000002E-5</v>
      </c>
      <c r="E785" s="236">
        <v>24172.809999999998</v>
      </c>
      <c r="F785" s="236">
        <v>27062</v>
      </c>
      <c r="G785" s="236">
        <v>119275</v>
      </c>
      <c r="H785" s="236"/>
      <c r="I785" s="237">
        <v>2240.9749999999999</v>
      </c>
      <c r="J785" s="237">
        <v>104523</v>
      </c>
      <c r="K785" s="237">
        <v>8169</v>
      </c>
      <c r="L785" s="236">
        <v>0</v>
      </c>
      <c r="M785" s="236"/>
      <c r="N785" s="237">
        <v>4180</v>
      </c>
      <c r="O785" s="237">
        <v>38579</v>
      </c>
      <c r="P785" s="237">
        <v>0</v>
      </c>
      <c r="Q785" s="236">
        <v>2135</v>
      </c>
      <c r="R785" s="237">
        <f t="shared" si="12"/>
        <v>65944</v>
      </c>
      <c r="S785" s="236"/>
      <c r="T785" s="237">
        <v>31881</v>
      </c>
      <c r="U785" s="238">
        <v>-657</v>
      </c>
      <c r="V785" s="238">
        <v>31223</v>
      </c>
    </row>
    <row r="786" spans="1:22">
      <c r="A786" s="231">
        <v>98481</v>
      </c>
      <c r="B786" s="232" t="s">
        <v>1498</v>
      </c>
      <c r="C786" s="92">
        <v>6.7700000000000006E-5</v>
      </c>
      <c r="D786" s="92">
        <v>6.2500000000000001E-5</v>
      </c>
      <c r="E786" s="236">
        <v>21741.83</v>
      </c>
      <c r="F786" s="236">
        <v>28049.625</v>
      </c>
      <c r="G786" s="236">
        <v>143682</v>
      </c>
      <c r="H786" s="236"/>
      <c r="I786" s="237">
        <v>2700</v>
      </c>
      <c r="J786" s="237">
        <v>125911</v>
      </c>
      <c r="K786" s="237">
        <v>9841</v>
      </c>
      <c r="L786" s="236">
        <v>3106</v>
      </c>
      <c r="M786" s="236"/>
      <c r="N786" s="237">
        <v>5035</v>
      </c>
      <c r="O786" s="237">
        <v>46473</v>
      </c>
      <c r="P786" s="237">
        <v>0</v>
      </c>
      <c r="Q786" s="236">
        <v>2045</v>
      </c>
      <c r="R786" s="237">
        <f t="shared" si="12"/>
        <v>79438</v>
      </c>
      <c r="S786" s="236"/>
      <c r="T786" s="237">
        <v>38404</v>
      </c>
      <c r="U786" s="238">
        <v>1029</v>
      </c>
      <c r="V786" s="238">
        <v>39434</v>
      </c>
    </row>
    <row r="787" spans="1:22">
      <c r="A787" s="231">
        <v>98501</v>
      </c>
      <c r="B787" s="232" t="s">
        <v>1499</v>
      </c>
      <c r="C787" s="92">
        <v>1.5690999999999999E-3</v>
      </c>
      <c r="D787" s="92">
        <v>1.5471E-3</v>
      </c>
      <c r="E787" s="236">
        <v>684836.9</v>
      </c>
      <c r="F787" s="236">
        <v>694329</v>
      </c>
      <c r="G787" s="236">
        <v>3330156</v>
      </c>
      <c r="H787" s="236"/>
      <c r="I787" s="237">
        <v>62568</v>
      </c>
      <c r="J787" s="237">
        <v>2918278</v>
      </c>
      <c r="K787" s="237">
        <v>228086</v>
      </c>
      <c r="L787" s="236">
        <v>44212</v>
      </c>
      <c r="M787" s="236"/>
      <c r="N787" s="237">
        <v>116692</v>
      </c>
      <c r="O787" s="237">
        <v>1077121</v>
      </c>
      <c r="P787" s="237">
        <v>0</v>
      </c>
      <c r="Q787" s="236">
        <v>5894</v>
      </c>
      <c r="R787" s="237">
        <f t="shared" si="12"/>
        <v>1841157</v>
      </c>
      <c r="S787" s="236"/>
      <c r="T787" s="237">
        <v>890102</v>
      </c>
      <c r="U787" s="238">
        <v>8576</v>
      </c>
      <c r="V787" s="238">
        <v>898678</v>
      </c>
    </row>
    <row r="788" spans="1:22">
      <c r="A788" s="231">
        <v>98511</v>
      </c>
      <c r="B788" s="232" t="s">
        <v>1500</v>
      </c>
      <c r="C788" s="92">
        <v>4.5800000000000002E-5</v>
      </c>
      <c r="D788" s="92">
        <v>3.96E-5</v>
      </c>
      <c r="E788" s="236">
        <v>20253.45</v>
      </c>
      <c r="F788" s="236">
        <v>17772</v>
      </c>
      <c r="G788" s="236">
        <v>97203</v>
      </c>
      <c r="H788" s="236"/>
      <c r="I788" s="237">
        <v>1826.2750000000001</v>
      </c>
      <c r="J788" s="237">
        <v>85181</v>
      </c>
      <c r="K788" s="237">
        <v>6658</v>
      </c>
      <c r="L788" s="236">
        <v>4485</v>
      </c>
      <c r="M788" s="236"/>
      <c r="N788" s="237">
        <v>3406</v>
      </c>
      <c r="O788" s="237">
        <v>31440</v>
      </c>
      <c r="P788" s="237">
        <v>0</v>
      </c>
      <c r="Q788" s="236">
        <v>23108</v>
      </c>
      <c r="R788" s="237">
        <f t="shared" si="12"/>
        <v>53741</v>
      </c>
      <c r="S788" s="236"/>
      <c r="T788" s="237">
        <v>25981</v>
      </c>
      <c r="U788" s="238">
        <v>-10027</v>
      </c>
      <c r="V788" s="238">
        <v>15954</v>
      </c>
    </row>
    <row r="789" spans="1:22">
      <c r="A789" s="231">
        <v>98517</v>
      </c>
      <c r="B789" s="232" t="s">
        <v>1501</v>
      </c>
      <c r="C789" s="92">
        <v>2.6000000000000001E-6</v>
      </c>
      <c r="D789" s="92">
        <v>3.3000000000000002E-6</v>
      </c>
      <c r="E789" s="236">
        <v>2175.1200000000003</v>
      </c>
      <c r="F789" s="236">
        <v>1481</v>
      </c>
      <c r="G789" s="236">
        <v>5518</v>
      </c>
      <c r="H789" s="236"/>
      <c r="I789" s="237">
        <v>103.675</v>
      </c>
      <c r="J789" s="237">
        <v>4836</v>
      </c>
      <c r="K789" s="237">
        <v>378</v>
      </c>
      <c r="L789" s="236">
        <v>1036</v>
      </c>
      <c r="M789" s="236"/>
      <c r="N789" s="237">
        <v>193</v>
      </c>
      <c r="O789" s="237">
        <v>1785</v>
      </c>
      <c r="P789" s="237">
        <v>0</v>
      </c>
      <c r="Q789" s="236">
        <v>0</v>
      </c>
      <c r="R789" s="237">
        <f t="shared" si="12"/>
        <v>3051</v>
      </c>
      <c r="S789" s="236"/>
      <c r="T789" s="237">
        <v>1475</v>
      </c>
      <c r="U789" s="238">
        <v>354</v>
      </c>
      <c r="V789" s="238">
        <v>1829</v>
      </c>
    </row>
    <row r="790" spans="1:22">
      <c r="A790" s="231">
        <v>98521</v>
      </c>
      <c r="B790" s="232" t="s">
        <v>1502</v>
      </c>
      <c r="C790" s="92">
        <v>5.7059999999999999E-4</v>
      </c>
      <c r="D790" s="92">
        <v>6.3980000000000005E-4</v>
      </c>
      <c r="E790" s="236">
        <v>223041.65999999997</v>
      </c>
      <c r="F790" s="236">
        <v>287138</v>
      </c>
      <c r="G790" s="236">
        <v>1211004</v>
      </c>
      <c r="H790" s="236"/>
      <c r="I790" s="237">
        <v>22753</v>
      </c>
      <c r="J790" s="237">
        <v>1061226</v>
      </c>
      <c r="K790" s="237">
        <v>82943</v>
      </c>
      <c r="L790" s="236">
        <v>0</v>
      </c>
      <c r="M790" s="236"/>
      <c r="N790" s="237">
        <v>42435</v>
      </c>
      <c r="O790" s="237">
        <v>391693</v>
      </c>
      <c r="P790" s="237">
        <v>0</v>
      </c>
      <c r="Q790" s="236">
        <v>62867</v>
      </c>
      <c r="R790" s="237">
        <f t="shared" si="12"/>
        <v>669533</v>
      </c>
      <c r="S790" s="236"/>
      <c r="T790" s="237">
        <v>323684</v>
      </c>
      <c r="U790" s="238">
        <v>-18900</v>
      </c>
      <c r="V790" s="238">
        <v>304784</v>
      </c>
    </row>
    <row r="791" spans="1:22">
      <c r="A791" s="231">
        <v>98601</v>
      </c>
      <c r="B791" s="232" t="s">
        <v>1503</v>
      </c>
      <c r="C791" s="92">
        <v>3.5065999999999999E-3</v>
      </c>
      <c r="D791" s="92">
        <v>3.3880999999999998E-3</v>
      </c>
      <c r="E791" s="236">
        <v>1331350.3999999999</v>
      </c>
      <c r="F791" s="236">
        <v>1520559</v>
      </c>
      <c r="G791" s="236">
        <v>7442180</v>
      </c>
      <c r="H791" s="236"/>
      <c r="I791" s="237">
        <v>139826</v>
      </c>
      <c r="J791" s="237">
        <v>6521722</v>
      </c>
      <c r="K791" s="237">
        <v>509723</v>
      </c>
      <c r="L791" s="236">
        <v>0</v>
      </c>
      <c r="M791" s="236"/>
      <c r="N791" s="237">
        <v>260782</v>
      </c>
      <c r="O791" s="237">
        <v>2407134</v>
      </c>
      <c r="P791" s="237">
        <v>0</v>
      </c>
      <c r="Q791" s="236">
        <v>160211</v>
      </c>
      <c r="R791" s="237">
        <f t="shared" si="12"/>
        <v>4114588</v>
      </c>
      <c r="S791" s="236"/>
      <c r="T791" s="237">
        <v>1989185</v>
      </c>
      <c r="U791" s="238">
        <v>-63543</v>
      </c>
      <c r="V791" s="238">
        <v>1925643</v>
      </c>
    </row>
    <row r="792" spans="1:22">
      <c r="A792" s="231">
        <v>98604</v>
      </c>
      <c r="B792" s="232" t="s">
        <v>1504</v>
      </c>
      <c r="C792" s="92">
        <v>1.59E-5</v>
      </c>
      <c r="D792" s="92">
        <v>0</v>
      </c>
      <c r="E792" s="236">
        <v>5853.5399999999991</v>
      </c>
      <c r="F792" s="236">
        <v>0</v>
      </c>
      <c r="G792" s="236">
        <v>33745</v>
      </c>
      <c r="H792" s="236"/>
      <c r="I792" s="237">
        <v>634</v>
      </c>
      <c r="J792" s="237">
        <v>29571</v>
      </c>
      <c r="K792" s="237">
        <v>2311</v>
      </c>
      <c r="L792" s="236">
        <v>8069</v>
      </c>
      <c r="M792" s="236"/>
      <c r="N792" s="237">
        <v>1182</v>
      </c>
      <c r="O792" s="237">
        <v>10915</v>
      </c>
      <c r="P792" s="237">
        <v>0</v>
      </c>
      <c r="Q792" s="236">
        <v>0</v>
      </c>
      <c r="R792" s="237">
        <f t="shared" si="12"/>
        <v>18656</v>
      </c>
      <c r="S792" s="236"/>
      <c r="T792" s="237">
        <v>9020</v>
      </c>
      <c r="U792" s="238">
        <v>2090</v>
      </c>
      <c r="V792" s="238">
        <v>11110</v>
      </c>
    </row>
    <row r="793" spans="1:22">
      <c r="A793" s="231">
        <v>98607</v>
      </c>
      <c r="B793" s="232" t="s">
        <v>1505</v>
      </c>
      <c r="C793" s="92">
        <v>5.9000000000000003E-6</v>
      </c>
      <c r="D793" s="92">
        <v>6.0000000000000002E-6</v>
      </c>
      <c r="E793" s="236">
        <v>2399.5499999999997</v>
      </c>
      <c r="F793" s="236">
        <v>2693</v>
      </c>
      <c r="G793" s="236">
        <v>12522</v>
      </c>
      <c r="H793" s="236"/>
      <c r="I793" s="237">
        <v>235</v>
      </c>
      <c r="J793" s="237">
        <v>10973</v>
      </c>
      <c r="K793" s="237">
        <v>858</v>
      </c>
      <c r="L793" s="236">
        <v>0</v>
      </c>
      <c r="M793" s="236"/>
      <c r="N793" s="237">
        <v>439</v>
      </c>
      <c r="O793" s="237">
        <v>4050</v>
      </c>
      <c r="P793" s="237">
        <v>0</v>
      </c>
      <c r="Q793" s="236">
        <v>2348</v>
      </c>
      <c r="R793" s="237">
        <f t="shared" si="12"/>
        <v>6923</v>
      </c>
      <c r="S793" s="236"/>
      <c r="T793" s="237">
        <v>3347</v>
      </c>
      <c r="U793" s="238">
        <v>-874</v>
      </c>
      <c r="V793" s="238">
        <v>2473</v>
      </c>
    </row>
    <row r="794" spans="1:22">
      <c r="A794" s="231">
        <v>98608</v>
      </c>
      <c r="B794" s="232" t="s">
        <v>1506</v>
      </c>
      <c r="C794" s="92">
        <v>4.2299999999999998E-5</v>
      </c>
      <c r="D794" s="92">
        <v>5.4500000000000003E-5</v>
      </c>
      <c r="E794" s="236">
        <v>16592.650000000001</v>
      </c>
      <c r="F794" s="236">
        <v>24459</v>
      </c>
      <c r="G794" s="236">
        <v>89775</v>
      </c>
      <c r="H794" s="236"/>
      <c r="I794" s="237">
        <v>1687</v>
      </c>
      <c r="J794" s="237">
        <v>78671</v>
      </c>
      <c r="K794" s="237">
        <v>6149</v>
      </c>
      <c r="L794" s="236">
        <v>6369</v>
      </c>
      <c r="M794" s="236"/>
      <c r="N794" s="237">
        <v>3146</v>
      </c>
      <c r="O794" s="237">
        <v>29037</v>
      </c>
      <c r="P794" s="237">
        <v>0</v>
      </c>
      <c r="Q794" s="236">
        <v>7247</v>
      </c>
      <c r="R794" s="237">
        <f t="shared" si="12"/>
        <v>49634</v>
      </c>
      <c r="S794" s="236"/>
      <c r="T794" s="237">
        <v>23995</v>
      </c>
      <c r="U794" s="238">
        <v>566</v>
      </c>
      <c r="V794" s="238">
        <v>24562</v>
      </c>
    </row>
    <row r="795" spans="1:22">
      <c r="A795" s="231">
        <v>98611</v>
      </c>
      <c r="B795" s="232" t="s">
        <v>1507</v>
      </c>
      <c r="C795" s="92">
        <v>8.6700000000000007E-5</v>
      </c>
      <c r="D795" s="92">
        <v>1.2129999999999999E-4</v>
      </c>
      <c r="E795" s="236">
        <v>43078.049999999996</v>
      </c>
      <c r="F795" s="236">
        <v>54439</v>
      </c>
      <c r="G795" s="236">
        <v>184006</v>
      </c>
      <c r="H795" s="236"/>
      <c r="I795" s="237">
        <v>3457</v>
      </c>
      <c r="J795" s="237">
        <v>161248</v>
      </c>
      <c r="K795" s="237">
        <v>12603</v>
      </c>
      <c r="L795" s="236">
        <v>4723</v>
      </c>
      <c r="M795" s="236"/>
      <c r="N795" s="237">
        <v>6448</v>
      </c>
      <c r="O795" s="237">
        <v>59516</v>
      </c>
      <c r="P795" s="237">
        <v>0</v>
      </c>
      <c r="Q795" s="236">
        <v>12848</v>
      </c>
      <c r="R795" s="237">
        <f t="shared" si="12"/>
        <v>101732</v>
      </c>
      <c r="S795" s="236"/>
      <c r="T795" s="237">
        <v>49182</v>
      </c>
      <c r="U795" s="238">
        <v>-1131</v>
      </c>
      <c r="V795" s="238">
        <v>48051</v>
      </c>
    </row>
    <row r="796" spans="1:22">
      <c r="A796" s="231">
        <v>98621</v>
      </c>
      <c r="B796" s="232" t="s">
        <v>1508</v>
      </c>
      <c r="C796" s="92">
        <v>1.3239999999999999E-4</v>
      </c>
      <c r="D796" s="92">
        <v>1.2740000000000001E-4</v>
      </c>
      <c r="E796" s="236">
        <v>45779.06</v>
      </c>
      <c r="F796" s="236">
        <v>57176</v>
      </c>
      <c r="G796" s="236">
        <v>280997</v>
      </c>
      <c r="H796" s="236"/>
      <c r="I796" s="237">
        <v>5279.45</v>
      </c>
      <c r="J796" s="237">
        <v>246243</v>
      </c>
      <c r="K796" s="237">
        <v>19246</v>
      </c>
      <c r="L796" s="236">
        <v>951</v>
      </c>
      <c r="M796" s="236"/>
      <c r="N796" s="237">
        <v>9846</v>
      </c>
      <c r="O796" s="237">
        <v>90887</v>
      </c>
      <c r="P796" s="237">
        <v>0</v>
      </c>
      <c r="Q796" s="236">
        <v>9470</v>
      </c>
      <c r="R796" s="237">
        <f t="shared" si="12"/>
        <v>155356</v>
      </c>
      <c r="S796" s="236"/>
      <c r="T796" s="237">
        <v>75106</v>
      </c>
      <c r="U796" s="238">
        <v>-2481</v>
      </c>
      <c r="V796" s="238">
        <v>72625</v>
      </c>
    </row>
    <row r="797" spans="1:22">
      <c r="A797" s="231">
        <v>98627</v>
      </c>
      <c r="B797" s="232" t="s">
        <v>1509</v>
      </c>
      <c r="C797" s="92">
        <v>9.3999999999999998E-6</v>
      </c>
      <c r="D797" s="92">
        <v>7.4000000000000003E-6</v>
      </c>
      <c r="E797" s="236">
        <v>3038.5200000000004</v>
      </c>
      <c r="F797" s="236">
        <v>3321</v>
      </c>
      <c r="G797" s="236">
        <v>19950</v>
      </c>
      <c r="H797" s="236"/>
      <c r="I797" s="237">
        <v>374.82499999999999</v>
      </c>
      <c r="J797" s="237">
        <v>17483</v>
      </c>
      <c r="K797" s="237">
        <v>1366</v>
      </c>
      <c r="L797" s="236">
        <v>426</v>
      </c>
      <c r="M797" s="236"/>
      <c r="N797" s="237">
        <v>699</v>
      </c>
      <c r="O797" s="237">
        <v>6453</v>
      </c>
      <c r="P797" s="237">
        <v>0</v>
      </c>
      <c r="Q797" s="236">
        <v>202</v>
      </c>
      <c r="R797" s="237">
        <f t="shared" si="12"/>
        <v>11030</v>
      </c>
      <c r="S797" s="236"/>
      <c r="T797" s="237">
        <v>5332</v>
      </c>
      <c r="U797" s="238">
        <v>25</v>
      </c>
      <c r="V797" s="238">
        <v>5357</v>
      </c>
    </row>
    <row r="798" spans="1:22">
      <c r="A798" s="231">
        <v>98631</v>
      </c>
      <c r="B798" s="232" t="s">
        <v>1510</v>
      </c>
      <c r="C798" s="92">
        <v>1.0415000000000001E-3</v>
      </c>
      <c r="D798" s="92">
        <v>1.1375000000000001E-3</v>
      </c>
      <c r="E798" s="236">
        <v>412487.07000000007</v>
      </c>
      <c r="F798" s="236">
        <v>510503</v>
      </c>
      <c r="G798" s="236">
        <v>2210412</v>
      </c>
      <c r="H798" s="236"/>
      <c r="I798" s="237">
        <v>41530</v>
      </c>
      <c r="J798" s="237">
        <v>1937025</v>
      </c>
      <c r="K798" s="237">
        <v>151393</v>
      </c>
      <c r="L798" s="236">
        <v>0</v>
      </c>
      <c r="M798" s="236"/>
      <c r="N798" s="237">
        <v>77455</v>
      </c>
      <c r="O798" s="237">
        <v>714946</v>
      </c>
      <c r="P798" s="237">
        <v>0</v>
      </c>
      <c r="Q798" s="236">
        <v>118586</v>
      </c>
      <c r="R798" s="237">
        <f t="shared" si="12"/>
        <v>1222079</v>
      </c>
      <c r="S798" s="236"/>
      <c r="T798" s="237">
        <v>590811</v>
      </c>
      <c r="U798" s="238">
        <v>-36690</v>
      </c>
      <c r="V798" s="238">
        <v>554121</v>
      </c>
    </row>
    <row r="799" spans="1:22">
      <c r="A799" s="231">
        <v>98637</v>
      </c>
      <c r="B799" s="232" t="s">
        <v>1511</v>
      </c>
      <c r="C799" s="92">
        <v>2.2200000000000001E-5</v>
      </c>
      <c r="D799" s="92">
        <v>2.3499999999999999E-5</v>
      </c>
      <c r="E799" s="236">
        <v>14029.520000000002</v>
      </c>
      <c r="F799" s="236">
        <v>10547</v>
      </c>
      <c r="G799" s="236">
        <v>47116</v>
      </c>
      <c r="H799" s="236"/>
      <c r="I799" s="237">
        <v>885.22500000000002</v>
      </c>
      <c r="J799" s="237">
        <v>41288</v>
      </c>
      <c r="K799" s="237">
        <v>3227</v>
      </c>
      <c r="L799" s="236">
        <v>6585</v>
      </c>
      <c r="M799" s="236"/>
      <c r="N799" s="237">
        <v>1651</v>
      </c>
      <c r="O799" s="237">
        <v>15239</v>
      </c>
      <c r="P799" s="237">
        <v>0</v>
      </c>
      <c r="Q799" s="236">
        <v>0</v>
      </c>
      <c r="R799" s="237">
        <f t="shared" si="12"/>
        <v>26049</v>
      </c>
      <c r="S799" s="236"/>
      <c r="T799" s="237">
        <v>12593</v>
      </c>
      <c r="U799" s="238">
        <v>2204</v>
      </c>
      <c r="V799" s="238">
        <v>14798</v>
      </c>
    </row>
    <row r="800" spans="1:22">
      <c r="A800" s="231">
        <v>98641</v>
      </c>
      <c r="B800" s="232" t="s">
        <v>1512</v>
      </c>
      <c r="C800" s="92">
        <v>3.0019999999999998E-4</v>
      </c>
      <c r="D800" s="92">
        <v>3.1819999999999998E-4</v>
      </c>
      <c r="E800" s="236">
        <v>122409.70999999999</v>
      </c>
      <c r="F800" s="236">
        <v>142806</v>
      </c>
      <c r="G800" s="236">
        <v>637125</v>
      </c>
      <c r="H800" s="236"/>
      <c r="I800" s="237">
        <v>11970</v>
      </c>
      <c r="J800" s="237">
        <v>558325</v>
      </c>
      <c r="K800" s="237">
        <v>43637</v>
      </c>
      <c r="L800" s="236">
        <v>4514</v>
      </c>
      <c r="M800" s="236"/>
      <c r="N800" s="237">
        <v>22326</v>
      </c>
      <c r="O800" s="237">
        <v>206075</v>
      </c>
      <c r="P800" s="237">
        <v>0</v>
      </c>
      <c r="Q800" s="236">
        <v>10581</v>
      </c>
      <c r="R800" s="237">
        <f t="shared" si="12"/>
        <v>352250</v>
      </c>
      <c r="S800" s="236"/>
      <c r="T800" s="237">
        <v>170294</v>
      </c>
      <c r="U800" s="238">
        <v>-473</v>
      </c>
      <c r="V800" s="238">
        <v>169821</v>
      </c>
    </row>
    <row r="801" spans="1:22">
      <c r="A801" s="231">
        <v>98647</v>
      </c>
      <c r="B801" s="232" t="s">
        <v>1620</v>
      </c>
      <c r="C801" s="92">
        <v>0</v>
      </c>
      <c r="D801" s="92">
        <v>1.24E-5</v>
      </c>
      <c r="E801" s="236">
        <v>0</v>
      </c>
      <c r="F801" s="236">
        <v>5565</v>
      </c>
      <c r="G801" s="236">
        <v>0</v>
      </c>
      <c r="H801" s="236"/>
      <c r="I801" s="237">
        <v>0</v>
      </c>
      <c r="J801" s="237">
        <v>0</v>
      </c>
      <c r="K801" s="237">
        <v>0</v>
      </c>
      <c r="L801" s="236">
        <v>4884</v>
      </c>
      <c r="M801" s="236"/>
      <c r="N801" s="237">
        <v>0</v>
      </c>
      <c r="O801" s="237">
        <v>0</v>
      </c>
      <c r="P801" s="237">
        <v>0</v>
      </c>
      <c r="Q801" s="236">
        <v>6717</v>
      </c>
      <c r="R801" s="237">
        <f t="shared" si="12"/>
        <v>0</v>
      </c>
      <c r="S801" s="236"/>
      <c r="T801" s="237">
        <v>0</v>
      </c>
      <c r="U801" s="238">
        <v>178</v>
      </c>
      <c r="V801" s="238">
        <v>178</v>
      </c>
    </row>
    <row r="802" spans="1:22">
      <c r="A802" s="231">
        <v>98701</v>
      </c>
      <c r="B802" s="232" t="s">
        <v>1513</v>
      </c>
      <c r="C802" s="92">
        <v>1.1793000000000001E-3</v>
      </c>
      <c r="D802" s="92">
        <v>1.0842E-3</v>
      </c>
      <c r="E802" s="236">
        <v>425946.13</v>
      </c>
      <c r="F802" s="236">
        <v>486582</v>
      </c>
      <c r="G802" s="236">
        <v>2502870</v>
      </c>
      <c r="H802" s="236"/>
      <c r="I802" s="237">
        <v>47025</v>
      </c>
      <c r="J802" s="237">
        <v>2193312</v>
      </c>
      <c r="K802" s="237">
        <v>171424</v>
      </c>
      <c r="L802" s="236">
        <v>4631</v>
      </c>
      <c r="M802" s="236"/>
      <c r="N802" s="237">
        <v>87703</v>
      </c>
      <c r="O802" s="237">
        <v>809540</v>
      </c>
      <c r="P802" s="237">
        <v>0</v>
      </c>
      <c r="Q802" s="236">
        <v>48875</v>
      </c>
      <c r="R802" s="237">
        <f t="shared" si="12"/>
        <v>1383772</v>
      </c>
      <c r="S802" s="236"/>
      <c r="T802" s="237">
        <v>668980</v>
      </c>
      <c r="U802" s="238">
        <v>-17040</v>
      </c>
      <c r="V802" s="238">
        <v>651940</v>
      </c>
    </row>
    <row r="803" spans="1:22">
      <c r="A803" s="231">
        <v>98711</v>
      </c>
      <c r="B803" s="232" t="s">
        <v>1514</v>
      </c>
      <c r="C803" s="92">
        <v>1.8039999999999999E-4</v>
      </c>
      <c r="D803" s="92">
        <v>1.7589999999999999E-4</v>
      </c>
      <c r="E803" s="236">
        <v>62579.819999999992</v>
      </c>
      <c r="F803" s="236">
        <v>78943</v>
      </c>
      <c r="G803" s="236">
        <v>382869</v>
      </c>
      <c r="H803" s="236"/>
      <c r="I803" s="237">
        <v>7193.45</v>
      </c>
      <c r="J803" s="237">
        <v>335515</v>
      </c>
      <c r="K803" s="237">
        <v>26223</v>
      </c>
      <c r="L803" s="236">
        <v>2488</v>
      </c>
      <c r="M803" s="236"/>
      <c r="N803" s="237">
        <v>13416</v>
      </c>
      <c r="O803" s="237">
        <v>123837</v>
      </c>
      <c r="P803" s="237">
        <v>0</v>
      </c>
      <c r="Q803" s="236">
        <v>10451</v>
      </c>
      <c r="R803" s="237">
        <f t="shared" si="12"/>
        <v>211678</v>
      </c>
      <c r="S803" s="236"/>
      <c r="T803" s="237">
        <v>102335</v>
      </c>
      <c r="U803" s="238">
        <v>-1808</v>
      </c>
      <c r="V803" s="238">
        <v>100527</v>
      </c>
    </row>
    <row r="804" spans="1:22">
      <c r="A804" s="231">
        <v>98717</v>
      </c>
      <c r="B804" s="232" t="s">
        <v>1515</v>
      </c>
      <c r="C804" s="92">
        <v>1.8600000000000001E-5</v>
      </c>
      <c r="D804" s="92">
        <v>1.98E-5</v>
      </c>
      <c r="E804" s="236">
        <v>7760.9400000000005</v>
      </c>
      <c r="F804" s="236">
        <v>8886</v>
      </c>
      <c r="G804" s="236">
        <v>39475</v>
      </c>
      <c r="H804" s="236"/>
      <c r="I804" s="237">
        <v>742</v>
      </c>
      <c r="J804" s="237">
        <v>34593</v>
      </c>
      <c r="K804" s="237">
        <v>2704</v>
      </c>
      <c r="L804" s="236">
        <v>783</v>
      </c>
      <c r="M804" s="236"/>
      <c r="N804" s="237">
        <v>1383</v>
      </c>
      <c r="O804" s="237">
        <v>12768</v>
      </c>
      <c r="P804" s="237">
        <v>0</v>
      </c>
      <c r="Q804" s="236">
        <v>798</v>
      </c>
      <c r="R804" s="237">
        <f t="shared" si="12"/>
        <v>21825</v>
      </c>
      <c r="S804" s="236"/>
      <c r="T804" s="237">
        <v>10551</v>
      </c>
      <c r="U804" s="238">
        <v>13</v>
      </c>
      <c r="V804" s="238">
        <v>10565</v>
      </c>
    </row>
    <row r="805" spans="1:22">
      <c r="A805" s="231">
        <v>98801</v>
      </c>
      <c r="B805" s="232" t="s">
        <v>1516</v>
      </c>
      <c r="C805" s="92">
        <v>2.1771999999999998E-3</v>
      </c>
      <c r="D805" s="92">
        <v>2.1686000000000001E-3</v>
      </c>
      <c r="E805" s="236">
        <v>916501.02000000014</v>
      </c>
      <c r="F805" s="236">
        <v>973255</v>
      </c>
      <c r="G805" s="236">
        <v>4620748</v>
      </c>
      <c r="H805" s="236"/>
      <c r="I805" s="237">
        <v>86816</v>
      </c>
      <c r="J805" s="237">
        <v>4049248</v>
      </c>
      <c r="K805" s="237">
        <v>316480</v>
      </c>
      <c r="L805" s="236">
        <v>92904</v>
      </c>
      <c r="M805" s="236"/>
      <c r="N805" s="237">
        <v>161916</v>
      </c>
      <c r="O805" s="237">
        <v>1494556</v>
      </c>
      <c r="P805" s="237">
        <v>0</v>
      </c>
      <c r="Q805" s="236">
        <v>0</v>
      </c>
      <c r="R805" s="237">
        <f t="shared" si="12"/>
        <v>2554692</v>
      </c>
      <c r="S805" s="236"/>
      <c r="T805" s="237">
        <v>1235058</v>
      </c>
      <c r="U805" s="238">
        <v>33821</v>
      </c>
      <c r="V805" s="238">
        <v>1268879</v>
      </c>
    </row>
    <row r="806" spans="1:22">
      <c r="A806" s="231">
        <v>98811</v>
      </c>
      <c r="B806" s="232" t="s">
        <v>1517</v>
      </c>
      <c r="C806" s="92">
        <v>7.1120000000000005E-4</v>
      </c>
      <c r="D806" s="92">
        <v>7.737E-4</v>
      </c>
      <c r="E806" s="236">
        <v>290528.34999999998</v>
      </c>
      <c r="F806" s="236">
        <v>347232</v>
      </c>
      <c r="G806" s="236">
        <v>1509405</v>
      </c>
      <c r="H806" s="236"/>
      <c r="I806" s="237">
        <v>28359</v>
      </c>
      <c r="J806" s="237">
        <v>1322720</v>
      </c>
      <c r="K806" s="237">
        <v>103381</v>
      </c>
      <c r="L806" s="236">
        <v>31001</v>
      </c>
      <c r="M806" s="236"/>
      <c r="N806" s="237">
        <v>52891</v>
      </c>
      <c r="O806" s="237">
        <v>488209</v>
      </c>
      <c r="P806" s="237">
        <v>0</v>
      </c>
      <c r="Q806" s="236">
        <v>35404</v>
      </c>
      <c r="R806" s="237">
        <f t="shared" si="12"/>
        <v>834511</v>
      </c>
      <c r="S806" s="236"/>
      <c r="T806" s="237">
        <v>403442</v>
      </c>
      <c r="U806" s="238">
        <v>4854</v>
      </c>
      <c r="V806" s="238">
        <v>408295</v>
      </c>
    </row>
    <row r="807" spans="1:22">
      <c r="A807" s="231">
        <v>98817</v>
      </c>
      <c r="B807" s="232" t="s">
        <v>1518</v>
      </c>
      <c r="C807" s="92">
        <v>2.34E-5</v>
      </c>
      <c r="D807" s="92">
        <v>2.6400000000000001E-5</v>
      </c>
      <c r="E807" s="236">
        <v>11958.25</v>
      </c>
      <c r="F807" s="236">
        <v>11848</v>
      </c>
      <c r="G807" s="236">
        <v>49663</v>
      </c>
      <c r="H807" s="236"/>
      <c r="I807" s="237">
        <v>933</v>
      </c>
      <c r="J807" s="237">
        <v>43520</v>
      </c>
      <c r="K807" s="237">
        <v>3401</v>
      </c>
      <c r="L807" s="236">
        <v>244</v>
      </c>
      <c r="M807" s="236"/>
      <c r="N807" s="237">
        <v>1740</v>
      </c>
      <c r="O807" s="237">
        <v>16063</v>
      </c>
      <c r="P807" s="237">
        <v>0</v>
      </c>
      <c r="Q807" s="236">
        <v>4380</v>
      </c>
      <c r="R807" s="237">
        <f t="shared" si="12"/>
        <v>27457</v>
      </c>
      <c r="S807" s="236"/>
      <c r="T807" s="237">
        <v>13274</v>
      </c>
      <c r="U807" s="238">
        <v>-2136</v>
      </c>
      <c r="V807" s="238">
        <v>11138</v>
      </c>
    </row>
    <row r="808" spans="1:22">
      <c r="A808" s="231">
        <v>98901</v>
      </c>
      <c r="B808" s="232" t="s">
        <v>1519</v>
      </c>
      <c r="C808" s="92">
        <v>3.392E-4</v>
      </c>
      <c r="D808" s="92">
        <v>3.4190000000000002E-4</v>
      </c>
      <c r="E808" s="236">
        <v>138120.55999999997</v>
      </c>
      <c r="F808" s="236">
        <v>153443</v>
      </c>
      <c r="G808" s="236">
        <v>719896</v>
      </c>
      <c r="H808" s="236"/>
      <c r="I808" s="237">
        <v>13525.6</v>
      </c>
      <c r="J808" s="237">
        <v>630858</v>
      </c>
      <c r="K808" s="237">
        <v>49306</v>
      </c>
      <c r="L808" s="236">
        <v>2099</v>
      </c>
      <c r="M808" s="236"/>
      <c r="N808" s="237">
        <v>25226</v>
      </c>
      <c r="O808" s="237">
        <v>232847</v>
      </c>
      <c r="P808" s="237">
        <v>0</v>
      </c>
      <c r="Q808" s="236">
        <v>3837</v>
      </c>
      <c r="R808" s="237">
        <f t="shared" si="12"/>
        <v>398011</v>
      </c>
      <c r="S808" s="236"/>
      <c r="T808" s="237">
        <v>192418</v>
      </c>
      <c r="U808" s="238">
        <v>-562</v>
      </c>
      <c r="V808" s="238">
        <v>191855</v>
      </c>
    </row>
    <row r="809" spans="1:22">
      <c r="A809" s="231">
        <v>98904</v>
      </c>
      <c r="B809" s="232" t="s">
        <v>1520</v>
      </c>
      <c r="C809" s="92">
        <v>5.2000000000000002E-6</v>
      </c>
      <c r="D809" s="92">
        <v>3.4000000000000001E-6</v>
      </c>
      <c r="E809" s="236">
        <v>0</v>
      </c>
      <c r="F809" s="236">
        <v>1526</v>
      </c>
      <c r="G809" s="236">
        <v>11036</v>
      </c>
      <c r="H809" s="236"/>
      <c r="I809" s="237">
        <v>207.35</v>
      </c>
      <c r="J809" s="237">
        <v>9671</v>
      </c>
      <c r="K809" s="237">
        <v>756</v>
      </c>
      <c r="L809" s="236">
        <v>575</v>
      </c>
      <c r="M809" s="236"/>
      <c r="N809" s="237">
        <v>387</v>
      </c>
      <c r="O809" s="237">
        <v>3570</v>
      </c>
      <c r="P809" s="237">
        <v>0</v>
      </c>
      <c r="Q809" s="236">
        <v>723</v>
      </c>
      <c r="R809" s="237">
        <f t="shared" si="12"/>
        <v>6101</v>
      </c>
      <c r="S809" s="236"/>
      <c r="T809" s="237">
        <v>2950</v>
      </c>
      <c r="U809" s="238">
        <v>22</v>
      </c>
      <c r="V809" s="238">
        <v>2972</v>
      </c>
    </row>
    <row r="810" spans="1:22">
      <c r="A810" s="231">
        <v>98911</v>
      </c>
      <c r="B810" s="232" t="s">
        <v>1521</v>
      </c>
      <c r="C810" s="92">
        <v>2.8600000000000001E-5</v>
      </c>
      <c r="D810" s="92">
        <v>2.5899999999999999E-5</v>
      </c>
      <c r="E810" s="236">
        <v>16745.140000000003</v>
      </c>
      <c r="F810" s="236">
        <v>11624</v>
      </c>
      <c r="G810" s="236">
        <v>60699</v>
      </c>
      <c r="H810" s="236"/>
      <c r="I810" s="237">
        <v>1140.425</v>
      </c>
      <c r="J810" s="237">
        <v>53191</v>
      </c>
      <c r="K810" s="237">
        <v>4157</v>
      </c>
      <c r="L810" s="236">
        <v>13795</v>
      </c>
      <c r="M810" s="236"/>
      <c r="N810" s="237">
        <v>2127</v>
      </c>
      <c r="O810" s="237">
        <v>19633</v>
      </c>
      <c r="P810" s="237">
        <v>0</v>
      </c>
      <c r="Q810" s="236">
        <v>0</v>
      </c>
      <c r="R810" s="237">
        <f t="shared" si="12"/>
        <v>33558</v>
      </c>
      <c r="S810" s="236"/>
      <c r="T810" s="237">
        <v>16224</v>
      </c>
      <c r="U810" s="238">
        <v>4655</v>
      </c>
      <c r="V810" s="238">
        <v>20879</v>
      </c>
    </row>
    <row r="811" spans="1:22">
      <c r="A811" s="231">
        <v>99001</v>
      </c>
      <c r="B811" s="232" t="s">
        <v>1522</v>
      </c>
      <c r="C811" s="92">
        <v>7.8098999999999998E-3</v>
      </c>
      <c r="D811" s="92">
        <v>7.5116999999999996E-3</v>
      </c>
      <c r="E811" s="236">
        <v>3132307.8499999996</v>
      </c>
      <c r="F811" s="236">
        <v>3371206</v>
      </c>
      <c r="G811" s="236">
        <v>16575224</v>
      </c>
      <c r="H811" s="236"/>
      <c r="I811" s="237">
        <v>311420</v>
      </c>
      <c r="J811" s="237">
        <v>14525180</v>
      </c>
      <c r="K811" s="237">
        <v>1135255</v>
      </c>
      <c r="L811" s="236">
        <v>444444</v>
      </c>
      <c r="M811" s="236"/>
      <c r="N811" s="237">
        <v>580814</v>
      </c>
      <c r="O811" s="237">
        <v>5361168</v>
      </c>
      <c r="P811" s="237">
        <v>0</v>
      </c>
      <c r="Q811" s="236">
        <v>0</v>
      </c>
      <c r="R811" s="237">
        <f t="shared" si="12"/>
        <v>9164012</v>
      </c>
      <c r="S811" s="236"/>
      <c r="T811" s="237">
        <v>4430314</v>
      </c>
      <c r="U811" s="238">
        <v>166582</v>
      </c>
      <c r="V811" s="238">
        <v>4596896</v>
      </c>
    </row>
    <row r="812" spans="1:22">
      <c r="A812" s="231">
        <v>99011</v>
      </c>
      <c r="B812" s="232" t="s">
        <v>1523</v>
      </c>
      <c r="C812" s="92">
        <v>3.9039000000000001E-3</v>
      </c>
      <c r="D812" s="92">
        <v>4.3128999999999997E-3</v>
      </c>
      <c r="E812" s="236">
        <v>1564249.0799999998</v>
      </c>
      <c r="F812" s="236">
        <v>1935604</v>
      </c>
      <c r="G812" s="236">
        <v>8285384</v>
      </c>
      <c r="H812" s="236"/>
      <c r="I812" s="237">
        <v>155668</v>
      </c>
      <c r="J812" s="237">
        <v>7260637</v>
      </c>
      <c r="K812" s="237">
        <v>567475</v>
      </c>
      <c r="L812" s="236">
        <v>0</v>
      </c>
      <c r="M812" s="236"/>
      <c r="N812" s="237">
        <v>290329</v>
      </c>
      <c r="O812" s="237">
        <v>2679863</v>
      </c>
      <c r="P812" s="237">
        <v>0</v>
      </c>
      <c r="Q812" s="236">
        <v>573396</v>
      </c>
      <c r="R812" s="237">
        <f t="shared" si="12"/>
        <v>4580774</v>
      </c>
      <c r="S812" s="236"/>
      <c r="T812" s="237">
        <v>2214561</v>
      </c>
      <c r="U812" s="238">
        <v>-205801</v>
      </c>
      <c r="V812" s="238">
        <v>2008761</v>
      </c>
    </row>
    <row r="813" spans="1:22">
      <c r="A813" s="231">
        <v>99013</v>
      </c>
      <c r="B813" s="232" t="s">
        <v>1524</v>
      </c>
      <c r="C813" s="92">
        <v>6.02E-5</v>
      </c>
      <c r="D813" s="92">
        <v>7.2299999999999996E-5</v>
      </c>
      <c r="E813" s="236">
        <v>23490.16</v>
      </c>
      <c r="F813" s="236">
        <v>32448</v>
      </c>
      <c r="G813" s="236">
        <v>127765</v>
      </c>
      <c r="H813" s="236"/>
      <c r="I813" s="237">
        <v>2400.4749999999999</v>
      </c>
      <c r="J813" s="237">
        <v>111962</v>
      </c>
      <c r="K813" s="237">
        <v>8751</v>
      </c>
      <c r="L813" s="236">
        <v>20</v>
      </c>
      <c r="M813" s="236"/>
      <c r="N813" s="237">
        <v>4477</v>
      </c>
      <c r="O813" s="237">
        <v>41325</v>
      </c>
      <c r="P813" s="237">
        <v>0</v>
      </c>
      <c r="Q813" s="236">
        <v>8750</v>
      </c>
      <c r="R813" s="237">
        <f t="shared" si="12"/>
        <v>70637</v>
      </c>
      <c r="S813" s="236"/>
      <c r="T813" s="237">
        <v>34150</v>
      </c>
      <c r="U813" s="238">
        <v>-2370</v>
      </c>
      <c r="V813" s="238">
        <v>31779</v>
      </c>
    </row>
    <row r="814" spans="1:22">
      <c r="A814" s="231">
        <v>99014</v>
      </c>
      <c r="B814" s="232" t="s">
        <v>1525</v>
      </c>
      <c r="C814" s="92">
        <v>2.4199999999999999E-5</v>
      </c>
      <c r="D814" s="92">
        <v>0</v>
      </c>
      <c r="E814" s="236">
        <v>13216.55</v>
      </c>
      <c r="F814" s="236">
        <v>0</v>
      </c>
      <c r="G814" s="236">
        <v>51361</v>
      </c>
      <c r="H814" s="236"/>
      <c r="I814" s="237">
        <v>965</v>
      </c>
      <c r="J814" s="237">
        <v>45008</v>
      </c>
      <c r="K814" s="237">
        <v>3518</v>
      </c>
      <c r="L814" s="236">
        <v>15702</v>
      </c>
      <c r="M814" s="236"/>
      <c r="N814" s="237">
        <v>1800</v>
      </c>
      <c r="O814" s="237">
        <v>16612</v>
      </c>
      <c r="P814" s="237">
        <v>0</v>
      </c>
      <c r="Q814" s="236">
        <v>0</v>
      </c>
      <c r="R814" s="237">
        <f t="shared" si="12"/>
        <v>28396</v>
      </c>
      <c r="S814" s="236"/>
      <c r="T814" s="237">
        <v>13728</v>
      </c>
      <c r="U814" s="238">
        <v>4068</v>
      </c>
      <c r="V814" s="238">
        <v>17796</v>
      </c>
    </row>
    <row r="815" spans="1:22">
      <c r="A815" s="231">
        <v>99017</v>
      </c>
      <c r="B815" s="232" t="s">
        <v>1526</v>
      </c>
      <c r="C815" s="92">
        <v>4.6999999999999997E-5</v>
      </c>
      <c r="D815" s="92">
        <v>4.1199999999999999E-5</v>
      </c>
      <c r="E815" s="236">
        <v>19640.829999999998</v>
      </c>
      <c r="F815" s="236">
        <v>18490</v>
      </c>
      <c r="G815" s="236">
        <v>99750</v>
      </c>
      <c r="H815" s="236"/>
      <c r="I815" s="237">
        <v>1874.125</v>
      </c>
      <c r="J815" s="237">
        <v>87413</v>
      </c>
      <c r="K815" s="237">
        <v>6832</v>
      </c>
      <c r="L815" s="236">
        <v>5674</v>
      </c>
      <c r="M815" s="236"/>
      <c r="N815" s="237">
        <v>3495</v>
      </c>
      <c r="O815" s="237">
        <v>32264</v>
      </c>
      <c r="P815" s="237">
        <v>0</v>
      </c>
      <c r="Q815" s="236">
        <v>6645</v>
      </c>
      <c r="R815" s="237">
        <f t="shared" si="12"/>
        <v>55149</v>
      </c>
      <c r="S815" s="236"/>
      <c r="T815" s="237">
        <v>26662</v>
      </c>
      <c r="U815" s="238">
        <v>-1651</v>
      </c>
      <c r="V815" s="238">
        <v>25011</v>
      </c>
    </row>
    <row r="816" spans="1:22">
      <c r="A816" s="231">
        <v>99021</v>
      </c>
      <c r="B816" s="232" t="s">
        <v>1527</v>
      </c>
      <c r="C816" s="92">
        <v>1.3420000000000001E-4</v>
      </c>
      <c r="D816" s="92">
        <v>1.3990000000000001E-4</v>
      </c>
      <c r="E816" s="236">
        <v>57840.069999999992</v>
      </c>
      <c r="F816" s="236">
        <v>62786</v>
      </c>
      <c r="G816" s="236">
        <v>284817</v>
      </c>
      <c r="H816" s="236"/>
      <c r="I816" s="237">
        <v>5351</v>
      </c>
      <c r="J816" s="237">
        <v>249591</v>
      </c>
      <c r="K816" s="237">
        <v>19507</v>
      </c>
      <c r="L816" s="236">
        <v>5869</v>
      </c>
      <c r="M816" s="236"/>
      <c r="N816" s="237">
        <v>9980</v>
      </c>
      <c r="O816" s="237">
        <v>92123</v>
      </c>
      <c r="P816" s="237">
        <v>0</v>
      </c>
      <c r="Q816" s="236">
        <v>982</v>
      </c>
      <c r="R816" s="237">
        <f t="shared" si="12"/>
        <v>157468</v>
      </c>
      <c r="S816" s="236"/>
      <c r="T816" s="237">
        <v>76127</v>
      </c>
      <c r="U816" s="238">
        <v>1992</v>
      </c>
      <c r="V816" s="238">
        <v>78120</v>
      </c>
    </row>
    <row r="817" spans="1:22">
      <c r="A817" s="231">
        <v>99022</v>
      </c>
      <c r="B817" s="232" t="s">
        <v>211</v>
      </c>
      <c r="C817" s="92">
        <v>1.1800000000000001E-5</v>
      </c>
      <c r="D817" s="92">
        <v>1.33E-5</v>
      </c>
      <c r="E817" s="236">
        <v>10517.039999999999</v>
      </c>
      <c r="F817" s="236">
        <v>5969</v>
      </c>
      <c r="G817" s="236">
        <v>25044</v>
      </c>
      <c r="H817" s="236"/>
      <c r="I817" s="237">
        <v>471</v>
      </c>
      <c r="J817" s="237">
        <v>21946</v>
      </c>
      <c r="K817" s="237">
        <v>1715</v>
      </c>
      <c r="L817" s="236">
        <v>6383</v>
      </c>
      <c r="M817" s="236"/>
      <c r="N817" s="237">
        <v>878</v>
      </c>
      <c r="O817" s="237">
        <v>8100</v>
      </c>
      <c r="P817" s="237">
        <v>0</v>
      </c>
      <c r="Q817" s="236">
        <v>264.67</v>
      </c>
      <c r="R817" s="237">
        <f t="shared" si="12"/>
        <v>13846</v>
      </c>
      <c r="S817" s="236"/>
      <c r="T817" s="237">
        <v>6694</v>
      </c>
      <c r="U817" s="238">
        <v>1778</v>
      </c>
      <c r="V817" s="238">
        <v>8472</v>
      </c>
    </row>
    <row r="818" spans="1:22">
      <c r="A818" s="231">
        <v>99031</v>
      </c>
      <c r="B818" s="232" t="s">
        <v>1528</v>
      </c>
      <c r="C818" s="92">
        <v>1.5970000000000001E-4</v>
      </c>
      <c r="D818" s="92">
        <v>1.2860000000000001E-4</v>
      </c>
      <c r="E818" s="236">
        <v>49298.680000000008</v>
      </c>
      <c r="F818" s="236">
        <v>57715</v>
      </c>
      <c r="G818" s="236">
        <v>338937</v>
      </c>
      <c r="H818" s="236"/>
      <c r="I818" s="237">
        <v>6368</v>
      </c>
      <c r="J818" s="237">
        <v>297017</v>
      </c>
      <c r="K818" s="237">
        <v>23214</v>
      </c>
      <c r="L818" s="236">
        <v>3840</v>
      </c>
      <c r="M818" s="236"/>
      <c r="N818" s="237">
        <v>11877</v>
      </c>
      <c r="O818" s="237">
        <v>109627</v>
      </c>
      <c r="P818" s="237">
        <v>0</v>
      </c>
      <c r="Q818" s="236">
        <v>20151</v>
      </c>
      <c r="R818" s="237">
        <f t="shared" si="12"/>
        <v>187390</v>
      </c>
      <c r="S818" s="236"/>
      <c r="T818" s="237">
        <v>90593</v>
      </c>
      <c r="U818" s="238">
        <v>-8432</v>
      </c>
      <c r="V818" s="238">
        <v>82161</v>
      </c>
    </row>
    <row r="819" spans="1:22">
      <c r="A819" s="231">
        <v>99041</v>
      </c>
      <c r="B819" s="232" t="s">
        <v>1529</v>
      </c>
      <c r="C819" s="92">
        <v>5.6289999999999997E-4</v>
      </c>
      <c r="D819" s="92">
        <v>5.0670000000000001E-4</v>
      </c>
      <c r="E819" s="236">
        <v>202619.00999999998</v>
      </c>
      <c r="F819" s="236">
        <v>227404</v>
      </c>
      <c r="G819" s="236">
        <v>1194662</v>
      </c>
      <c r="H819" s="236"/>
      <c r="I819" s="237">
        <v>22446</v>
      </c>
      <c r="J819" s="237">
        <v>1046905</v>
      </c>
      <c r="K819" s="237">
        <v>81824</v>
      </c>
      <c r="L819" s="236">
        <v>59009</v>
      </c>
      <c r="M819" s="236"/>
      <c r="N819" s="237">
        <v>41862</v>
      </c>
      <c r="O819" s="237">
        <v>386407</v>
      </c>
      <c r="P819" s="237">
        <v>0</v>
      </c>
      <c r="Q819" s="236">
        <v>0</v>
      </c>
      <c r="R819" s="237">
        <f t="shared" si="12"/>
        <v>660498</v>
      </c>
      <c r="S819" s="236"/>
      <c r="T819" s="237">
        <v>319316</v>
      </c>
      <c r="U819" s="238">
        <v>24415</v>
      </c>
      <c r="V819" s="238">
        <v>343731</v>
      </c>
    </row>
    <row r="820" spans="1:22">
      <c r="A820" s="231">
        <v>99047</v>
      </c>
      <c r="B820" s="232" t="s">
        <v>1530</v>
      </c>
      <c r="C820" s="92">
        <v>9.2E-6</v>
      </c>
      <c r="D820" s="92">
        <v>1.19E-5</v>
      </c>
      <c r="E820" s="236">
        <v>6482.9800000000005</v>
      </c>
      <c r="F820" s="236">
        <v>5341</v>
      </c>
      <c r="G820" s="236">
        <v>19525</v>
      </c>
      <c r="H820" s="236"/>
      <c r="I820" s="237">
        <v>366.85</v>
      </c>
      <c r="J820" s="237">
        <v>17111</v>
      </c>
      <c r="K820" s="237">
        <v>1337</v>
      </c>
      <c r="L820" s="236">
        <v>3322</v>
      </c>
      <c r="M820" s="236"/>
      <c r="N820" s="237">
        <v>684</v>
      </c>
      <c r="O820" s="237">
        <v>6315</v>
      </c>
      <c r="P820" s="237">
        <v>0</v>
      </c>
      <c r="Q820" s="236">
        <v>0</v>
      </c>
      <c r="R820" s="237">
        <f t="shared" si="12"/>
        <v>10796</v>
      </c>
      <c r="S820" s="236"/>
      <c r="T820" s="237">
        <v>5219</v>
      </c>
      <c r="U820" s="238">
        <v>1258</v>
      </c>
      <c r="V820" s="238">
        <v>6477</v>
      </c>
    </row>
    <row r="821" spans="1:22">
      <c r="A821" s="231">
        <v>99051</v>
      </c>
      <c r="B821" s="232" t="s">
        <v>1531</v>
      </c>
      <c r="C821" s="92">
        <v>3.3349999999999997E-4</v>
      </c>
      <c r="D821" s="92">
        <v>2.8449999999999998E-4</v>
      </c>
      <c r="E821" s="236">
        <v>116232.29000000001</v>
      </c>
      <c r="F821" s="236">
        <v>127682</v>
      </c>
      <c r="G821" s="236">
        <v>707799</v>
      </c>
      <c r="H821" s="236"/>
      <c r="I821" s="237">
        <v>13298</v>
      </c>
      <c r="J821" s="237">
        <v>620257</v>
      </c>
      <c r="K821" s="237">
        <v>48478</v>
      </c>
      <c r="L821" s="236">
        <v>16843</v>
      </c>
      <c r="M821" s="236"/>
      <c r="N821" s="237">
        <v>24802</v>
      </c>
      <c r="O821" s="237">
        <v>228934</v>
      </c>
      <c r="P821" s="237">
        <v>0</v>
      </c>
      <c r="Q821" s="236">
        <v>0</v>
      </c>
      <c r="R821" s="237">
        <f t="shared" si="12"/>
        <v>391323</v>
      </c>
      <c r="S821" s="236"/>
      <c r="T821" s="237">
        <v>189184</v>
      </c>
      <c r="U821" s="238">
        <v>5410</v>
      </c>
      <c r="V821" s="238">
        <v>194594</v>
      </c>
    </row>
    <row r="822" spans="1:22">
      <c r="A822" s="231">
        <v>99061</v>
      </c>
      <c r="B822" s="232" t="s">
        <v>1532</v>
      </c>
      <c r="C822" s="92">
        <v>8.3999999999999992E-6</v>
      </c>
      <c r="D822" s="92">
        <v>8.8000000000000004E-6</v>
      </c>
      <c r="E822" s="236">
        <v>7400.82</v>
      </c>
      <c r="F822" s="236">
        <v>3949</v>
      </c>
      <c r="G822" s="236">
        <v>17828</v>
      </c>
      <c r="H822" s="236"/>
      <c r="I822" s="237">
        <v>334.95</v>
      </c>
      <c r="J822" s="237">
        <v>15623</v>
      </c>
      <c r="K822" s="237">
        <v>1221</v>
      </c>
      <c r="L822" s="236">
        <v>6023</v>
      </c>
      <c r="M822" s="236"/>
      <c r="N822" s="237">
        <v>625</v>
      </c>
      <c r="O822" s="237">
        <v>5766</v>
      </c>
      <c r="P822" s="237">
        <v>0</v>
      </c>
      <c r="Q822" s="236">
        <v>0</v>
      </c>
      <c r="R822" s="237">
        <f t="shared" si="12"/>
        <v>9857</v>
      </c>
      <c r="S822" s="236"/>
      <c r="T822" s="237">
        <v>4765</v>
      </c>
      <c r="U822" s="238">
        <v>1888</v>
      </c>
      <c r="V822" s="238">
        <v>6653</v>
      </c>
    </row>
    <row r="823" spans="1:22">
      <c r="A823" s="231">
        <v>99071</v>
      </c>
      <c r="B823" s="232" t="s">
        <v>1533</v>
      </c>
      <c r="C823" s="92">
        <v>3.0499999999999999E-5</v>
      </c>
      <c r="D823" s="92">
        <v>3.9799999999999998E-5</v>
      </c>
      <c r="E823" s="236">
        <v>18014.939999999995</v>
      </c>
      <c r="F823" s="236">
        <v>17862</v>
      </c>
      <c r="G823" s="236">
        <v>64731</v>
      </c>
      <c r="H823" s="236"/>
      <c r="I823" s="237">
        <v>1216.1875</v>
      </c>
      <c r="J823" s="237">
        <v>56725</v>
      </c>
      <c r="K823" s="237">
        <v>4434</v>
      </c>
      <c r="L823" s="236">
        <v>0</v>
      </c>
      <c r="M823" s="236"/>
      <c r="N823" s="237">
        <v>2268</v>
      </c>
      <c r="O823" s="237">
        <v>20937</v>
      </c>
      <c r="P823" s="237">
        <v>0</v>
      </c>
      <c r="Q823" s="236">
        <v>3405</v>
      </c>
      <c r="R823" s="237">
        <f t="shared" si="12"/>
        <v>35788</v>
      </c>
      <c r="S823" s="236"/>
      <c r="T823" s="237">
        <v>17302</v>
      </c>
      <c r="U823" s="238">
        <v>-1312</v>
      </c>
      <c r="V823" s="238">
        <v>15990</v>
      </c>
    </row>
    <row r="824" spans="1:22">
      <c r="A824" s="231">
        <v>99081</v>
      </c>
      <c r="B824" s="232" t="s">
        <v>1534</v>
      </c>
      <c r="C824" s="92">
        <v>2.9600000000000001E-5</v>
      </c>
      <c r="D824" s="92">
        <v>3.6999999999999998E-5</v>
      </c>
      <c r="E824" s="236">
        <v>11739.53</v>
      </c>
      <c r="F824" s="236">
        <v>16605</v>
      </c>
      <c r="G824" s="236">
        <v>62821</v>
      </c>
      <c r="H824" s="236"/>
      <c r="I824" s="237">
        <v>1180.3</v>
      </c>
      <c r="J824" s="237">
        <v>55051</v>
      </c>
      <c r="K824" s="237">
        <v>4303</v>
      </c>
      <c r="L824" s="236">
        <v>5558</v>
      </c>
      <c r="M824" s="236"/>
      <c r="N824" s="237">
        <v>2201</v>
      </c>
      <c r="O824" s="237">
        <v>20319</v>
      </c>
      <c r="P824" s="237">
        <v>0</v>
      </c>
      <c r="Q824" s="236">
        <v>7640</v>
      </c>
      <c r="R824" s="237">
        <f t="shared" si="12"/>
        <v>34732</v>
      </c>
      <c r="S824" s="236"/>
      <c r="T824" s="237">
        <v>16791</v>
      </c>
      <c r="U824" s="238">
        <v>-809</v>
      </c>
      <c r="V824" s="238">
        <v>15982</v>
      </c>
    </row>
    <row r="825" spans="1:22">
      <c r="A825" s="231">
        <v>99091</v>
      </c>
      <c r="B825" s="232" t="s">
        <v>1535</v>
      </c>
      <c r="C825" s="92">
        <v>4.1999999999999996E-6</v>
      </c>
      <c r="D825" s="92">
        <v>4.7999999999999998E-6</v>
      </c>
      <c r="E825" s="236">
        <v>4170.01</v>
      </c>
      <c r="F825" s="236">
        <v>2154</v>
      </c>
      <c r="G825" s="236">
        <v>8914</v>
      </c>
      <c r="H825" s="236"/>
      <c r="I825" s="237">
        <v>167.47499999999999</v>
      </c>
      <c r="J825" s="237">
        <v>7811</v>
      </c>
      <c r="K825" s="237">
        <v>611</v>
      </c>
      <c r="L825" s="236">
        <v>2618</v>
      </c>
      <c r="M825" s="236"/>
      <c r="N825" s="237">
        <v>312</v>
      </c>
      <c r="O825" s="237">
        <v>2883</v>
      </c>
      <c r="P825" s="237">
        <v>0</v>
      </c>
      <c r="Q825" s="236">
        <v>6497.35</v>
      </c>
      <c r="R825" s="237">
        <f t="shared" si="12"/>
        <v>4928</v>
      </c>
      <c r="S825" s="236"/>
      <c r="T825" s="237">
        <v>2383</v>
      </c>
      <c r="U825" s="238">
        <v>-2491</v>
      </c>
      <c r="V825" s="238">
        <v>-108</v>
      </c>
    </row>
    <row r="826" spans="1:22">
      <c r="A826" s="231">
        <v>99101</v>
      </c>
      <c r="B826" s="232" t="s">
        <v>1536</v>
      </c>
      <c r="C826" s="92">
        <v>2.0087999999999998E-3</v>
      </c>
      <c r="D826" s="92">
        <v>2.026E-3</v>
      </c>
      <c r="E826" s="236">
        <v>792557.39</v>
      </c>
      <c r="F826" s="236">
        <v>909257</v>
      </c>
      <c r="G826" s="236">
        <v>4263347</v>
      </c>
      <c r="H826" s="236"/>
      <c r="I826" s="237">
        <v>80101</v>
      </c>
      <c r="J826" s="237">
        <v>3736051</v>
      </c>
      <c r="K826" s="237">
        <v>292001</v>
      </c>
      <c r="L826" s="236">
        <v>7868</v>
      </c>
      <c r="M826" s="236"/>
      <c r="N826" s="237">
        <v>149392</v>
      </c>
      <c r="O826" s="237">
        <v>1378957</v>
      </c>
      <c r="P826" s="237">
        <v>0</v>
      </c>
      <c r="Q826" s="236">
        <v>72656</v>
      </c>
      <c r="R826" s="237">
        <f t="shared" si="12"/>
        <v>2357094</v>
      </c>
      <c r="S826" s="236"/>
      <c r="T826" s="237">
        <v>1139530</v>
      </c>
      <c r="U826" s="238">
        <v>-24965</v>
      </c>
      <c r="V826" s="238">
        <v>1114565</v>
      </c>
    </row>
    <row r="827" spans="1:22">
      <c r="A827" s="231">
        <v>99104</v>
      </c>
      <c r="B827" s="232" t="s">
        <v>1537</v>
      </c>
      <c r="C827" s="92">
        <v>3.4799999999999999E-5</v>
      </c>
      <c r="D827" s="92">
        <v>2.55E-5</v>
      </c>
      <c r="E827" s="236">
        <v>18414.219999999998</v>
      </c>
      <c r="F827" s="236">
        <v>11444</v>
      </c>
      <c r="G827" s="236">
        <v>73857</v>
      </c>
      <c r="H827" s="236"/>
      <c r="I827" s="237">
        <v>1388</v>
      </c>
      <c r="J827" s="237">
        <v>64723</v>
      </c>
      <c r="K827" s="237">
        <v>5059</v>
      </c>
      <c r="L827" s="236">
        <v>14979</v>
      </c>
      <c r="M827" s="236"/>
      <c r="N827" s="237">
        <v>2588</v>
      </c>
      <c r="O827" s="237">
        <v>23889</v>
      </c>
      <c r="P827" s="237">
        <v>0</v>
      </c>
      <c r="Q827" s="236">
        <v>0</v>
      </c>
      <c r="R827" s="237">
        <f t="shared" si="12"/>
        <v>40834</v>
      </c>
      <c r="S827" s="236"/>
      <c r="T827" s="237">
        <v>19741</v>
      </c>
      <c r="U827" s="238">
        <v>4886</v>
      </c>
      <c r="V827" s="238">
        <v>24627</v>
      </c>
    </row>
    <row r="828" spans="1:22">
      <c r="A828" s="231">
        <v>99109</v>
      </c>
      <c r="B828" s="232" t="s">
        <v>1538</v>
      </c>
      <c r="C828" s="92">
        <v>1.1849999999999999E-4</v>
      </c>
      <c r="D828" s="92">
        <v>1.4129999999999999E-4</v>
      </c>
      <c r="E828" s="236">
        <v>48014.54</v>
      </c>
      <c r="F828" s="236">
        <v>63415</v>
      </c>
      <c r="G828" s="236">
        <v>251497</v>
      </c>
      <c r="H828" s="236"/>
      <c r="I828" s="237">
        <v>4725.1875</v>
      </c>
      <c r="J828" s="237">
        <v>220391</v>
      </c>
      <c r="K828" s="237">
        <v>17225</v>
      </c>
      <c r="L828" s="236">
        <v>5297</v>
      </c>
      <c r="M828" s="236"/>
      <c r="N828" s="237">
        <v>8813</v>
      </c>
      <c r="O828" s="237">
        <v>81345</v>
      </c>
      <c r="P828" s="237">
        <v>0</v>
      </c>
      <c r="Q828" s="236">
        <v>22236</v>
      </c>
      <c r="R828" s="237">
        <f t="shared" si="12"/>
        <v>139046</v>
      </c>
      <c r="S828" s="236"/>
      <c r="T828" s="237">
        <v>67221</v>
      </c>
      <c r="U828" s="238">
        <v>-6150</v>
      </c>
      <c r="V828" s="238">
        <v>61071</v>
      </c>
    </row>
    <row r="829" spans="1:22">
      <c r="A829" s="231">
        <v>99110</v>
      </c>
      <c r="B829" s="232" t="s">
        <v>1539</v>
      </c>
      <c r="C829" s="92">
        <v>1.8369999999999999E-4</v>
      </c>
      <c r="D829" s="92">
        <v>1.728E-4</v>
      </c>
      <c r="E829" s="236">
        <v>101917.56000000001</v>
      </c>
      <c r="F829" s="236">
        <v>77552</v>
      </c>
      <c r="G829" s="236">
        <v>389873</v>
      </c>
      <c r="H829" s="236"/>
      <c r="I829" s="237">
        <v>7325</v>
      </c>
      <c r="J829" s="237">
        <v>341653</v>
      </c>
      <c r="K829" s="237">
        <v>26703</v>
      </c>
      <c r="L829" s="236">
        <v>63672</v>
      </c>
      <c r="M829" s="236"/>
      <c r="N829" s="237">
        <v>13662</v>
      </c>
      <c r="O829" s="237">
        <v>126102</v>
      </c>
      <c r="P829" s="237">
        <v>0</v>
      </c>
      <c r="Q829" s="236">
        <v>0</v>
      </c>
      <c r="R829" s="237">
        <f t="shared" si="12"/>
        <v>215551</v>
      </c>
      <c r="S829" s="236"/>
      <c r="T829" s="237">
        <v>104207</v>
      </c>
      <c r="U829" s="238">
        <v>21007</v>
      </c>
      <c r="V829" s="238">
        <v>125214</v>
      </c>
    </row>
    <row r="830" spans="1:22">
      <c r="A830" s="231">
        <v>99111</v>
      </c>
      <c r="B830" s="232" t="s">
        <v>1540</v>
      </c>
      <c r="C830" s="92">
        <v>1.2757000000000001E-3</v>
      </c>
      <c r="D830" s="92">
        <v>1.3278000000000001E-3</v>
      </c>
      <c r="E830" s="236">
        <v>486450.51999999996</v>
      </c>
      <c r="F830" s="236">
        <v>595909</v>
      </c>
      <c r="G830" s="236">
        <v>2707463</v>
      </c>
      <c r="H830" s="236"/>
      <c r="I830" s="237">
        <v>50869</v>
      </c>
      <c r="J830" s="237">
        <v>2372600</v>
      </c>
      <c r="K830" s="237">
        <v>185437</v>
      </c>
      <c r="L830" s="236">
        <v>0</v>
      </c>
      <c r="M830" s="236"/>
      <c r="N830" s="237">
        <v>94873</v>
      </c>
      <c r="O830" s="237">
        <v>875714</v>
      </c>
      <c r="P830" s="237">
        <v>0</v>
      </c>
      <c r="Q830" s="236">
        <v>165116</v>
      </c>
      <c r="R830" s="237">
        <f t="shared" si="12"/>
        <v>1496886</v>
      </c>
      <c r="S830" s="236"/>
      <c r="T830" s="237">
        <v>723665</v>
      </c>
      <c r="U830" s="238">
        <v>-59086</v>
      </c>
      <c r="V830" s="238">
        <v>664579</v>
      </c>
    </row>
    <row r="831" spans="1:22">
      <c r="A831" s="231">
        <v>99201</v>
      </c>
      <c r="B831" s="232" t="s">
        <v>1541</v>
      </c>
      <c r="C831" s="92">
        <v>3.22145E-2</v>
      </c>
      <c r="D831" s="92">
        <v>3.0831399999999998E-2</v>
      </c>
      <c r="E831" s="236">
        <v>12898805.330000002</v>
      </c>
      <c r="F831" s="236">
        <v>13836947</v>
      </c>
      <c r="G831" s="236">
        <v>68369961</v>
      </c>
      <c r="H831" s="236"/>
      <c r="I831" s="237">
        <v>1284553</v>
      </c>
      <c r="J831" s="237">
        <v>59913880</v>
      </c>
      <c r="K831" s="237">
        <v>4682732</v>
      </c>
      <c r="L831" s="236">
        <v>1101849</v>
      </c>
      <c r="M831" s="236"/>
      <c r="N831" s="237">
        <v>2395760</v>
      </c>
      <c r="O831" s="237">
        <v>22113901</v>
      </c>
      <c r="P831" s="237">
        <v>0</v>
      </c>
      <c r="Q831" s="236">
        <v>485474</v>
      </c>
      <c r="R831" s="237">
        <f t="shared" si="12"/>
        <v>37799979</v>
      </c>
      <c r="S831" s="236"/>
      <c r="T831" s="237">
        <v>18274287</v>
      </c>
      <c r="U831" s="238">
        <v>101682</v>
      </c>
      <c r="V831" s="238">
        <v>18375969</v>
      </c>
    </row>
    <row r="832" spans="1:22">
      <c r="A832" s="231">
        <v>99202</v>
      </c>
      <c r="B832" s="232" t="s">
        <v>1542</v>
      </c>
      <c r="C832" s="92">
        <v>2.5138000000000001E-3</v>
      </c>
      <c r="D832" s="92">
        <v>2.6002999999999998E-3</v>
      </c>
      <c r="E832" s="236">
        <v>915265.74000000011</v>
      </c>
      <c r="F832" s="236">
        <v>1166999</v>
      </c>
      <c r="G832" s="236">
        <v>5335126</v>
      </c>
      <c r="H832" s="236"/>
      <c r="I832" s="237">
        <v>100238</v>
      </c>
      <c r="J832" s="237">
        <v>4675271</v>
      </c>
      <c r="K832" s="237">
        <v>365408</v>
      </c>
      <c r="L832" s="236">
        <v>0</v>
      </c>
      <c r="M832" s="236"/>
      <c r="N832" s="237">
        <v>186949</v>
      </c>
      <c r="O832" s="237">
        <v>1725618</v>
      </c>
      <c r="P832" s="237">
        <v>0</v>
      </c>
      <c r="Q832" s="236">
        <v>202410</v>
      </c>
      <c r="R832" s="237">
        <f t="shared" si="12"/>
        <v>2949653</v>
      </c>
      <c r="S832" s="236"/>
      <c r="T832" s="237">
        <v>1426001</v>
      </c>
      <c r="U832" s="238">
        <v>-62123</v>
      </c>
      <c r="V832" s="238">
        <v>1363878</v>
      </c>
    </row>
    <row r="833" spans="1:22">
      <c r="A833" s="231">
        <v>99203</v>
      </c>
      <c r="B833" s="232" t="s">
        <v>1543</v>
      </c>
      <c r="C833" s="92">
        <v>3.1990000000000002E-4</v>
      </c>
      <c r="D833" s="92">
        <v>2.5050000000000002E-4</v>
      </c>
      <c r="E833" s="236">
        <v>105117.04000000001</v>
      </c>
      <c r="F833" s="236">
        <v>112423</v>
      </c>
      <c r="G833" s="236">
        <v>678935</v>
      </c>
      <c r="H833" s="236"/>
      <c r="I833" s="237">
        <v>12756</v>
      </c>
      <c r="J833" s="237">
        <v>594963</v>
      </c>
      <c r="K833" s="237">
        <v>46501</v>
      </c>
      <c r="L833" s="236">
        <v>40829</v>
      </c>
      <c r="M833" s="236"/>
      <c r="N833" s="237">
        <v>23791</v>
      </c>
      <c r="O833" s="237">
        <v>219598</v>
      </c>
      <c r="P833" s="237">
        <v>0</v>
      </c>
      <c r="Q833" s="236">
        <v>0</v>
      </c>
      <c r="R833" s="237">
        <f t="shared" si="12"/>
        <v>375365</v>
      </c>
      <c r="S833" s="236"/>
      <c r="T833" s="237">
        <v>181469</v>
      </c>
      <c r="U833" s="238">
        <v>16396</v>
      </c>
      <c r="V833" s="238">
        <v>197865</v>
      </c>
    </row>
    <row r="834" spans="1:22">
      <c r="A834" s="231">
        <v>99204</v>
      </c>
      <c r="B834" s="232" t="s">
        <v>1544</v>
      </c>
      <c r="C834" s="92">
        <v>7.4910000000000005E-4</v>
      </c>
      <c r="D834" s="92">
        <v>6.5600000000000001E-4</v>
      </c>
      <c r="E834" s="236">
        <v>316209.94</v>
      </c>
      <c r="F834" s="236">
        <v>294409</v>
      </c>
      <c r="G834" s="236">
        <v>1589841</v>
      </c>
      <c r="H834" s="236"/>
      <c r="I834" s="237">
        <v>29870</v>
      </c>
      <c r="J834" s="237">
        <v>1393208</v>
      </c>
      <c r="K834" s="237">
        <v>108890</v>
      </c>
      <c r="L834" s="236">
        <v>82158</v>
      </c>
      <c r="M834" s="236"/>
      <c r="N834" s="237">
        <v>55710</v>
      </c>
      <c r="O834" s="237">
        <v>514226</v>
      </c>
      <c r="P834" s="237">
        <v>0</v>
      </c>
      <c r="Q834" s="236">
        <v>0</v>
      </c>
      <c r="R834" s="237">
        <f t="shared" si="12"/>
        <v>878982</v>
      </c>
      <c r="S834" s="236"/>
      <c r="T834" s="237">
        <v>424941</v>
      </c>
      <c r="U834" s="238">
        <v>24836</v>
      </c>
      <c r="V834" s="238">
        <v>449777</v>
      </c>
    </row>
    <row r="835" spans="1:22">
      <c r="A835" s="231">
        <v>99206</v>
      </c>
      <c r="B835" s="232" t="s">
        <v>1545</v>
      </c>
      <c r="C835" s="92">
        <v>1.6665E-3</v>
      </c>
      <c r="D835" s="92">
        <v>1.9373999999999999E-3</v>
      </c>
      <c r="E835" s="236">
        <v>1101168.54</v>
      </c>
      <c r="F835" s="236">
        <v>869493</v>
      </c>
      <c r="G835" s="236">
        <v>3536871</v>
      </c>
      <c r="H835" s="236"/>
      <c r="I835" s="237">
        <v>66452</v>
      </c>
      <c r="J835" s="237">
        <v>3099427</v>
      </c>
      <c r="K835" s="237">
        <v>242244</v>
      </c>
      <c r="L835" s="236">
        <v>400880</v>
      </c>
      <c r="M835" s="236"/>
      <c r="N835" s="237">
        <v>123936</v>
      </c>
      <c r="O835" s="237">
        <v>1143982</v>
      </c>
      <c r="P835" s="237">
        <v>0</v>
      </c>
      <c r="Q835" s="236">
        <v>13550</v>
      </c>
      <c r="R835" s="237">
        <f t="shared" si="12"/>
        <v>1955445</v>
      </c>
      <c r="S835" s="236"/>
      <c r="T835" s="237">
        <v>945354</v>
      </c>
      <c r="U835" s="238">
        <v>117813</v>
      </c>
      <c r="V835" s="238">
        <v>1063167</v>
      </c>
    </row>
    <row r="836" spans="1:22">
      <c r="A836" s="231">
        <v>99207</v>
      </c>
      <c r="B836" s="232" t="s">
        <v>1947</v>
      </c>
      <c r="C836" s="92">
        <v>1.3430000000000001E-4</v>
      </c>
      <c r="D836" s="92">
        <v>1.4320000000000001E-4</v>
      </c>
      <c r="E836" s="236">
        <v>122929.82</v>
      </c>
      <c r="F836" s="236">
        <v>64267</v>
      </c>
      <c r="G836" s="236">
        <v>285030</v>
      </c>
      <c r="H836" s="236"/>
      <c r="I836" s="237">
        <v>5355</v>
      </c>
      <c r="J836" s="237">
        <v>249777</v>
      </c>
      <c r="K836" s="237">
        <v>19522</v>
      </c>
      <c r="L836" s="236">
        <v>79584</v>
      </c>
      <c r="M836" s="236"/>
      <c r="N836" s="237">
        <v>9988</v>
      </c>
      <c r="O836" s="237">
        <v>92191</v>
      </c>
      <c r="P836" s="237">
        <v>0</v>
      </c>
      <c r="Q836" s="236">
        <v>0</v>
      </c>
      <c r="R836" s="237">
        <f t="shared" si="12"/>
        <v>157586</v>
      </c>
      <c r="S836" s="236"/>
      <c r="T836" s="237">
        <v>76184</v>
      </c>
      <c r="U836" s="238">
        <v>24293</v>
      </c>
      <c r="V836" s="238">
        <v>100477</v>
      </c>
    </row>
    <row r="837" spans="1:22">
      <c r="A837" s="231">
        <v>99208</v>
      </c>
      <c r="B837" s="232" t="s">
        <v>1547</v>
      </c>
      <c r="C837" s="92">
        <v>1.3669999999999999E-4</v>
      </c>
      <c r="D837" s="92">
        <v>1.774E-4</v>
      </c>
      <c r="E837" s="236">
        <v>46839.619999999995</v>
      </c>
      <c r="F837" s="236">
        <v>79616</v>
      </c>
      <c r="G837" s="236">
        <v>290123</v>
      </c>
      <c r="H837" s="236"/>
      <c r="I837" s="237">
        <v>5451</v>
      </c>
      <c r="J837" s="237">
        <v>254240</v>
      </c>
      <c r="K837" s="237">
        <v>19871</v>
      </c>
      <c r="L837" s="236">
        <v>0</v>
      </c>
      <c r="M837" s="236"/>
      <c r="N837" s="237">
        <v>10166</v>
      </c>
      <c r="O837" s="237">
        <v>93839</v>
      </c>
      <c r="P837" s="237">
        <v>0</v>
      </c>
      <c r="Q837" s="236">
        <v>57522</v>
      </c>
      <c r="R837" s="237">
        <f t="shared" si="12"/>
        <v>160401</v>
      </c>
      <c r="S837" s="236"/>
      <c r="T837" s="237">
        <v>77546</v>
      </c>
      <c r="U837" s="238">
        <v>-20235</v>
      </c>
      <c r="V837" s="238">
        <v>57311</v>
      </c>
    </row>
    <row r="838" spans="1:22">
      <c r="A838" s="231">
        <v>99210</v>
      </c>
      <c r="B838" s="232" t="s">
        <v>1548</v>
      </c>
      <c r="C838" s="92">
        <v>1.5945E-3</v>
      </c>
      <c r="D838" s="92">
        <v>1.6262E-3</v>
      </c>
      <c r="E838" s="236">
        <v>706575.50999999989</v>
      </c>
      <c r="F838" s="236">
        <v>729829</v>
      </c>
      <c r="G838" s="236">
        <v>3384063</v>
      </c>
      <c r="H838" s="236"/>
      <c r="I838" s="237">
        <v>63581</v>
      </c>
      <c r="J838" s="237">
        <v>2965518</v>
      </c>
      <c r="K838" s="237">
        <v>231778</v>
      </c>
      <c r="L838" s="236">
        <v>80869</v>
      </c>
      <c r="M838" s="236"/>
      <c r="N838" s="237">
        <v>118581</v>
      </c>
      <c r="O838" s="237">
        <v>1094557</v>
      </c>
      <c r="P838" s="237">
        <v>0</v>
      </c>
      <c r="Q838" s="236">
        <v>0</v>
      </c>
      <c r="R838" s="237">
        <f t="shared" si="12"/>
        <v>1870961</v>
      </c>
      <c r="S838" s="236"/>
      <c r="T838" s="237">
        <v>904510</v>
      </c>
      <c r="U838" s="238">
        <v>27611</v>
      </c>
      <c r="V838" s="238">
        <v>932122</v>
      </c>
    </row>
    <row r="839" spans="1:22">
      <c r="A839" s="231">
        <v>99211</v>
      </c>
      <c r="B839" s="232" t="s">
        <v>1549</v>
      </c>
      <c r="C839" s="92">
        <v>3.8233999999999997E-2</v>
      </c>
      <c r="D839" s="92">
        <v>3.7564199999999999E-2</v>
      </c>
      <c r="E839" s="236">
        <v>14152947.149999999</v>
      </c>
      <c r="F839" s="236">
        <v>16858588</v>
      </c>
      <c r="G839" s="236">
        <v>81145356</v>
      </c>
      <c r="H839" s="236"/>
      <c r="I839" s="237">
        <v>1524580.75</v>
      </c>
      <c r="J839" s="237">
        <v>71109199</v>
      </c>
      <c r="K839" s="237">
        <v>5557732</v>
      </c>
      <c r="L839" s="236">
        <v>0</v>
      </c>
      <c r="M839" s="236"/>
      <c r="N839" s="237">
        <v>2843424</v>
      </c>
      <c r="O839" s="237">
        <v>26246035</v>
      </c>
      <c r="P839" s="237">
        <v>0</v>
      </c>
      <c r="Q839" s="236">
        <v>1538962</v>
      </c>
      <c r="R839" s="237">
        <f t="shared" si="12"/>
        <v>44863164</v>
      </c>
      <c r="S839" s="236"/>
      <c r="T839" s="237">
        <v>21688963</v>
      </c>
      <c r="U839" s="238">
        <v>-519725</v>
      </c>
      <c r="V839" s="238">
        <v>21169238</v>
      </c>
    </row>
    <row r="840" spans="1:22">
      <c r="A840" s="231">
        <v>99212</v>
      </c>
      <c r="B840" s="232" t="s">
        <v>1550</v>
      </c>
      <c r="C840" s="92">
        <v>7.4400000000000006E-5</v>
      </c>
      <c r="D840" s="92">
        <v>1.2750000000000001E-4</v>
      </c>
      <c r="E840" s="236">
        <v>26346.03</v>
      </c>
      <c r="F840" s="236">
        <v>57221</v>
      </c>
      <c r="G840" s="236">
        <v>157902</v>
      </c>
      <c r="H840" s="236"/>
      <c r="I840" s="237">
        <v>2967</v>
      </c>
      <c r="J840" s="237">
        <v>138372</v>
      </c>
      <c r="K840" s="237">
        <v>10815</v>
      </c>
      <c r="L840" s="236">
        <v>0</v>
      </c>
      <c r="M840" s="236"/>
      <c r="N840" s="237">
        <v>5533</v>
      </c>
      <c r="O840" s="237">
        <v>51072</v>
      </c>
      <c r="P840" s="237">
        <v>0</v>
      </c>
      <c r="Q840" s="236">
        <v>49365</v>
      </c>
      <c r="R840" s="237">
        <f t="shared" si="12"/>
        <v>87300</v>
      </c>
      <c r="S840" s="236"/>
      <c r="T840" s="237">
        <v>42205</v>
      </c>
      <c r="U840" s="238">
        <v>-15321</v>
      </c>
      <c r="V840" s="238">
        <v>26884</v>
      </c>
    </row>
    <row r="841" spans="1:22">
      <c r="A841" s="231">
        <v>99213</v>
      </c>
      <c r="B841" s="232" t="s">
        <v>1551</v>
      </c>
      <c r="C841" s="92">
        <v>8.0730000000000005E-4</v>
      </c>
      <c r="D841" s="92">
        <v>8.3339999999999998E-4</v>
      </c>
      <c r="E841" s="236">
        <v>326034.78000000003</v>
      </c>
      <c r="F841" s="236">
        <v>374025</v>
      </c>
      <c r="G841" s="236">
        <v>1713361</v>
      </c>
      <c r="H841" s="236"/>
      <c r="I841" s="237">
        <v>32191</v>
      </c>
      <c r="J841" s="237">
        <v>1501450</v>
      </c>
      <c r="K841" s="237">
        <v>117350</v>
      </c>
      <c r="L841" s="236">
        <v>9384</v>
      </c>
      <c r="M841" s="236"/>
      <c r="N841" s="237">
        <v>60038</v>
      </c>
      <c r="O841" s="237">
        <v>554178</v>
      </c>
      <c r="P841" s="237">
        <v>0</v>
      </c>
      <c r="Q841" s="236">
        <v>21194</v>
      </c>
      <c r="R841" s="237">
        <f t="shared" ref="R841:R904" si="13">IF(J841&gt;O841,J841-O841,O841-J841)</f>
        <v>947272</v>
      </c>
      <c r="S841" s="236"/>
      <c r="T841" s="237">
        <v>457956</v>
      </c>
      <c r="U841" s="238">
        <v>-2728</v>
      </c>
      <c r="V841" s="238">
        <v>455228</v>
      </c>
    </row>
    <row r="842" spans="1:22">
      <c r="A842" s="231">
        <v>99218</v>
      </c>
      <c r="B842" s="232" t="s">
        <v>1552</v>
      </c>
      <c r="C842" s="92">
        <v>3.1227999999999998E-3</v>
      </c>
      <c r="D842" s="92">
        <v>2.8506999999999998E-3</v>
      </c>
      <c r="E842" s="236">
        <v>1270452.44</v>
      </c>
      <c r="F842" s="236">
        <v>1279377</v>
      </c>
      <c r="G842" s="236">
        <v>6627628</v>
      </c>
      <c r="H842" s="236"/>
      <c r="I842" s="237">
        <v>124521.65</v>
      </c>
      <c r="J842" s="237">
        <v>5807915</v>
      </c>
      <c r="K842" s="237">
        <v>453933</v>
      </c>
      <c r="L842" s="236">
        <v>189764</v>
      </c>
      <c r="M842" s="236"/>
      <c r="N842" s="237">
        <v>232240</v>
      </c>
      <c r="O842" s="237">
        <v>2143671</v>
      </c>
      <c r="P842" s="237">
        <v>0</v>
      </c>
      <c r="Q842" s="236">
        <v>0</v>
      </c>
      <c r="R842" s="237">
        <f t="shared" si="13"/>
        <v>3664244</v>
      </c>
      <c r="S842" s="236"/>
      <c r="T842" s="237">
        <v>1771468</v>
      </c>
      <c r="U842" s="238">
        <v>55483</v>
      </c>
      <c r="V842" s="238">
        <v>1826951</v>
      </c>
    </row>
    <row r="843" spans="1:22">
      <c r="A843" s="231">
        <v>99221</v>
      </c>
      <c r="B843" s="232" t="s">
        <v>1553</v>
      </c>
      <c r="C843" s="92">
        <v>1.3092700000000001E-2</v>
      </c>
      <c r="D843" s="92">
        <v>1.33233E-2</v>
      </c>
      <c r="E843" s="236">
        <v>4943527.5200000005</v>
      </c>
      <c r="F843" s="236">
        <v>5979417</v>
      </c>
      <c r="G843" s="236">
        <v>27787095</v>
      </c>
      <c r="H843" s="236"/>
      <c r="I843" s="237">
        <v>522071</v>
      </c>
      <c r="J843" s="237">
        <v>24350353</v>
      </c>
      <c r="K843" s="237">
        <v>1903168</v>
      </c>
      <c r="L843" s="236">
        <v>0</v>
      </c>
      <c r="M843" s="236"/>
      <c r="N843" s="237">
        <v>973691</v>
      </c>
      <c r="O843" s="237">
        <v>8987589</v>
      </c>
      <c r="P843" s="237">
        <v>0</v>
      </c>
      <c r="Q843" s="236">
        <v>703621</v>
      </c>
      <c r="R843" s="237">
        <f t="shared" si="13"/>
        <v>15362764</v>
      </c>
      <c r="S843" s="236"/>
      <c r="T843" s="237">
        <v>7427083</v>
      </c>
      <c r="U843" s="238">
        <v>-220701</v>
      </c>
      <c r="V843" s="238">
        <v>7206381</v>
      </c>
    </row>
    <row r="844" spans="1:22">
      <c r="A844" s="231">
        <v>99222</v>
      </c>
      <c r="B844" s="232" t="s">
        <v>1554</v>
      </c>
      <c r="C844" s="92">
        <v>4.0099999999999999E-5</v>
      </c>
      <c r="D844" s="92">
        <v>3.82E-5</v>
      </c>
      <c r="E844" s="236">
        <v>13646.550000000001</v>
      </c>
      <c r="F844" s="236">
        <v>17144</v>
      </c>
      <c r="G844" s="236">
        <v>85106</v>
      </c>
      <c r="H844" s="236"/>
      <c r="I844" s="237">
        <v>1599</v>
      </c>
      <c r="J844" s="237">
        <v>74580</v>
      </c>
      <c r="K844" s="237">
        <v>5829</v>
      </c>
      <c r="L844" s="236">
        <v>3575</v>
      </c>
      <c r="M844" s="236"/>
      <c r="N844" s="237">
        <v>2982</v>
      </c>
      <c r="O844" s="237">
        <v>27527</v>
      </c>
      <c r="P844" s="237">
        <v>0</v>
      </c>
      <c r="Q844" s="236">
        <v>1230</v>
      </c>
      <c r="R844" s="237">
        <f t="shared" si="13"/>
        <v>47053</v>
      </c>
      <c r="S844" s="236"/>
      <c r="T844" s="237">
        <v>22747</v>
      </c>
      <c r="U844" s="238">
        <v>949</v>
      </c>
      <c r="V844" s="238">
        <v>23697</v>
      </c>
    </row>
    <row r="845" spans="1:22">
      <c r="A845" s="231">
        <v>99231</v>
      </c>
      <c r="B845" s="232" t="s">
        <v>1555</v>
      </c>
      <c r="C845" s="92">
        <v>3.7869999999999999E-4</v>
      </c>
      <c r="D845" s="92">
        <v>3.7139999999999997E-4</v>
      </c>
      <c r="E845" s="236">
        <v>142098.15</v>
      </c>
      <c r="F845" s="236">
        <v>166682</v>
      </c>
      <c r="G845" s="236">
        <v>803728</v>
      </c>
      <c r="H845" s="236"/>
      <c r="I845" s="237">
        <v>15101</v>
      </c>
      <c r="J845" s="237">
        <v>704322</v>
      </c>
      <c r="K845" s="237">
        <v>55048</v>
      </c>
      <c r="L845" s="236">
        <v>0</v>
      </c>
      <c r="M845" s="236"/>
      <c r="N845" s="237">
        <v>28164</v>
      </c>
      <c r="O845" s="237">
        <v>259962</v>
      </c>
      <c r="P845" s="237">
        <v>0</v>
      </c>
      <c r="Q845" s="236">
        <v>27202</v>
      </c>
      <c r="R845" s="237">
        <f t="shared" si="13"/>
        <v>444360</v>
      </c>
      <c r="S845" s="236"/>
      <c r="T845" s="237">
        <v>214825</v>
      </c>
      <c r="U845" s="238">
        <v>-11082</v>
      </c>
      <c r="V845" s="238">
        <v>203743</v>
      </c>
    </row>
    <row r="846" spans="1:22">
      <c r="A846" s="231">
        <v>99241</v>
      </c>
      <c r="B846" s="232" t="s">
        <v>1556</v>
      </c>
      <c r="C846" s="92">
        <v>5.6039999999999996E-4</v>
      </c>
      <c r="D846" s="92">
        <v>5.9259999999999998E-4</v>
      </c>
      <c r="E846" s="236">
        <v>196948.58000000002</v>
      </c>
      <c r="F846" s="236">
        <v>265955</v>
      </c>
      <c r="G846" s="236">
        <v>1189357</v>
      </c>
      <c r="H846" s="236"/>
      <c r="I846" s="237">
        <v>22346</v>
      </c>
      <c r="J846" s="237">
        <v>1042255</v>
      </c>
      <c r="K846" s="237">
        <v>81460</v>
      </c>
      <c r="L846" s="236">
        <v>0</v>
      </c>
      <c r="M846" s="236"/>
      <c r="N846" s="237">
        <v>41676</v>
      </c>
      <c r="O846" s="237">
        <v>384691</v>
      </c>
      <c r="P846" s="237">
        <v>0</v>
      </c>
      <c r="Q846" s="236">
        <v>122254</v>
      </c>
      <c r="R846" s="237">
        <f t="shared" si="13"/>
        <v>657564</v>
      </c>
      <c r="S846" s="236"/>
      <c r="T846" s="237">
        <v>317898</v>
      </c>
      <c r="U846" s="238">
        <v>-45505</v>
      </c>
      <c r="V846" s="238">
        <v>272393</v>
      </c>
    </row>
    <row r="847" spans="1:22">
      <c r="A847" s="231">
        <v>99251</v>
      </c>
      <c r="B847" s="232" t="s">
        <v>1557</v>
      </c>
      <c r="C847" s="92">
        <v>1.6521000000000001E-3</v>
      </c>
      <c r="D847" s="92">
        <v>1.598E-3</v>
      </c>
      <c r="E847" s="236">
        <v>644905.39999999991</v>
      </c>
      <c r="F847" s="236">
        <v>717173</v>
      </c>
      <c r="G847" s="236">
        <v>3506310</v>
      </c>
      <c r="H847" s="236"/>
      <c r="I847" s="237">
        <v>65877</v>
      </c>
      <c r="J847" s="237">
        <v>3072645</v>
      </c>
      <c r="K847" s="237">
        <v>240151</v>
      </c>
      <c r="L847" s="236">
        <v>3992</v>
      </c>
      <c r="M847" s="236"/>
      <c r="N847" s="237">
        <v>122865</v>
      </c>
      <c r="O847" s="237">
        <v>1134097</v>
      </c>
      <c r="P847" s="237">
        <v>0</v>
      </c>
      <c r="Q847" s="236">
        <v>14191</v>
      </c>
      <c r="R847" s="237">
        <f t="shared" si="13"/>
        <v>1938548</v>
      </c>
      <c r="S847" s="236"/>
      <c r="T847" s="237">
        <v>937185</v>
      </c>
      <c r="U847" s="238">
        <v>-5897</v>
      </c>
      <c r="V847" s="238">
        <v>931288</v>
      </c>
    </row>
    <row r="848" spans="1:22">
      <c r="A848" s="231">
        <v>99252</v>
      </c>
      <c r="B848" s="232" t="s">
        <v>1558</v>
      </c>
      <c r="C848" s="92">
        <v>5.8279999999999996E-4</v>
      </c>
      <c r="D848" s="92">
        <v>7.4010000000000005E-4</v>
      </c>
      <c r="E848" s="236">
        <v>174600.46999999997</v>
      </c>
      <c r="F848" s="236">
        <v>332152</v>
      </c>
      <c r="G848" s="236">
        <v>1236897</v>
      </c>
      <c r="H848" s="236"/>
      <c r="I848" s="237">
        <v>23239</v>
      </c>
      <c r="J848" s="237">
        <v>1083916</v>
      </c>
      <c r="K848" s="237">
        <v>84716</v>
      </c>
      <c r="L848" s="236">
        <v>0</v>
      </c>
      <c r="M848" s="236"/>
      <c r="N848" s="237">
        <v>43342</v>
      </c>
      <c r="O848" s="237">
        <v>400068</v>
      </c>
      <c r="P848" s="237">
        <v>0</v>
      </c>
      <c r="Q848" s="236">
        <v>244190</v>
      </c>
      <c r="R848" s="237">
        <f t="shared" si="13"/>
        <v>683848</v>
      </c>
      <c r="S848" s="236"/>
      <c r="T848" s="237">
        <v>330604</v>
      </c>
      <c r="U848" s="238">
        <v>-77201</v>
      </c>
      <c r="V848" s="238">
        <v>253403</v>
      </c>
    </row>
    <row r="849" spans="1:22">
      <c r="A849" s="231">
        <v>99261</v>
      </c>
      <c r="B849" s="232" t="s">
        <v>1559</v>
      </c>
      <c r="C849" s="92">
        <v>1.9145E-3</v>
      </c>
      <c r="D849" s="92">
        <v>1.8552E-3</v>
      </c>
      <c r="E849" s="236">
        <v>638819.42000000004</v>
      </c>
      <c r="F849" s="236">
        <v>832603</v>
      </c>
      <c r="G849" s="236">
        <v>4063210</v>
      </c>
      <c r="H849" s="236"/>
      <c r="I849" s="237">
        <v>76341</v>
      </c>
      <c r="J849" s="237">
        <v>3560668</v>
      </c>
      <c r="K849" s="237">
        <v>278294</v>
      </c>
      <c r="L849" s="236">
        <v>0</v>
      </c>
      <c r="M849" s="236"/>
      <c r="N849" s="237">
        <v>142379</v>
      </c>
      <c r="O849" s="237">
        <v>1314224</v>
      </c>
      <c r="P849" s="237">
        <v>0</v>
      </c>
      <c r="Q849" s="236">
        <v>177810</v>
      </c>
      <c r="R849" s="237">
        <f t="shared" si="13"/>
        <v>2246444</v>
      </c>
      <c r="S849" s="236"/>
      <c r="T849" s="237">
        <v>1086037</v>
      </c>
      <c r="U849" s="238">
        <v>-61359</v>
      </c>
      <c r="V849" s="238">
        <v>1024677</v>
      </c>
    </row>
    <row r="850" spans="1:22">
      <c r="A850" s="231">
        <v>99271</v>
      </c>
      <c r="B850" s="232" t="s">
        <v>1560</v>
      </c>
      <c r="C850" s="92">
        <v>3.9248E-3</v>
      </c>
      <c r="D850" s="92">
        <v>3.9693000000000003E-3</v>
      </c>
      <c r="E850" s="236">
        <v>1483973.83</v>
      </c>
      <c r="F850" s="236">
        <v>1781398</v>
      </c>
      <c r="G850" s="236">
        <v>8329740</v>
      </c>
      <c r="H850" s="236"/>
      <c r="I850" s="237">
        <v>156501.4</v>
      </c>
      <c r="J850" s="237">
        <v>7299508</v>
      </c>
      <c r="K850" s="237">
        <v>570513</v>
      </c>
      <c r="L850" s="236">
        <v>0</v>
      </c>
      <c r="M850" s="236"/>
      <c r="N850" s="237">
        <v>291883</v>
      </c>
      <c r="O850" s="237">
        <v>2694210</v>
      </c>
      <c r="P850" s="237">
        <v>0</v>
      </c>
      <c r="Q850" s="236">
        <v>151650</v>
      </c>
      <c r="R850" s="237">
        <f t="shared" si="13"/>
        <v>4605298</v>
      </c>
      <c r="S850" s="236"/>
      <c r="T850" s="237">
        <v>2226417</v>
      </c>
      <c r="U850" s="238">
        <v>-42013</v>
      </c>
      <c r="V850" s="238">
        <v>2184404</v>
      </c>
    </row>
    <row r="851" spans="1:22">
      <c r="A851" s="231">
        <v>99281</v>
      </c>
      <c r="B851" s="232" t="s">
        <v>1561</v>
      </c>
      <c r="C851" s="92">
        <v>2.2824E-3</v>
      </c>
      <c r="D851" s="92">
        <v>2.3207000000000002E-3</v>
      </c>
      <c r="E851" s="236">
        <v>859937.56999999983</v>
      </c>
      <c r="F851" s="236">
        <v>1041516</v>
      </c>
      <c r="G851" s="236">
        <v>4844017</v>
      </c>
      <c r="H851" s="236"/>
      <c r="I851" s="237">
        <v>91010.7</v>
      </c>
      <c r="J851" s="237">
        <v>4244903</v>
      </c>
      <c r="K851" s="237">
        <v>331772</v>
      </c>
      <c r="L851" s="236">
        <v>13554</v>
      </c>
      <c r="M851" s="236"/>
      <c r="N851" s="237">
        <v>169740</v>
      </c>
      <c r="O851" s="237">
        <v>1566772</v>
      </c>
      <c r="P851" s="237">
        <v>0</v>
      </c>
      <c r="Q851" s="236">
        <v>113243</v>
      </c>
      <c r="R851" s="237">
        <f t="shared" si="13"/>
        <v>2678131</v>
      </c>
      <c r="S851" s="236"/>
      <c r="T851" s="237">
        <v>1294735</v>
      </c>
      <c r="U851" s="238">
        <v>-25393</v>
      </c>
      <c r="V851" s="238">
        <v>1269342</v>
      </c>
    </row>
    <row r="852" spans="1:22">
      <c r="A852" s="231">
        <v>99291</v>
      </c>
      <c r="B852" s="232" t="s">
        <v>1562</v>
      </c>
      <c r="C852" s="92">
        <v>7.7260000000000002E-4</v>
      </c>
      <c r="D852" s="92">
        <v>8.0780000000000001E-4</v>
      </c>
      <c r="E852" s="236">
        <v>267315.87</v>
      </c>
      <c r="F852" s="236">
        <v>362536</v>
      </c>
      <c r="G852" s="236">
        <v>1639716</v>
      </c>
      <c r="H852" s="236"/>
      <c r="I852" s="237">
        <v>30807</v>
      </c>
      <c r="J852" s="237">
        <v>1436914</v>
      </c>
      <c r="K852" s="237">
        <v>112306</v>
      </c>
      <c r="L852" s="236">
        <v>0</v>
      </c>
      <c r="M852" s="236"/>
      <c r="N852" s="237">
        <v>57457</v>
      </c>
      <c r="O852" s="237">
        <v>530357</v>
      </c>
      <c r="P852" s="237">
        <v>0</v>
      </c>
      <c r="Q852" s="236">
        <v>124026</v>
      </c>
      <c r="R852" s="237">
        <f t="shared" si="13"/>
        <v>906557</v>
      </c>
      <c r="S852" s="236"/>
      <c r="T852" s="237">
        <v>438272</v>
      </c>
      <c r="U852" s="238">
        <v>-41703</v>
      </c>
      <c r="V852" s="238">
        <v>396569</v>
      </c>
    </row>
    <row r="853" spans="1:22">
      <c r="A853" s="231">
        <v>99301</v>
      </c>
      <c r="B853" s="232" t="s">
        <v>1563</v>
      </c>
      <c r="C853" s="92">
        <v>1.8458000000000001E-3</v>
      </c>
      <c r="D853" s="92">
        <v>1.7903000000000001E-3</v>
      </c>
      <c r="E853" s="236">
        <v>720012.84</v>
      </c>
      <c r="F853" s="236">
        <v>803476</v>
      </c>
      <c r="G853" s="236">
        <v>3917406</v>
      </c>
      <c r="H853" s="236"/>
      <c r="I853" s="237">
        <v>73601</v>
      </c>
      <c r="J853" s="237">
        <v>3432896</v>
      </c>
      <c r="K853" s="237">
        <v>268307</v>
      </c>
      <c r="L853" s="236">
        <v>122430</v>
      </c>
      <c r="M853" s="236"/>
      <c r="N853" s="237">
        <v>137270</v>
      </c>
      <c r="O853" s="237">
        <v>1267064</v>
      </c>
      <c r="P853" s="237">
        <v>0</v>
      </c>
      <c r="Q853" s="236">
        <v>957</v>
      </c>
      <c r="R853" s="237">
        <f t="shared" si="13"/>
        <v>2165832</v>
      </c>
      <c r="S853" s="236"/>
      <c r="T853" s="237">
        <v>1047065</v>
      </c>
      <c r="U853" s="238">
        <v>54774</v>
      </c>
      <c r="V853" s="238">
        <v>1101839</v>
      </c>
    </row>
    <row r="854" spans="1:22">
      <c r="A854" s="231">
        <v>99304</v>
      </c>
      <c r="B854" s="232" t="s">
        <v>1564</v>
      </c>
      <c r="C854" s="92">
        <v>9.9000000000000001E-6</v>
      </c>
      <c r="D854" s="92">
        <v>1.0000000000000001E-5</v>
      </c>
      <c r="E854" s="236">
        <v>6537.4600000000019</v>
      </c>
      <c r="F854" s="236">
        <v>4488</v>
      </c>
      <c r="G854" s="236">
        <v>21011</v>
      </c>
      <c r="H854" s="236"/>
      <c r="I854" s="237">
        <v>394.76249999999999</v>
      </c>
      <c r="J854" s="237">
        <v>18412</v>
      </c>
      <c r="K854" s="237">
        <v>1439</v>
      </c>
      <c r="L854" s="236">
        <v>3536</v>
      </c>
      <c r="M854" s="236"/>
      <c r="N854" s="237">
        <v>736</v>
      </c>
      <c r="O854" s="237">
        <v>6796</v>
      </c>
      <c r="P854" s="237">
        <v>0</v>
      </c>
      <c r="Q854" s="236">
        <v>498</v>
      </c>
      <c r="R854" s="237">
        <f t="shared" si="13"/>
        <v>11616</v>
      </c>
      <c r="S854" s="236"/>
      <c r="T854" s="237">
        <v>5616</v>
      </c>
      <c r="U854" s="238">
        <v>822</v>
      </c>
      <c r="V854" s="238">
        <v>6438</v>
      </c>
    </row>
    <row r="855" spans="1:22">
      <c r="A855" s="231">
        <v>99311</v>
      </c>
      <c r="B855" s="232" t="s">
        <v>1565</v>
      </c>
      <c r="C855" s="92">
        <v>5.7599999999999997E-5</v>
      </c>
      <c r="D855" s="92">
        <v>6.2100000000000005E-5</v>
      </c>
      <c r="E855" s="236">
        <v>21136.39</v>
      </c>
      <c r="F855" s="236">
        <v>27870</v>
      </c>
      <c r="G855" s="236">
        <v>122246</v>
      </c>
      <c r="H855" s="236"/>
      <c r="I855" s="237">
        <v>2297</v>
      </c>
      <c r="J855" s="237">
        <v>107127</v>
      </c>
      <c r="K855" s="237">
        <v>8373</v>
      </c>
      <c r="L855" s="236">
        <v>0</v>
      </c>
      <c r="M855" s="236"/>
      <c r="N855" s="237">
        <v>4284</v>
      </c>
      <c r="O855" s="237">
        <v>39540</v>
      </c>
      <c r="P855" s="237">
        <v>0</v>
      </c>
      <c r="Q855" s="236">
        <v>7642</v>
      </c>
      <c r="R855" s="237">
        <f t="shared" si="13"/>
        <v>67587</v>
      </c>
      <c r="S855" s="236"/>
      <c r="T855" s="237">
        <v>32675</v>
      </c>
      <c r="U855" s="238">
        <v>-2750</v>
      </c>
      <c r="V855" s="238">
        <v>29925</v>
      </c>
    </row>
    <row r="856" spans="1:22">
      <c r="A856" s="231">
        <v>99321</v>
      </c>
      <c r="B856" s="232" t="s">
        <v>1566</v>
      </c>
      <c r="C856" s="92">
        <v>1.1909999999999999E-4</v>
      </c>
      <c r="D856" s="92">
        <v>1.015E-4</v>
      </c>
      <c r="E856" s="236">
        <v>91759.74</v>
      </c>
      <c r="F856" s="236">
        <v>45553</v>
      </c>
      <c r="G856" s="236">
        <v>252770</v>
      </c>
      <c r="H856" s="236"/>
      <c r="I856" s="237">
        <v>4749</v>
      </c>
      <c r="J856" s="237">
        <v>221507</v>
      </c>
      <c r="K856" s="237">
        <v>17312</v>
      </c>
      <c r="L856" s="236">
        <v>97754</v>
      </c>
      <c r="M856" s="236"/>
      <c r="N856" s="237">
        <v>8857</v>
      </c>
      <c r="O856" s="237">
        <v>81757</v>
      </c>
      <c r="P856" s="237">
        <v>0</v>
      </c>
      <c r="Q856" s="236">
        <v>0</v>
      </c>
      <c r="R856" s="237">
        <f t="shared" si="13"/>
        <v>139750</v>
      </c>
      <c r="S856" s="236"/>
      <c r="T856" s="237">
        <v>67562</v>
      </c>
      <c r="U856" s="238">
        <v>33905</v>
      </c>
      <c r="V856" s="238">
        <v>101467</v>
      </c>
    </row>
    <row r="857" spans="1:22">
      <c r="A857" s="231">
        <v>99401</v>
      </c>
      <c r="B857" s="232" t="s">
        <v>1567</v>
      </c>
      <c r="C857" s="92">
        <v>9.3869999999999999E-4</v>
      </c>
      <c r="D857" s="92">
        <v>9.0470000000000004E-4</v>
      </c>
      <c r="E857" s="236">
        <v>380574.92</v>
      </c>
      <c r="F857" s="236">
        <v>406024</v>
      </c>
      <c r="G857" s="236">
        <v>1992236</v>
      </c>
      <c r="H857" s="236"/>
      <c r="I857" s="237">
        <v>37431</v>
      </c>
      <c r="J857" s="237">
        <v>1745834</v>
      </c>
      <c r="K857" s="237">
        <v>136450</v>
      </c>
      <c r="L857" s="236">
        <v>60934</v>
      </c>
      <c r="M857" s="236"/>
      <c r="N857" s="237">
        <v>69810</v>
      </c>
      <c r="O857" s="237">
        <v>644378</v>
      </c>
      <c r="P857" s="237">
        <v>0</v>
      </c>
      <c r="Q857" s="236">
        <v>0</v>
      </c>
      <c r="R857" s="237">
        <f t="shared" si="13"/>
        <v>1101456</v>
      </c>
      <c r="S857" s="236"/>
      <c r="T857" s="237">
        <v>532495</v>
      </c>
      <c r="U857" s="238">
        <v>26694</v>
      </c>
      <c r="V857" s="238">
        <v>559189</v>
      </c>
    </row>
    <row r="858" spans="1:22">
      <c r="A858" s="231">
        <v>99404</v>
      </c>
      <c r="B858" s="232" t="s">
        <v>1568</v>
      </c>
      <c r="C858" s="92">
        <v>9.5999999999999996E-6</v>
      </c>
      <c r="D858" s="92">
        <v>9.9000000000000001E-6</v>
      </c>
      <c r="E858" s="236">
        <v>4863.32</v>
      </c>
      <c r="F858" s="236">
        <v>4443</v>
      </c>
      <c r="G858" s="236">
        <v>20374</v>
      </c>
      <c r="H858" s="236"/>
      <c r="I858" s="237">
        <v>383</v>
      </c>
      <c r="J858" s="237">
        <v>17854</v>
      </c>
      <c r="K858" s="237">
        <v>1395</v>
      </c>
      <c r="L858" s="236">
        <v>890</v>
      </c>
      <c r="M858" s="236"/>
      <c r="N858" s="237">
        <v>714</v>
      </c>
      <c r="O858" s="237">
        <v>6590</v>
      </c>
      <c r="P858" s="237">
        <v>0</v>
      </c>
      <c r="Q858" s="236">
        <v>0</v>
      </c>
      <c r="R858" s="237">
        <f t="shared" si="13"/>
        <v>11264</v>
      </c>
      <c r="S858" s="236"/>
      <c r="T858" s="237">
        <v>5446</v>
      </c>
      <c r="U858" s="238">
        <v>284</v>
      </c>
      <c r="V858" s="238">
        <v>5730</v>
      </c>
    </row>
    <row r="859" spans="1:22">
      <c r="A859" s="231">
        <v>99405</v>
      </c>
      <c r="B859" s="232" t="s">
        <v>1569</v>
      </c>
      <c r="C859" s="92">
        <v>5.8100000000000003E-5</v>
      </c>
      <c r="D859" s="92">
        <v>6.3399999999999996E-5</v>
      </c>
      <c r="E859" s="236">
        <v>32556.2</v>
      </c>
      <c r="F859" s="236">
        <v>28454</v>
      </c>
      <c r="G859" s="236">
        <v>123308</v>
      </c>
      <c r="H859" s="236"/>
      <c r="I859" s="237">
        <v>2317</v>
      </c>
      <c r="J859" s="237">
        <v>108057</v>
      </c>
      <c r="K859" s="237">
        <v>8445</v>
      </c>
      <c r="L859" s="236">
        <v>11934</v>
      </c>
      <c r="M859" s="236"/>
      <c r="N859" s="237">
        <v>4321</v>
      </c>
      <c r="O859" s="237">
        <v>39883</v>
      </c>
      <c r="P859" s="237">
        <v>0</v>
      </c>
      <c r="Q859" s="236">
        <v>675</v>
      </c>
      <c r="R859" s="237">
        <f t="shared" si="13"/>
        <v>68174</v>
      </c>
      <c r="S859" s="236"/>
      <c r="T859" s="237">
        <v>32958</v>
      </c>
      <c r="U859" s="238">
        <v>3510</v>
      </c>
      <c r="V859" s="238">
        <v>36468</v>
      </c>
    </row>
    <row r="860" spans="1:22">
      <c r="A860" s="231">
        <v>99411</v>
      </c>
      <c r="B860" s="232" t="s">
        <v>1570</v>
      </c>
      <c r="C860" s="92">
        <v>1.2510000000000001E-4</v>
      </c>
      <c r="D860" s="92">
        <v>1.07E-4</v>
      </c>
      <c r="E860" s="236">
        <v>60724.219999999994</v>
      </c>
      <c r="F860" s="236">
        <v>48021</v>
      </c>
      <c r="G860" s="236">
        <v>265504</v>
      </c>
      <c r="H860" s="236"/>
      <c r="I860" s="237">
        <v>4988</v>
      </c>
      <c r="J860" s="237">
        <v>232666</v>
      </c>
      <c r="K860" s="237">
        <v>18185</v>
      </c>
      <c r="L860" s="236">
        <v>24011</v>
      </c>
      <c r="M860" s="236"/>
      <c r="N860" s="237">
        <v>9304</v>
      </c>
      <c r="O860" s="237">
        <v>85876</v>
      </c>
      <c r="P860" s="237">
        <v>0</v>
      </c>
      <c r="Q860" s="236">
        <v>8844</v>
      </c>
      <c r="R860" s="237">
        <f t="shared" si="13"/>
        <v>146790</v>
      </c>
      <c r="S860" s="236"/>
      <c r="T860" s="237">
        <v>70965</v>
      </c>
      <c r="U860" s="238">
        <v>2430</v>
      </c>
      <c r="V860" s="238">
        <v>73395</v>
      </c>
    </row>
    <row r="861" spans="1:22">
      <c r="A861" s="231">
        <v>99413</v>
      </c>
      <c r="B861" s="232" t="s">
        <v>1571</v>
      </c>
      <c r="C861" s="92">
        <v>2.76E-5</v>
      </c>
      <c r="D861" s="92">
        <v>4.21E-5</v>
      </c>
      <c r="E861" s="236">
        <v>17655.62</v>
      </c>
      <c r="F861" s="236">
        <v>18894</v>
      </c>
      <c r="G861" s="236">
        <v>58576</v>
      </c>
      <c r="H861" s="236"/>
      <c r="I861" s="237">
        <v>1100.55</v>
      </c>
      <c r="J861" s="237">
        <v>51332</v>
      </c>
      <c r="K861" s="237">
        <v>4012</v>
      </c>
      <c r="L861" s="236">
        <v>10</v>
      </c>
      <c r="M861" s="236"/>
      <c r="N861" s="237">
        <v>2053</v>
      </c>
      <c r="O861" s="237">
        <v>18946</v>
      </c>
      <c r="P861" s="237">
        <v>0</v>
      </c>
      <c r="Q861" s="236">
        <v>4264</v>
      </c>
      <c r="R861" s="237">
        <f t="shared" si="13"/>
        <v>32386</v>
      </c>
      <c r="S861" s="236"/>
      <c r="T861" s="237">
        <v>15657</v>
      </c>
      <c r="U861" s="238">
        <v>-1235</v>
      </c>
      <c r="V861" s="238">
        <v>14422</v>
      </c>
    </row>
    <row r="862" spans="1:22">
      <c r="A862" s="231">
        <v>99421</v>
      </c>
      <c r="B862" s="232" t="s">
        <v>1572</v>
      </c>
      <c r="C862" s="92">
        <v>1.5E-5</v>
      </c>
      <c r="D862" s="92">
        <v>2.2099999999999998E-5</v>
      </c>
      <c r="E862" s="236">
        <v>6577</v>
      </c>
      <c r="F862" s="236">
        <v>9918</v>
      </c>
      <c r="G862" s="236">
        <v>31835</v>
      </c>
      <c r="H862" s="236"/>
      <c r="I862" s="237">
        <v>598.125</v>
      </c>
      <c r="J862" s="237">
        <v>27897.63</v>
      </c>
      <c r="K862" s="237">
        <v>2180.415</v>
      </c>
      <c r="L862" s="236">
        <v>1536</v>
      </c>
      <c r="M862" s="236"/>
      <c r="N862" s="237">
        <v>1116</v>
      </c>
      <c r="O862" s="237">
        <v>10297</v>
      </c>
      <c r="P862" s="237">
        <v>0</v>
      </c>
      <c r="Q862" s="236">
        <v>4910</v>
      </c>
      <c r="R862" s="237">
        <f t="shared" si="13"/>
        <v>17600.63</v>
      </c>
      <c r="S862" s="236"/>
      <c r="T862" s="237">
        <v>8509</v>
      </c>
      <c r="U862" s="238">
        <v>-633</v>
      </c>
      <c r="V862" s="238">
        <v>7876</v>
      </c>
    </row>
    <row r="863" spans="1:22">
      <c r="A863" s="231">
        <v>99431</v>
      </c>
      <c r="B863" s="232" t="s">
        <v>1573</v>
      </c>
      <c r="C863" s="92">
        <v>2.16E-5</v>
      </c>
      <c r="D863" s="92">
        <v>2.09E-5</v>
      </c>
      <c r="E863" s="236">
        <v>6864.37</v>
      </c>
      <c r="F863" s="236">
        <v>9380</v>
      </c>
      <c r="G863" s="236">
        <v>45842</v>
      </c>
      <c r="H863" s="236"/>
      <c r="I863" s="237">
        <v>861.3</v>
      </c>
      <c r="J863" s="237">
        <v>40173</v>
      </c>
      <c r="K863" s="237">
        <v>3140</v>
      </c>
      <c r="L863" s="236">
        <v>2153</v>
      </c>
      <c r="M863" s="236"/>
      <c r="N863" s="237">
        <v>1606</v>
      </c>
      <c r="O863" s="237">
        <v>14827</v>
      </c>
      <c r="P863" s="237">
        <v>0</v>
      </c>
      <c r="Q863" s="236">
        <v>1856</v>
      </c>
      <c r="R863" s="237">
        <f t="shared" si="13"/>
        <v>25346</v>
      </c>
      <c r="S863" s="236"/>
      <c r="T863" s="237">
        <v>12253</v>
      </c>
      <c r="U863" s="238">
        <v>541</v>
      </c>
      <c r="V863" s="238">
        <v>12794</v>
      </c>
    </row>
    <row r="864" spans="1:22">
      <c r="A864" s="231">
        <v>99501</v>
      </c>
      <c r="B864" s="232" t="s">
        <v>1574</v>
      </c>
      <c r="C864" s="92">
        <v>1.7390000000000001E-3</v>
      </c>
      <c r="D864" s="92">
        <v>1.7404E-3</v>
      </c>
      <c r="E864" s="236">
        <v>717899.84</v>
      </c>
      <c r="F864" s="236">
        <v>781081</v>
      </c>
      <c r="G864" s="236">
        <v>3690741</v>
      </c>
      <c r="H864" s="236"/>
      <c r="I864" s="237">
        <v>69343</v>
      </c>
      <c r="J864" s="237">
        <v>3234265</v>
      </c>
      <c r="K864" s="237">
        <v>252783</v>
      </c>
      <c r="L864" s="236">
        <v>5725</v>
      </c>
      <c r="M864" s="236"/>
      <c r="N864" s="237">
        <v>129328</v>
      </c>
      <c r="O864" s="237">
        <v>1193750</v>
      </c>
      <c r="P864" s="237">
        <v>0</v>
      </c>
      <c r="Q864" s="236">
        <v>0</v>
      </c>
      <c r="R864" s="237">
        <f t="shared" si="13"/>
        <v>2040515</v>
      </c>
      <c r="S864" s="236"/>
      <c r="T864" s="237">
        <v>986481</v>
      </c>
      <c r="U864" s="238">
        <v>1961</v>
      </c>
      <c r="V864" s="238">
        <v>988442</v>
      </c>
    </row>
    <row r="865" spans="1:22">
      <c r="A865" s="231">
        <v>99502</v>
      </c>
      <c r="B865" s="232" t="s">
        <v>1575</v>
      </c>
      <c r="C865" s="92">
        <v>1.3779999999999999E-4</v>
      </c>
      <c r="D865" s="92">
        <v>1.628E-4</v>
      </c>
      <c r="E865" s="236">
        <v>87805.53</v>
      </c>
      <c r="F865" s="236">
        <v>73064</v>
      </c>
      <c r="G865" s="236">
        <v>292458</v>
      </c>
      <c r="H865" s="236"/>
      <c r="I865" s="237">
        <v>5495</v>
      </c>
      <c r="J865" s="237">
        <v>256286</v>
      </c>
      <c r="K865" s="237">
        <v>20031</v>
      </c>
      <c r="L865" s="236">
        <v>28542</v>
      </c>
      <c r="M865" s="236"/>
      <c r="N865" s="237">
        <v>10248</v>
      </c>
      <c r="O865" s="237">
        <v>94594</v>
      </c>
      <c r="P865" s="237">
        <v>0</v>
      </c>
      <c r="Q865" s="236">
        <v>143</v>
      </c>
      <c r="R865" s="237">
        <f t="shared" si="13"/>
        <v>161692</v>
      </c>
      <c r="S865" s="236"/>
      <c r="T865" s="237">
        <v>78170</v>
      </c>
      <c r="U865" s="238">
        <v>8980</v>
      </c>
      <c r="V865" s="238">
        <v>87150</v>
      </c>
    </row>
    <row r="866" spans="1:22">
      <c r="A866" s="231">
        <v>99508</v>
      </c>
      <c r="B866" s="232" t="s">
        <v>1576</v>
      </c>
      <c r="C866" s="92">
        <v>2.1699999999999999E-5</v>
      </c>
      <c r="D866" s="92">
        <v>2.3200000000000001E-5</v>
      </c>
      <c r="E866" s="236">
        <v>8790.98</v>
      </c>
      <c r="F866" s="236">
        <v>10412</v>
      </c>
      <c r="G866" s="236">
        <v>46055</v>
      </c>
      <c r="H866" s="236"/>
      <c r="I866" s="237">
        <v>865</v>
      </c>
      <c r="J866" s="237">
        <v>40359</v>
      </c>
      <c r="K866" s="237">
        <v>3154</v>
      </c>
      <c r="L866" s="236">
        <v>0</v>
      </c>
      <c r="M866" s="236"/>
      <c r="N866" s="237">
        <v>1614</v>
      </c>
      <c r="O866" s="237">
        <v>14896</v>
      </c>
      <c r="P866" s="237">
        <v>0</v>
      </c>
      <c r="Q866" s="236">
        <v>2564</v>
      </c>
      <c r="R866" s="237">
        <f t="shared" si="13"/>
        <v>25463</v>
      </c>
      <c r="S866" s="236"/>
      <c r="T866" s="237">
        <v>12310</v>
      </c>
      <c r="U866" s="238">
        <v>-994</v>
      </c>
      <c r="V866" s="238">
        <v>11316</v>
      </c>
    </row>
    <row r="867" spans="1:22">
      <c r="A867" s="231">
        <v>99509</v>
      </c>
      <c r="B867" s="232" t="s">
        <v>1577</v>
      </c>
      <c r="C867" s="92">
        <v>2.8900000000000001E-5</v>
      </c>
      <c r="D867" s="92">
        <v>2.87E-5</v>
      </c>
      <c r="E867" s="236">
        <v>10373.91</v>
      </c>
      <c r="F867" s="236">
        <v>12880</v>
      </c>
      <c r="G867" s="236">
        <v>61335</v>
      </c>
      <c r="H867" s="236"/>
      <c r="I867" s="237">
        <v>1152.3875</v>
      </c>
      <c r="J867" s="237">
        <v>53749</v>
      </c>
      <c r="K867" s="237">
        <v>4201</v>
      </c>
      <c r="L867" s="236">
        <v>0</v>
      </c>
      <c r="M867" s="236"/>
      <c r="N867" s="237">
        <v>2149</v>
      </c>
      <c r="O867" s="237">
        <v>19839</v>
      </c>
      <c r="P867" s="237">
        <v>0</v>
      </c>
      <c r="Q867" s="236">
        <v>8463</v>
      </c>
      <c r="R867" s="237">
        <f t="shared" si="13"/>
        <v>33910</v>
      </c>
      <c r="S867" s="236"/>
      <c r="T867" s="237">
        <v>16394</v>
      </c>
      <c r="U867" s="238">
        <v>-3831</v>
      </c>
      <c r="V867" s="238">
        <v>12563</v>
      </c>
    </row>
    <row r="868" spans="1:22">
      <c r="A868" s="231">
        <v>99511</v>
      </c>
      <c r="B868" s="232" t="s">
        <v>1578</v>
      </c>
      <c r="C868" s="92">
        <v>1.3638000000000001E-3</v>
      </c>
      <c r="D868" s="92">
        <v>1.4238E-3</v>
      </c>
      <c r="E868" s="236">
        <v>513320.93</v>
      </c>
      <c r="F868" s="236">
        <v>638993</v>
      </c>
      <c r="G868" s="236">
        <v>2894440</v>
      </c>
      <c r="H868" s="236"/>
      <c r="I868" s="237">
        <v>54382</v>
      </c>
      <c r="J868" s="237">
        <v>2536453</v>
      </c>
      <c r="K868" s="237">
        <v>198243</v>
      </c>
      <c r="L868" s="236">
        <v>6972</v>
      </c>
      <c r="M868" s="236"/>
      <c r="N868" s="237">
        <v>101424</v>
      </c>
      <c r="O868" s="237">
        <v>936191</v>
      </c>
      <c r="P868" s="237">
        <v>0</v>
      </c>
      <c r="Q868" s="236">
        <v>87693</v>
      </c>
      <c r="R868" s="237">
        <f t="shared" si="13"/>
        <v>1600262</v>
      </c>
      <c r="S868" s="236"/>
      <c r="T868" s="237">
        <v>773641</v>
      </c>
      <c r="U868" s="238">
        <v>-24491</v>
      </c>
      <c r="V868" s="238">
        <v>749150</v>
      </c>
    </row>
    <row r="869" spans="1:22">
      <c r="A869" s="231">
        <v>99521</v>
      </c>
      <c r="B869" s="232" t="s">
        <v>1579</v>
      </c>
      <c r="C869" s="92">
        <v>4.0180000000000001E-4</v>
      </c>
      <c r="D869" s="92">
        <v>4.0989999999999999E-4</v>
      </c>
      <c r="E869" s="236">
        <v>150146.22</v>
      </c>
      <c r="F869" s="236">
        <v>183961</v>
      </c>
      <c r="G869" s="236">
        <v>852754</v>
      </c>
      <c r="H869" s="236"/>
      <c r="I869" s="237">
        <v>16022</v>
      </c>
      <c r="J869" s="237">
        <v>747285</v>
      </c>
      <c r="K869" s="237">
        <v>58406</v>
      </c>
      <c r="L869" s="236">
        <v>1435</v>
      </c>
      <c r="M869" s="236"/>
      <c r="N869" s="237">
        <v>29881</v>
      </c>
      <c r="O869" s="237">
        <v>275819</v>
      </c>
      <c r="P869" s="237">
        <v>0</v>
      </c>
      <c r="Q869" s="236">
        <v>21691</v>
      </c>
      <c r="R869" s="237">
        <f t="shared" si="13"/>
        <v>471466</v>
      </c>
      <c r="S869" s="236"/>
      <c r="T869" s="237">
        <v>227929</v>
      </c>
      <c r="U869" s="238">
        <v>-5406</v>
      </c>
      <c r="V869" s="238">
        <v>222522</v>
      </c>
    </row>
    <row r="870" spans="1:22">
      <c r="A870" s="231">
        <v>99527</v>
      </c>
      <c r="B870" s="232" t="s">
        <v>1580</v>
      </c>
      <c r="C870" s="92">
        <v>1.2099999999999999E-5</v>
      </c>
      <c r="D870" s="92">
        <v>1.1800000000000001E-5</v>
      </c>
      <c r="E870" s="236">
        <v>5273.87</v>
      </c>
      <c r="F870" s="236">
        <v>5296</v>
      </c>
      <c r="G870" s="236">
        <v>25680</v>
      </c>
      <c r="H870" s="236"/>
      <c r="I870" s="237">
        <v>482</v>
      </c>
      <c r="J870" s="237">
        <v>22504</v>
      </c>
      <c r="K870" s="237">
        <v>1759</v>
      </c>
      <c r="L870" s="236">
        <v>1404</v>
      </c>
      <c r="M870" s="236"/>
      <c r="N870" s="237">
        <v>900</v>
      </c>
      <c r="O870" s="237">
        <v>8306</v>
      </c>
      <c r="P870" s="237">
        <v>0</v>
      </c>
      <c r="Q870" s="236">
        <v>0</v>
      </c>
      <c r="R870" s="237">
        <f t="shared" si="13"/>
        <v>14198</v>
      </c>
      <c r="S870" s="236"/>
      <c r="T870" s="237">
        <v>6864</v>
      </c>
      <c r="U870" s="238">
        <v>529</v>
      </c>
      <c r="V870" s="238">
        <v>7393</v>
      </c>
    </row>
    <row r="871" spans="1:22">
      <c r="A871" s="231">
        <v>99531</v>
      </c>
      <c r="B871" s="232" t="s">
        <v>1581</v>
      </c>
      <c r="C871" s="92">
        <v>8.7600000000000002E-5</v>
      </c>
      <c r="D871" s="92">
        <v>8.8200000000000003E-5</v>
      </c>
      <c r="E871" s="236">
        <v>67487.070000000007</v>
      </c>
      <c r="F871" s="236">
        <v>39584</v>
      </c>
      <c r="G871" s="236">
        <v>185917</v>
      </c>
      <c r="H871" s="236"/>
      <c r="I871" s="237">
        <v>3493.05</v>
      </c>
      <c r="J871" s="237">
        <v>162922</v>
      </c>
      <c r="K871" s="237">
        <v>12734</v>
      </c>
      <c r="L871" s="236">
        <v>39764</v>
      </c>
      <c r="M871" s="236"/>
      <c r="N871" s="237">
        <v>6515</v>
      </c>
      <c r="O871" s="237">
        <v>60134</v>
      </c>
      <c r="P871" s="237">
        <v>0</v>
      </c>
      <c r="Q871" s="236">
        <v>0</v>
      </c>
      <c r="R871" s="237">
        <f t="shared" si="13"/>
        <v>102788</v>
      </c>
      <c r="S871" s="236"/>
      <c r="T871" s="237">
        <v>49693</v>
      </c>
      <c r="U871" s="238">
        <v>11839</v>
      </c>
      <c r="V871" s="238">
        <v>61531</v>
      </c>
    </row>
    <row r="872" spans="1:22">
      <c r="A872" s="231">
        <v>99601</v>
      </c>
      <c r="B872" s="232" t="s">
        <v>1582</v>
      </c>
      <c r="C872" s="92">
        <v>5.2824999999999999E-3</v>
      </c>
      <c r="D872" s="92">
        <v>5.3274999999999998E-3</v>
      </c>
      <c r="E872" s="236">
        <v>2087469.1900000002</v>
      </c>
      <c r="F872" s="236">
        <v>2390950</v>
      </c>
      <c r="G872" s="236">
        <v>11211235</v>
      </c>
      <c r="H872" s="236"/>
      <c r="I872" s="237">
        <v>210640</v>
      </c>
      <c r="J872" s="237">
        <v>9824615</v>
      </c>
      <c r="K872" s="237">
        <v>767869</v>
      </c>
      <c r="L872" s="236">
        <v>60572</v>
      </c>
      <c r="M872" s="236"/>
      <c r="N872" s="237">
        <v>392854</v>
      </c>
      <c r="O872" s="237">
        <v>3626214</v>
      </c>
      <c r="P872" s="237">
        <v>0</v>
      </c>
      <c r="Q872" s="236">
        <v>101945</v>
      </c>
      <c r="R872" s="237">
        <f t="shared" si="13"/>
        <v>6198401</v>
      </c>
      <c r="S872" s="236"/>
      <c r="T872" s="237">
        <v>2996598</v>
      </c>
      <c r="U872" s="238">
        <v>-7395</v>
      </c>
      <c r="V872" s="238">
        <v>2989204</v>
      </c>
    </row>
    <row r="873" spans="1:22">
      <c r="A873" s="231">
        <v>99602</v>
      </c>
      <c r="B873" s="232" t="s">
        <v>1583</v>
      </c>
      <c r="C873" s="92">
        <v>5.1700000000000003E-5</v>
      </c>
      <c r="D873" s="92">
        <v>5.13E-5</v>
      </c>
      <c r="E873" s="236">
        <v>23478.31</v>
      </c>
      <c r="F873" s="236">
        <v>23023</v>
      </c>
      <c r="G873" s="236">
        <v>109725</v>
      </c>
      <c r="H873" s="236"/>
      <c r="I873" s="237">
        <v>2062</v>
      </c>
      <c r="J873" s="237">
        <v>96154</v>
      </c>
      <c r="K873" s="237">
        <v>7515</v>
      </c>
      <c r="L873" s="236">
        <v>5410</v>
      </c>
      <c r="M873" s="236"/>
      <c r="N873" s="237">
        <v>3845</v>
      </c>
      <c r="O873" s="237">
        <v>35490</v>
      </c>
      <c r="P873" s="237">
        <v>0</v>
      </c>
      <c r="Q873" s="236">
        <v>4155</v>
      </c>
      <c r="R873" s="237">
        <f t="shared" si="13"/>
        <v>60664</v>
      </c>
      <c r="S873" s="236"/>
      <c r="T873" s="237">
        <v>29328</v>
      </c>
      <c r="U873" s="238">
        <v>-358</v>
      </c>
      <c r="V873" s="238">
        <v>28969</v>
      </c>
    </row>
    <row r="874" spans="1:22">
      <c r="A874" s="231">
        <v>99603</v>
      </c>
      <c r="B874" s="232" t="s">
        <v>1584</v>
      </c>
      <c r="C874" s="92">
        <v>1.4219999999999999E-4</v>
      </c>
      <c r="D874" s="92">
        <v>1.474E-4</v>
      </c>
      <c r="E874" s="236">
        <v>137622.59000000003</v>
      </c>
      <c r="F874" s="236">
        <v>66152</v>
      </c>
      <c r="G874" s="236">
        <v>301796</v>
      </c>
      <c r="H874" s="236"/>
      <c r="I874" s="237">
        <v>5670</v>
      </c>
      <c r="J874" s="237">
        <v>264470</v>
      </c>
      <c r="K874" s="237">
        <v>20670</v>
      </c>
      <c r="L874" s="236">
        <v>103545</v>
      </c>
      <c r="M874" s="236"/>
      <c r="N874" s="237">
        <v>10575</v>
      </c>
      <c r="O874" s="237">
        <v>97614</v>
      </c>
      <c r="P874" s="237">
        <v>0</v>
      </c>
      <c r="Q874" s="236">
        <v>0</v>
      </c>
      <c r="R874" s="237">
        <f t="shared" si="13"/>
        <v>166856</v>
      </c>
      <c r="S874" s="236"/>
      <c r="T874" s="237">
        <v>80666</v>
      </c>
      <c r="U874" s="238">
        <v>31526</v>
      </c>
      <c r="V874" s="238">
        <v>112191</v>
      </c>
    </row>
    <row r="875" spans="1:22">
      <c r="A875" s="231">
        <v>99604</v>
      </c>
      <c r="B875" s="232" t="s">
        <v>1585</v>
      </c>
      <c r="C875" s="92">
        <v>9.6899999999999997E-5</v>
      </c>
      <c r="D875" s="92">
        <v>9.3300000000000005E-5</v>
      </c>
      <c r="E875" s="236">
        <v>45605.87000000001</v>
      </c>
      <c r="F875" s="236">
        <v>41872</v>
      </c>
      <c r="G875" s="236">
        <v>205654</v>
      </c>
      <c r="H875" s="236"/>
      <c r="I875" s="237">
        <v>3864</v>
      </c>
      <c r="J875" s="237">
        <v>180219</v>
      </c>
      <c r="K875" s="237">
        <v>14085</v>
      </c>
      <c r="L875" s="236">
        <v>20600</v>
      </c>
      <c r="M875" s="236"/>
      <c r="N875" s="237">
        <v>7206</v>
      </c>
      <c r="O875" s="237">
        <v>66518</v>
      </c>
      <c r="P875" s="237">
        <v>0</v>
      </c>
      <c r="Q875" s="236">
        <v>0</v>
      </c>
      <c r="R875" s="237">
        <f t="shared" si="13"/>
        <v>113701</v>
      </c>
      <c r="S875" s="236"/>
      <c r="T875" s="237">
        <v>54968</v>
      </c>
      <c r="U875" s="238">
        <v>7597</v>
      </c>
      <c r="V875" s="238">
        <v>62566</v>
      </c>
    </row>
    <row r="876" spans="1:22">
      <c r="A876" s="231">
        <v>99609</v>
      </c>
      <c r="B876" s="232" t="s">
        <v>1586</v>
      </c>
      <c r="C876" s="92">
        <v>2.0999999999999999E-5</v>
      </c>
      <c r="D876" s="92">
        <v>1.98E-5</v>
      </c>
      <c r="E876" s="236">
        <v>10787.510000000002</v>
      </c>
      <c r="F876" s="236">
        <v>8886</v>
      </c>
      <c r="G876" s="236">
        <v>44569</v>
      </c>
      <c r="H876" s="236"/>
      <c r="I876" s="237">
        <v>837.375</v>
      </c>
      <c r="J876" s="237">
        <v>39057</v>
      </c>
      <c r="K876" s="237">
        <v>3053</v>
      </c>
      <c r="L876" s="236">
        <v>5629</v>
      </c>
      <c r="M876" s="236"/>
      <c r="N876" s="237">
        <v>1562</v>
      </c>
      <c r="O876" s="237">
        <v>14416</v>
      </c>
      <c r="P876" s="237">
        <v>0</v>
      </c>
      <c r="Q876" s="236">
        <v>0</v>
      </c>
      <c r="R876" s="237">
        <f t="shared" si="13"/>
        <v>24641</v>
      </c>
      <c r="S876" s="236"/>
      <c r="T876" s="237">
        <v>11913</v>
      </c>
      <c r="U876" s="238">
        <v>2074</v>
      </c>
      <c r="V876" s="238">
        <v>13986</v>
      </c>
    </row>
    <row r="877" spans="1:22">
      <c r="A877" s="231">
        <v>99610</v>
      </c>
      <c r="B877" s="232" t="s">
        <v>1587</v>
      </c>
      <c r="C877" s="92">
        <v>1.9440000000000001E-4</v>
      </c>
      <c r="D877" s="92">
        <v>1.883E-4</v>
      </c>
      <c r="E877" s="236">
        <v>78017.36</v>
      </c>
      <c r="F877" s="236">
        <v>84508</v>
      </c>
      <c r="G877" s="236">
        <v>412582</v>
      </c>
      <c r="H877" s="236"/>
      <c r="I877" s="237">
        <v>7752</v>
      </c>
      <c r="J877" s="237">
        <v>361553</v>
      </c>
      <c r="K877" s="237">
        <v>28258</v>
      </c>
      <c r="L877" s="236">
        <v>4583</v>
      </c>
      <c r="M877" s="236"/>
      <c r="N877" s="237">
        <v>14457</v>
      </c>
      <c r="O877" s="237">
        <v>133447</v>
      </c>
      <c r="P877" s="237">
        <v>0</v>
      </c>
      <c r="Q877" s="236">
        <v>1313</v>
      </c>
      <c r="R877" s="237">
        <f t="shared" si="13"/>
        <v>228106</v>
      </c>
      <c r="S877" s="236"/>
      <c r="T877" s="237">
        <v>110277</v>
      </c>
      <c r="U877" s="238">
        <v>1406</v>
      </c>
      <c r="V877" s="238">
        <v>111683</v>
      </c>
    </row>
    <row r="878" spans="1:22">
      <c r="A878" s="231">
        <v>99611</v>
      </c>
      <c r="B878" s="232" t="s">
        <v>1588</v>
      </c>
      <c r="C878" s="92">
        <v>3.1495999999999998E-3</v>
      </c>
      <c r="D878" s="92">
        <v>3.4461000000000001E-3</v>
      </c>
      <c r="E878" s="236">
        <v>1274178.99</v>
      </c>
      <c r="F878" s="236">
        <v>1546589</v>
      </c>
      <c r="G878" s="236">
        <v>6684506</v>
      </c>
      <c r="H878" s="236"/>
      <c r="I878" s="237">
        <v>125590</v>
      </c>
      <c r="J878" s="237">
        <v>5857758</v>
      </c>
      <c r="K878" s="237">
        <v>457829</v>
      </c>
      <c r="L878" s="236">
        <v>0</v>
      </c>
      <c r="M878" s="236"/>
      <c r="N878" s="237">
        <v>234233</v>
      </c>
      <c r="O878" s="237">
        <v>2162068</v>
      </c>
      <c r="P878" s="237">
        <v>0</v>
      </c>
      <c r="Q878" s="236">
        <v>295351</v>
      </c>
      <c r="R878" s="237">
        <f t="shared" si="13"/>
        <v>3695690</v>
      </c>
      <c r="S878" s="236"/>
      <c r="T878" s="237">
        <v>1786670</v>
      </c>
      <c r="U878" s="238">
        <v>-97649</v>
      </c>
      <c r="V878" s="238">
        <v>1689022</v>
      </c>
    </row>
    <row r="879" spans="1:22">
      <c r="A879" s="231">
        <v>99613</v>
      </c>
      <c r="B879" s="232" t="s">
        <v>1589</v>
      </c>
      <c r="C879" s="92">
        <v>3.369E-4</v>
      </c>
      <c r="D879" s="92">
        <v>2.6350000000000001E-4</v>
      </c>
      <c r="E879" s="236">
        <v>287693.51</v>
      </c>
      <c r="F879" s="236">
        <v>118257</v>
      </c>
      <c r="G879" s="236">
        <v>715015</v>
      </c>
      <c r="H879" s="236"/>
      <c r="I879" s="237">
        <v>13434</v>
      </c>
      <c r="J879" s="237">
        <v>626581</v>
      </c>
      <c r="K879" s="237">
        <v>48972</v>
      </c>
      <c r="L879" s="236">
        <v>227196</v>
      </c>
      <c r="M879" s="236"/>
      <c r="N879" s="237">
        <v>25055</v>
      </c>
      <c r="O879" s="237">
        <v>231268</v>
      </c>
      <c r="P879" s="237">
        <v>0</v>
      </c>
      <c r="Q879" s="236">
        <v>0</v>
      </c>
      <c r="R879" s="237">
        <f t="shared" si="13"/>
        <v>395313</v>
      </c>
      <c r="S879" s="236"/>
      <c r="T879" s="237">
        <v>191113</v>
      </c>
      <c r="U879" s="238">
        <v>65914</v>
      </c>
      <c r="V879" s="238">
        <v>257027</v>
      </c>
    </row>
    <row r="880" spans="1:22">
      <c r="A880" s="231">
        <v>99621</v>
      </c>
      <c r="B880" s="232" t="s">
        <v>1590</v>
      </c>
      <c r="C880" s="92">
        <v>3.2850000000000002E-4</v>
      </c>
      <c r="D880" s="92">
        <v>2.9550000000000003E-4</v>
      </c>
      <c r="E880" s="236">
        <v>133172.19</v>
      </c>
      <c r="F880" s="236">
        <v>132619</v>
      </c>
      <c r="G880" s="236">
        <v>697187</v>
      </c>
      <c r="H880" s="236"/>
      <c r="I880" s="237">
        <v>13098.9375</v>
      </c>
      <c r="J880" s="237">
        <v>610958</v>
      </c>
      <c r="K880" s="237">
        <v>47751</v>
      </c>
      <c r="L880" s="236">
        <v>25982</v>
      </c>
      <c r="M880" s="236"/>
      <c r="N880" s="237">
        <v>24430</v>
      </c>
      <c r="O880" s="237">
        <v>225501</v>
      </c>
      <c r="P880" s="237">
        <v>0</v>
      </c>
      <c r="Q880" s="236">
        <v>7236</v>
      </c>
      <c r="R880" s="237">
        <f t="shared" si="13"/>
        <v>385457</v>
      </c>
      <c r="S880" s="236"/>
      <c r="T880" s="237">
        <v>186348</v>
      </c>
      <c r="U880" s="238">
        <v>6510</v>
      </c>
      <c r="V880" s="238">
        <v>192858</v>
      </c>
    </row>
    <row r="881" spans="1:22">
      <c r="A881" s="231">
        <v>99623</v>
      </c>
      <c r="B881" s="232" t="s">
        <v>1591</v>
      </c>
      <c r="C881" s="92">
        <v>2.9200000000000002E-5</v>
      </c>
      <c r="D881" s="92">
        <v>2.1299999999999999E-5</v>
      </c>
      <c r="E881" s="236">
        <v>8301.6</v>
      </c>
      <c r="F881" s="236">
        <v>9559</v>
      </c>
      <c r="G881" s="236">
        <v>61972</v>
      </c>
      <c r="H881" s="236"/>
      <c r="I881" s="237">
        <v>1164</v>
      </c>
      <c r="J881" s="237">
        <v>54307</v>
      </c>
      <c r="K881" s="237">
        <v>4245</v>
      </c>
      <c r="L881" s="236">
        <v>3598</v>
      </c>
      <c r="M881" s="236"/>
      <c r="N881" s="237">
        <v>2172</v>
      </c>
      <c r="O881" s="237">
        <v>20045</v>
      </c>
      <c r="P881" s="237">
        <v>0</v>
      </c>
      <c r="Q881" s="236">
        <v>316</v>
      </c>
      <c r="R881" s="237">
        <f t="shared" si="13"/>
        <v>34262</v>
      </c>
      <c r="S881" s="236"/>
      <c r="T881" s="237">
        <v>16564</v>
      </c>
      <c r="U881" s="238">
        <v>989</v>
      </c>
      <c r="V881" s="238">
        <v>17554</v>
      </c>
    </row>
    <row r="882" spans="1:22">
      <c r="A882" s="231">
        <v>99631</v>
      </c>
      <c r="B882" s="232" t="s">
        <v>1592</v>
      </c>
      <c r="C882" s="92">
        <v>1.0340000000000001E-4</v>
      </c>
      <c r="D882" s="92">
        <v>9.8599999999999998E-5</v>
      </c>
      <c r="E882" s="236">
        <v>37652.259999999995</v>
      </c>
      <c r="F882" s="236">
        <v>44251</v>
      </c>
      <c r="G882" s="236">
        <v>219449</v>
      </c>
      <c r="H882" s="236"/>
      <c r="I882" s="237">
        <v>4123</v>
      </c>
      <c r="J882" s="237">
        <v>192308</v>
      </c>
      <c r="K882" s="237">
        <v>15030</v>
      </c>
      <c r="L882" s="236">
        <v>0</v>
      </c>
      <c r="M882" s="236"/>
      <c r="N882" s="237">
        <v>7690</v>
      </c>
      <c r="O882" s="237">
        <v>70980</v>
      </c>
      <c r="P882" s="237">
        <v>0</v>
      </c>
      <c r="Q882" s="236">
        <v>9381</v>
      </c>
      <c r="R882" s="237">
        <f t="shared" si="13"/>
        <v>121328</v>
      </c>
      <c r="S882" s="236"/>
      <c r="T882" s="237">
        <v>58656</v>
      </c>
      <c r="U882" s="238">
        <v>-4222</v>
      </c>
      <c r="V882" s="238">
        <v>54433</v>
      </c>
    </row>
    <row r="883" spans="1:22">
      <c r="A883" s="231">
        <v>99651</v>
      </c>
      <c r="B883" s="232" t="s">
        <v>1593</v>
      </c>
      <c r="C883" s="92">
        <v>6.7100000000000005E-5</v>
      </c>
      <c r="D883" s="92">
        <v>5.7500000000000002E-5</v>
      </c>
      <c r="E883" s="236">
        <v>24616.559999999998</v>
      </c>
      <c r="F883" s="236">
        <v>25806</v>
      </c>
      <c r="G883" s="236">
        <v>142409</v>
      </c>
      <c r="H883" s="236"/>
      <c r="I883" s="237">
        <v>2676</v>
      </c>
      <c r="J883" s="237">
        <v>124795</v>
      </c>
      <c r="K883" s="237">
        <v>9754</v>
      </c>
      <c r="L883" s="236">
        <v>8790</v>
      </c>
      <c r="M883" s="236"/>
      <c r="N883" s="237">
        <v>4990</v>
      </c>
      <c r="O883" s="237">
        <v>46061</v>
      </c>
      <c r="P883" s="237">
        <v>0</v>
      </c>
      <c r="Q883" s="236">
        <v>2840</v>
      </c>
      <c r="R883" s="237">
        <f t="shared" si="13"/>
        <v>78734</v>
      </c>
      <c r="S883" s="236"/>
      <c r="T883" s="237">
        <v>38064</v>
      </c>
      <c r="U883" s="238">
        <v>1419</v>
      </c>
      <c r="V883" s="238">
        <v>39483</v>
      </c>
    </row>
    <row r="884" spans="1:22">
      <c r="A884" s="231">
        <v>99661</v>
      </c>
      <c r="B884" s="232" t="s">
        <v>1594</v>
      </c>
      <c r="C884" s="92">
        <v>3.5500000000000002E-5</v>
      </c>
      <c r="D884" s="92">
        <v>3.4900000000000001E-5</v>
      </c>
      <c r="E884" s="236">
        <v>34311.1</v>
      </c>
      <c r="F884" s="236">
        <v>15663</v>
      </c>
      <c r="G884" s="236">
        <v>75343</v>
      </c>
      <c r="H884" s="236"/>
      <c r="I884" s="237">
        <v>1415.5625</v>
      </c>
      <c r="J884" s="237">
        <v>66024</v>
      </c>
      <c r="K884" s="237">
        <v>5160</v>
      </c>
      <c r="L884" s="236">
        <v>30447</v>
      </c>
      <c r="M884" s="236"/>
      <c r="N884" s="237">
        <v>2640</v>
      </c>
      <c r="O884" s="237">
        <v>24369</v>
      </c>
      <c r="P884" s="237">
        <v>0</v>
      </c>
      <c r="Q884" s="236">
        <v>0</v>
      </c>
      <c r="R884" s="237">
        <f t="shared" si="13"/>
        <v>41655</v>
      </c>
      <c r="S884" s="236"/>
      <c r="T884" s="237">
        <v>20138</v>
      </c>
      <c r="U884" s="238">
        <v>9415</v>
      </c>
      <c r="V884" s="238">
        <v>29553</v>
      </c>
    </row>
    <row r="885" spans="1:22">
      <c r="A885" s="231">
        <v>99701</v>
      </c>
      <c r="B885" s="232" t="s">
        <v>1595</v>
      </c>
      <c r="C885" s="92">
        <v>2.8774E-3</v>
      </c>
      <c r="D885" s="92">
        <v>2.7742000000000001E-3</v>
      </c>
      <c r="E885" s="236">
        <v>1127824.9099999999</v>
      </c>
      <c r="F885" s="236">
        <v>1245044</v>
      </c>
      <c r="G885" s="236">
        <v>6106807</v>
      </c>
      <c r="H885" s="236"/>
      <c r="I885" s="237">
        <v>114736</v>
      </c>
      <c r="J885" s="237">
        <v>5351509</v>
      </c>
      <c r="K885" s="237">
        <v>418262</v>
      </c>
      <c r="L885" s="236">
        <v>31037</v>
      </c>
      <c r="M885" s="236"/>
      <c r="N885" s="237">
        <v>213989</v>
      </c>
      <c r="O885" s="237">
        <v>1975214</v>
      </c>
      <c r="P885" s="237">
        <v>0</v>
      </c>
      <c r="Q885" s="236">
        <v>19671</v>
      </c>
      <c r="R885" s="237">
        <f t="shared" si="13"/>
        <v>3376295</v>
      </c>
      <c r="S885" s="236"/>
      <c r="T885" s="237">
        <v>1632260</v>
      </c>
      <c r="U885" s="238">
        <v>-10</v>
      </c>
      <c r="V885" s="238">
        <v>1632250</v>
      </c>
    </row>
    <row r="886" spans="1:22">
      <c r="A886" s="231">
        <v>99705</v>
      </c>
      <c r="B886" s="232" t="s">
        <v>1596</v>
      </c>
      <c r="C886" s="92">
        <v>1.7259999999999999E-4</v>
      </c>
      <c r="D886" s="92">
        <v>1.7660000000000001E-4</v>
      </c>
      <c r="E886" s="236">
        <v>76713.119999999995</v>
      </c>
      <c r="F886" s="236">
        <v>79257</v>
      </c>
      <c r="G886" s="236">
        <v>366315</v>
      </c>
      <c r="H886" s="236"/>
      <c r="I886" s="237">
        <v>6882</v>
      </c>
      <c r="J886" s="237">
        <v>321009</v>
      </c>
      <c r="K886" s="237">
        <v>25089</v>
      </c>
      <c r="L886" s="236">
        <v>11090</v>
      </c>
      <c r="M886" s="236"/>
      <c r="N886" s="237">
        <v>12836</v>
      </c>
      <c r="O886" s="237">
        <v>118483</v>
      </c>
      <c r="P886" s="237">
        <v>0</v>
      </c>
      <c r="Q886" s="236">
        <v>842</v>
      </c>
      <c r="R886" s="237">
        <f t="shared" si="13"/>
        <v>202526</v>
      </c>
      <c r="S886" s="236"/>
      <c r="T886" s="237">
        <v>97911</v>
      </c>
      <c r="U886" s="238">
        <v>4693</v>
      </c>
      <c r="V886" s="238">
        <v>102604</v>
      </c>
    </row>
    <row r="887" spans="1:22">
      <c r="A887" s="231">
        <v>99711</v>
      </c>
      <c r="B887" s="232" t="s">
        <v>1597</v>
      </c>
      <c r="C887" s="92">
        <v>4.3540000000000001E-4</v>
      </c>
      <c r="D887" s="92">
        <v>4.506E-4</v>
      </c>
      <c r="E887" s="236">
        <v>185440.27</v>
      </c>
      <c r="F887" s="236">
        <v>202227</v>
      </c>
      <c r="G887" s="236">
        <v>924065</v>
      </c>
      <c r="H887" s="236"/>
      <c r="I887" s="237">
        <v>17362</v>
      </c>
      <c r="J887" s="237">
        <v>809775</v>
      </c>
      <c r="K887" s="237">
        <v>63290</v>
      </c>
      <c r="L887" s="236">
        <v>1891</v>
      </c>
      <c r="M887" s="236"/>
      <c r="N887" s="237">
        <v>32380</v>
      </c>
      <c r="O887" s="237">
        <v>298884</v>
      </c>
      <c r="P887" s="237">
        <v>0</v>
      </c>
      <c r="Q887" s="236">
        <v>15994</v>
      </c>
      <c r="R887" s="237">
        <f t="shared" si="13"/>
        <v>510891</v>
      </c>
      <c r="S887" s="236"/>
      <c r="T887" s="237">
        <v>246989</v>
      </c>
      <c r="U887" s="238">
        <v>-4419</v>
      </c>
      <c r="V887" s="238">
        <v>242569</v>
      </c>
    </row>
    <row r="888" spans="1:22">
      <c r="A888" s="231">
        <v>99717</v>
      </c>
      <c r="B888" s="232" t="s">
        <v>1598</v>
      </c>
      <c r="C888" s="92">
        <v>2.3200000000000001E-5</v>
      </c>
      <c r="D888" s="92">
        <v>2.2399999999999999E-5</v>
      </c>
      <c r="E888" s="236">
        <v>7624.5799999999981</v>
      </c>
      <c r="F888" s="236">
        <v>10053</v>
      </c>
      <c r="G888" s="236">
        <v>49238</v>
      </c>
      <c r="H888" s="236"/>
      <c r="I888" s="237">
        <v>925.1</v>
      </c>
      <c r="J888" s="237">
        <v>43148</v>
      </c>
      <c r="K888" s="237">
        <v>3372</v>
      </c>
      <c r="L888" s="236">
        <v>0</v>
      </c>
      <c r="M888" s="236"/>
      <c r="N888" s="237">
        <v>1725</v>
      </c>
      <c r="O888" s="237">
        <v>15926</v>
      </c>
      <c r="P888" s="237">
        <v>0</v>
      </c>
      <c r="Q888" s="236">
        <v>2122</v>
      </c>
      <c r="R888" s="237">
        <f t="shared" si="13"/>
        <v>27222</v>
      </c>
      <c r="S888" s="236"/>
      <c r="T888" s="237">
        <v>13161</v>
      </c>
      <c r="U888" s="238">
        <v>-653</v>
      </c>
      <c r="V888" s="238">
        <v>12508</v>
      </c>
    </row>
    <row r="889" spans="1:22">
      <c r="A889" s="231">
        <v>99721</v>
      </c>
      <c r="B889" s="232" t="s">
        <v>1599</v>
      </c>
      <c r="C889" s="92">
        <v>6.2449999999999995E-4</v>
      </c>
      <c r="D889" s="92">
        <v>5.8460000000000001E-4</v>
      </c>
      <c r="E889" s="236">
        <v>220767.11</v>
      </c>
      <c r="F889" s="236">
        <v>262365</v>
      </c>
      <c r="G889" s="236">
        <v>1325398</v>
      </c>
      <c r="H889" s="236"/>
      <c r="I889" s="237">
        <v>24902</v>
      </c>
      <c r="J889" s="237">
        <v>1161471</v>
      </c>
      <c r="K889" s="237">
        <v>90778</v>
      </c>
      <c r="L889" s="236">
        <v>0</v>
      </c>
      <c r="M889" s="236"/>
      <c r="N889" s="237">
        <v>46443</v>
      </c>
      <c r="O889" s="237">
        <v>428693</v>
      </c>
      <c r="P889" s="237">
        <v>0</v>
      </c>
      <c r="Q889" s="236">
        <v>11340</v>
      </c>
      <c r="R889" s="237">
        <f t="shared" si="13"/>
        <v>732778</v>
      </c>
      <c r="S889" s="236"/>
      <c r="T889" s="237">
        <v>354259</v>
      </c>
      <c r="U889" s="238">
        <v>-3889</v>
      </c>
      <c r="V889" s="238">
        <v>350371</v>
      </c>
    </row>
    <row r="890" spans="1:22">
      <c r="A890" s="231">
        <v>99727</v>
      </c>
      <c r="B890" s="232" t="s">
        <v>1600</v>
      </c>
      <c r="C890" s="92">
        <v>2.5299999999999998E-5</v>
      </c>
      <c r="D890" s="92">
        <v>2.8099999999999999E-5</v>
      </c>
      <c r="E890" s="236">
        <v>45027.6</v>
      </c>
      <c r="F890" s="236">
        <v>12611</v>
      </c>
      <c r="G890" s="236">
        <v>53695</v>
      </c>
      <c r="H890" s="236"/>
      <c r="I890" s="237">
        <v>1008.8375</v>
      </c>
      <c r="J890" s="237">
        <v>47054</v>
      </c>
      <c r="K890" s="237">
        <v>3678</v>
      </c>
      <c r="L890" s="236">
        <v>46298</v>
      </c>
      <c r="M890" s="236"/>
      <c r="N890" s="237">
        <v>1882</v>
      </c>
      <c r="O890" s="237">
        <v>17367</v>
      </c>
      <c r="P890" s="237">
        <v>0</v>
      </c>
      <c r="Q890" s="236">
        <v>0</v>
      </c>
      <c r="R890" s="237">
        <f t="shared" si="13"/>
        <v>29687</v>
      </c>
      <c r="S890" s="236"/>
      <c r="T890" s="237">
        <v>14352</v>
      </c>
      <c r="U890" s="238">
        <v>14150</v>
      </c>
      <c r="V890" s="238">
        <v>28501</v>
      </c>
    </row>
    <row r="891" spans="1:22">
      <c r="A891" s="231">
        <v>99801</v>
      </c>
      <c r="B891" s="232" t="s">
        <v>1601</v>
      </c>
      <c r="C891" s="92">
        <v>5.1954999999999996E-3</v>
      </c>
      <c r="D891" s="92">
        <v>5.0806999999999996E-3</v>
      </c>
      <c r="E891" s="236">
        <v>2017956.21</v>
      </c>
      <c r="F891" s="236">
        <v>2280188</v>
      </c>
      <c r="G891" s="236">
        <v>11026591</v>
      </c>
      <c r="H891" s="236"/>
      <c r="I891" s="237">
        <v>207171</v>
      </c>
      <c r="J891" s="237">
        <v>9662809</v>
      </c>
      <c r="K891" s="237">
        <v>755223</v>
      </c>
      <c r="L891" s="236">
        <v>34255.86</v>
      </c>
      <c r="M891" s="236"/>
      <c r="N891" s="237">
        <v>386384</v>
      </c>
      <c r="O891" s="237">
        <v>3566493</v>
      </c>
      <c r="P891" s="237">
        <v>0</v>
      </c>
      <c r="Q891" s="236">
        <v>67721</v>
      </c>
      <c r="R891" s="237">
        <f t="shared" si="13"/>
        <v>6096316</v>
      </c>
      <c r="S891" s="236"/>
      <c r="T891" s="237">
        <v>2947246</v>
      </c>
      <c r="U891" s="238">
        <v>-3738</v>
      </c>
      <c r="V891" s="238">
        <v>2943508</v>
      </c>
    </row>
    <row r="892" spans="1:22">
      <c r="A892" s="231">
        <v>99802</v>
      </c>
      <c r="B892" s="232" t="s">
        <v>1602</v>
      </c>
      <c r="C892" s="92">
        <v>6.4999999999999996E-6</v>
      </c>
      <c r="D892" s="92">
        <v>7.7000000000000008E-6</v>
      </c>
      <c r="E892" s="236">
        <v>3763.7499999999995</v>
      </c>
      <c r="F892" s="236">
        <v>3456</v>
      </c>
      <c r="G892" s="236">
        <v>13795</v>
      </c>
      <c r="H892" s="236"/>
      <c r="I892" s="237">
        <v>259.1875</v>
      </c>
      <c r="J892" s="237">
        <v>12089</v>
      </c>
      <c r="K892" s="237">
        <v>945</v>
      </c>
      <c r="L892" s="236">
        <v>358</v>
      </c>
      <c r="M892" s="236"/>
      <c r="N892" s="237">
        <v>483</v>
      </c>
      <c r="O892" s="237">
        <v>4462</v>
      </c>
      <c r="P892" s="237">
        <v>0</v>
      </c>
      <c r="Q892" s="236">
        <v>107</v>
      </c>
      <c r="R892" s="237">
        <f t="shared" si="13"/>
        <v>7627</v>
      </c>
      <c r="S892" s="236"/>
      <c r="T892" s="237">
        <v>3687</v>
      </c>
      <c r="U892" s="238">
        <v>52</v>
      </c>
      <c r="V892" s="238">
        <v>3740</v>
      </c>
    </row>
    <row r="893" spans="1:22">
      <c r="A893" s="231">
        <v>99804</v>
      </c>
      <c r="B893" s="232" t="s">
        <v>1603</v>
      </c>
      <c r="C893" s="92">
        <v>8.6600000000000004E-5</v>
      </c>
      <c r="D893" s="92">
        <v>8.7999999999999998E-5</v>
      </c>
      <c r="E893" s="236">
        <v>41606.69999999999</v>
      </c>
      <c r="F893" s="236">
        <v>39494</v>
      </c>
      <c r="G893" s="236">
        <v>183794</v>
      </c>
      <c r="H893" s="236"/>
      <c r="I893" s="237">
        <v>3453</v>
      </c>
      <c r="J893" s="237">
        <v>161062</v>
      </c>
      <c r="K893" s="237">
        <v>12588</v>
      </c>
      <c r="L893" s="236">
        <v>10128</v>
      </c>
      <c r="M893" s="236"/>
      <c r="N893" s="237">
        <v>6440</v>
      </c>
      <c r="O893" s="237">
        <v>59447</v>
      </c>
      <c r="P893" s="237">
        <v>0</v>
      </c>
      <c r="Q893" s="236">
        <v>0</v>
      </c>
      <c r="R893" s="237">
        <f t="shared" si="13"/>
        <v>101615</v>
      </c>
      <c r="S893" s="236"/>
      <c r="T893" s="237">
        <v>49125</v>
      </c>
      <c r="U893" s="238">
        <v>3221</v>
      </c>
      <c r="V893" s="238">
        <v>52347</v>
      </c>
    </row>
    <row r="894" spans="1:22">
      <c r="A894" s="231">
        <v>99811</v>
      </c>
      <c r="B894" s="232" t="s">
        <v>1604</v>
      </c>
      <c r="C894" s="92">
        <v>6.8415000000000004E-3</v>
      </c>
      <c r="D894" s="92">
        <v>6.9579999999999998E-3</v>
      </c>
      <c r="E894" s="236">
        <v>2561770.62</v>
      </c>
      <c r="F894" s="236">
        <v>3122709</v>
      </c>
      <c r="G894" s="236">
        <v>14519955</v>
      </c>
      <c r="H894" s="236"/>
      <c r="I894" s="237">
        <v>272805</v>
      </c>
      <c r="J894" s="237">
        <v>12724109</v>
      </c>
      <c r="K894" s="237">
        <v>994487</v>
      </c>
      <c r="L894" s="236">
        <v>0</v>
      </c>
      <c r="M894" s="236"/>
      <c r="N894" s="237">
        <v>508796</v>
      </c>
      <c r="O894" s="237">
        <v>4696402</v>
      </c>
      <c r="P894" s="237">
        <v>0</v>
      </c>
      <c r="Q894" s="236">
        <v>526561</v>
      </c>
      <c r="R894" s="237">
        <f t="shared" si="13"/>
        <v>8027707</v>
      </c>
      <c r="S894" s="236"/>
      <c r="T894" s="237">
        <v>3880971</v>
      </c>
      <c r="U894" s="238">
        <v>-175139</v>
      </c>
      <c r="V894" s="238">
        <v>3705832</v>
      </c>
    </row>
    <row r="895" spans="1:22">
      <c r="A895" s="231">
        <v>99812</v>
      </c>
      <c r="B895" s="232" t="s">
        <v>1605</v>
      </c>
      <c r="C895" s="92">
        <v>2.5599999999999999E-5</v>
      </c>
      <c r="D895" s="92">
        <v>2.7399999999999999E-5</v>
      </c>
      <c r="E895" s="236">
        <v>18003.280000000006</v>
      </c>
      <c r="F895" s="236">
        <v>12297</v>
      </c>
      <c r="G895" s="236">
        <v>54332</v>
      </c>
      <c r="H895" s="236"/>
      <c r="I895" s="237">
        <v>1020.8</v>
      </c>
      <c r="J895" s="237">
        <v>47612</v>
      </c>
      <c r="K895" s="237">
        <v>3721</v>
      </c>
      <c r="L895" s="236">
        <v>8899</v>
      </c>
      <c r="M895" s="236"/>
      <c r="N895" s="237">
        <v>1904</v>
      </c>
      <c r="O895" s="237">
        <v>17573</v>
      </c>
      <c r="P895" s="237">
        <v>0</v>
      </c>
      <c r="Q895" s="236">
        <v>0</v>
      </c>
      <c r="R895" s="237">
        <f t="shared" si="13"/>
        <v>30039</v>
      </c>
      <c r="S895" s="236"/>
      <c r="T895" s="237">
        <v>14522</v>
      </c>
      <c r="U895" s="238">
        <v>2839</v>
      </c>
      <c r="V895" s="238">
        <v>17361</v>
      </c>
    </row>
    <row r="896" spans="1:22">
      <c r="A896" s="231">
        <v>99818</v>
      </c>
      <c r="B896" s="232" t="s">
        <v>1606</v>
      </c>
      <c r="C896" s="92">
        <v>3.7700000000000002E-5</v>
      </c>
      <c r="D896" s="92">
        <v>4.4199999999999997E-5</v>
      </c>
      <c r="E896" s="236">
        <v>16175.140000000003</v>
      </c>
      <c r="F896" s="236">
        <v>19837</v>
      </c>
      <c r="G896" s="236">
        <v>80012</v>
      </c>
      <c r="H896" s="236"/>
      <c r="I896" s="237">
        <v>1503</v>
      </c>
      <c r="J896" s="237">
        <v>70116</v>
      </c>
      <c r="K896" s="237">
        <v>5480</v>
      </c>
      <c r="L896" s="236">
        <v>5574</v>
      </c>
      <c r="M896" s="236"/>
      <c r="N896" s="237">
        <v>2804</v>
      </c>
      <c r="O896" s="237">
        <v>25879</v>
      </c>
      <c r="P896" s="237">
        <v>0</v>
      </c>
      <c r="Q896" s="236">
        <v>2988</v>
      </c>
      <c r="R896" s="237">
        <f t="shared" si="13"/>
        <v>44237</v>
      </c>
      <c r="S896" s="236"/>
      <c r="T896" s="237">
        <v>21386</v>
      </c>
      <c r="U896" s="238">
        <v>1745</v>
      </c>
      <c r="V896" s="238">
        <v>23131</v>
      </c>
    </row>
    <row r="897" spans="1:22">
      <c r="A897" s="231">
        <v>99821</v>
      </c>
      <c r="B897" s="232" t="s">
        <v>1607</v>
      </c>
      <c r="C897" s="92">
        <v>8.2899999999999996E-5</v>
      </c>
      <c r="D897" s="92">
        <v>8.42E-5</v>
      </c>
      <c r="E897" s="236">
        <v>42679.99</v>
      </c>
      <c r="F897" s="236">
        <v>37788</v>
      </c>
      <c r="G897" s="236">
        <v>175942</v>
      </c>
      <c r="H897" s="236"/>
      <c r="I897" s="237">
        <v>3306</v>
      </c>
      <c r="J897" s="237">
        <v>154181</v>
      </c>
      <c r="K897" s="237">
        <v>12050</v>
      </c>
      <c r="L897" s="236">
        <v>17868</v>
      </c>
      <c r="M897" s="236"/>
      <c r="N897" s="237">
        <v>6165</v>
      </c>
      <c r="O897" s="237">
        <v>56907</v>
      </c>
      <c r="P897" s="237">
        <v>0</v>
      </c>
      <c r="Q897" s="236">
        <v>860</v>
      </c>
      <c r="R897" s="237">
        <f t="shared" si="13"/>
        <v>97274</v>
      </c>
      <c r="S897" s="236"/>
      <c r="T897" s="237">
        <v>47027</v>
      </c>
      <c r="U897" s="238">
        <v>7184</v>
      </c>
      <c r="V897" s="238">
        <v>54211</v>
      </c>
    </row>
    <row r="898" spans="1:22">
      <c r="A898" s="231">
        <v>99831</v>
      </c>
      <c r="B898" s="232" t="s">
        <v>1608</v>
      </c>
      <c r="C898" s="92">
        <v>5.5899999999999997E-5</v>
      </c>
      <c r="D898" s="92">
        <v>5.0699999999999999E-5</v>
      </c>
      <c r="E898" s="236">
        <v>23539.8</v>
      </c>
      <c r="F898" s="236">
        <v>22754</v>
      </c>
      <c r="G898" s="236">
        <v>118639</v>
      </c>
      <c r="H898" s="236"/>
      <c r="I898" s="237">
        <v>2229</v>
      </c>
      <c r="J898" s="237">
        <v>103965</v>
      </c>
      <c r="K898" s="237">
        <v>8126</v>
      </c>
      <c r="L898" s="236">
        <v>3830</v>
      </c>
      <c r="M898" s="236"/>
      <c r="N898" s="237">
        <v>4157</v>
      </c>
      <c r="O898" s="237">
        <v>38373</v>
      </c>
      <c r="P898" s="237">
        <v>0</v>
      </c>
      <c r="Q898" s="236">
        <v>873</v>
      </c>
      <c r="R898" s="237">
        <f t="shared" si="13"/>
        <v>65592</v>
      </c>
      <c r="S898" s="236"/>
      <c r="T898" s="237">
        <v>31710</v>
      </c>
      <c r="U898" s="238">
        <v>823</v>
      </c>
      <c r="V898" s="238">
        <v>32533</v>
      </c>
    </row>
    <row r="899" spans="1:22">
      <c r="A899" s="231">
        <v>99841</v>
      </c>
      <c r="B899" s="232" t="s">
        <v>1609</v>
      </c>
      <c r="C899" s="92">
        <v>4.6E-5</v>
      </c>
      <c r="D899" s="92">
        <v>4.6699999999999997E-5</v>
      </c>
      <c r="E899" s="236">
        <v>18090.39</v>
      </c>
      <c r="F899" s="236">
        <v>20959</v>
      </c>
      <c r="G899" s="236">
        <v>97627.41</v>
      </c>
      <c r="H899" s="236"/>
      <c r="I899" s="237">
        <v>1834.25</v>
      </c>
      <c r="J899" s="237">
        <v>85553</v>
      </c>
      <c r="K899" s="237">
        <v>6687</v>
      </c>
      <c r="L899" s="236">
        <v>1970</v>
      </c>
      <c r="M899" s="236"/>
      <c r="N899" s="237">
        <v>3421</v>
      </c>
      <c r="O899" s="237">
        <v>31577</v>
      </c>
      <c r="P899" s="237">
        <v>0</v>
      </c>
      <c r="Q899" s="236">
        <v>3207</v>
      </c>
      <c r="R899" s="237">
        <f t="shared" si="13"/>
        <v>53976</v>
      </c>
      <c r="S899" s="236"/>
      <c r="T899" s="237">
        <v>26094</v>
      </c>
      <c r="U899" s="238">
        <v>-661</v>
      </c>
      <c r="V899" s="238">
        <v>25434</v>
      </c>
    </row>
    <row r="900" spans="1:22">
      <c r="A900" s="231">
        <v>99851</v>
      </c>
      <c r="B900" s="232" t="s">
        <v>1610</v>
      </c>
      <c r="C900" s="92">
        <v>2.1999999999999999E-5</v>
      </c>
      <c r="D900" s="92">
        <v>2.0299999999999999E-5</v>
      </c>
      <c r="E900" s="236">
        <v>6172.1500000000005</v>
      </c>
      <c r="F900" s="236">
        <v>9111</v>
      </c>
      <c r="G900" s="236">
        <v>46691</v>
      </c>
      <c r="H900" s="236"/>
      <c r="I900" s="237">
        <v>877.25</v>
      </c>
      <c r="J900" s="237">
        <v>40917</v>
      </c>
      <c r="K900" s="237">
        <v>3198</v>
      </c>
      <c r="L900" s="236">
        <v>221</v>
      </c>
      <c r="M900" s="236"/>
      <c r="N900" s="237">
        <v>1636</v>
      </c>
      <c r="O900" s="237">
        <v>15102</v>
      </c>
      <c r="P900" s="237">
        <v>0</v>
      </c>
      <c r="Q900" s="236">
        <v>1432</v>
      </c>
      <c r="R900" s="237">
        <f t="shared" si="13"/>
        <v>25815</v>
      </c>
      <c r="S900" s="236"/>
      <c r="T900" s="237">
        <v>12480</v>
      </c>
      <c r="U900" s="238">
        <v>-310</v>
      </c>
      <c r="V900" s="238">
        <v>12170</v>
      </c>
    </row>
    <row r="901" spans="1:22">
      <c r="A901" s="231">
        <v>99901</v>
      </c>
      <c r="B901" s="232" t="s">
        <v>1611</v>
      </c>
      <c r="C901" s="92">
        <v>1.6371999999999999E-3</v>
      </c>
      <c r="D901" s="92">
        <v>1.5259E-3</v>
      </c>
      <c r="E901" s="236">
        <v>635103.91</v>
      </c>
      <c r="F901" s="236">
        <v>684815</v>
      </c>
      <c r="G901" s="236">
        <v>3474687</v>
      </c>
      <c r="H901" s="236"/>
      <c r="I901" s="237">
        <v>65283.35</v>
      </c>
      <c r="J901" s="237">
        <v>3044933</v>
      </c>
      <c r="K901" s="237">
        <v>237985</v>
      </c>
      <c r="L901" s="236">
        <v>67178</v>
      </c>
      <c r="M901" s="236"/>
      <c r="N901" s="237">
        <v>121757</v>
      </c>
      <c r="O901" s="237">
        <v>1123869</v>
      </c>
      <c r="P901" s="237">
        <v>0</v>
      </c>
      <c r="Q901" s="236">
        <v>24162.58</v>
      </c>
      <c r="R901" s="237">
        <f t="shared" si="13"/>
        <v>1921064</v>
      </c>
      <c r="S901" s="236"/>
      <c r="T901" s="237">
        <v>928733</v>
      </c>
      <c r="U901" s="238">
        <v>8817</v>
      </c>
      <c r="V901" s="238">
        <v>937550</v>
      </c>
    </row>
    <row r="902" spans="1:22">
      <c r="A902" s="231">
        <v>99911</v>
      </c>
      <c r="B902" s="232" t="s">
        <v>1612</v>
      </c>
      <c r="C902" s="92">
        <v>2.5520000000000002E-4</v>
      </c>
      <c r="D902" s="92">
        <v>2.766E-4</v>
      </c>
      <c r="E902" s="236">
        <v>106881.59000000001</v>
      </c>
      <c r="F902" s="236">
        <v>124136</v>
      </c>
      <c r="G902" s="236">
        <v>541620</v>
      </c>
      <c r="H902" s="236"/>
      <c r="I902" s="237">
        <v>10176.1</v>
      </c>
      <c r="J902" s="237">
        <v>474632</v>
      </c>
      <c r="K902" s="237">
        <v>37096</v>
      </c>
      <c r="L902" s="236">
        <v>2863</v>
      </c>
      <c r="M902" s="236"/>
      <c r="N902" s="237">
        <v>18979</v>
      </c>
      <c r="O902" s="237">
        <v>175184</v>
      </c>
      <c r="P902" s="237">
        <v>0</v>
      </c>
      <c r="Q902" s="236">
        <v>20527</v>
      </c>
      <c r="R902" s="237">
        <f t="shared" si="13"/>
        <v>299448</v>
      </c>
      <c r="S902" s="236"/>
      <c r="T902" s="237">
        <v>144767</v>
      </c>
      <c r="U902" s="238">
        <v>-6851</v>
      </c>
      <c r="V902" s="238">
        <v>137916</v>
      </c>
    </row>
    <row r="903" spans="1:22">
      <c r="A903" s="231">
        <v>99921</v>
      </c>
      <c r="B903" s="232" t="s">
        <v>1613</v>
      </c>
      <c r="C903" s="54">
        <v>1.5129999999999999E-4</v>
      </c>
      <c r="D903" s="54">
        <v>1.3889999999999999E-4</v>
      </c>
      <c r="E903" s="236">
        <v>55802.77</v>
      </c>
      <c r="F903" s="236">
        <v>62337</v>
      </c>
      <c r="G903" s="6">
        <v>321109</v>
      </c>
      <c r="H903" s="6"/>
      <c r="I903" s="248">
        <v>6033</v>
      </c>
      <c r="J903" s="248">
        <v>281394</v>
      </c>
      <c r="K903" s="248">
        <v>21993</v>
      </c>
      <c r="L903" s="6">
        <v>4809</v>
      </c>
      <c r="M903" s="6"/>
      <c r="N903" s="248">
        <v>11252</v>
      </c>
      <c r="O903" s="248">
        <v>103861</v>
      </c>
      <c r="P903" s="248">
        <v>0</v>
      </c>
      <c r="Q903" s="6">
        <v>7353</v>
      </c>
      <c r="R903" s="237">
        <f t="shared" si="13"/>
        <v>177533</v>
      </c>
      <c r="S903" s="6"/>
      <c r="T903" s="248">
        <v>85828</v>
      </c>
      <c r="U903" s="55">
        <v>-2145</v>
      </c>
      <c r="V903" s="55">
        <v>83683</v>
      </c>
    </row>
    <row r="904" spans="1:22" s="49" customFormat="1">
      <c r="A904" s="231">
        <v>99931</v>
      </c>
      <c r="B904" s="230" t="s">
        <v>1614</v>
      </c>
      <c r="C904" s="246">
        <v>2.51E-5</v>
      </c>
      <c r="D904" s="246">
        <v>2.5700000000000001E-5</v>
      </c>
      <c r="E904" s="236">
        <v>9194.32</v>
      </c>
      <c r="F904" s="236">
        <v>11534</v>
      </c>
      <c r="G904" s="261">
        <v>53271</v>
      </c>
      <c r="H904" s="261"/>
      <c r="I904" s="261">
        <v>1000.8625</v>
      </c>
      <c r="J904" s="261">
        <v>46682</v>
      </c>
      <c r="K904" s="261">
        <v>3649</v>
      </c>
      <c r="L904" s="261">
        <v>0</v>
      </c>
      <c r="N904" s="261">
        <v>1867</v>
      </c>
      <c r="O904" s="261">
        <v>17230</v>
      </c>
      <c r="P904" s="262">
        <v>0</v>
      </c>
      <c r="Q904" s="261">
        <v>5581</v>
      </c>
      <c r="R904" s="237">
        <f t="shared" si="13"/>
        <v>29452</v>
      </c>
      <c r="S904" s="261"/>
      <c r="T904" s="261">
        <v>14238</v>
      </c>
      <c r="U904" s="261">
        <v>-2038</v>
      </c>
      <c r="V904" s="261">
        <v>12201</v>
      </c>
    </row>
    <row r="905" spans="1:22">
      <c r="A905" s="53">
        <v>99941</v>
      </c>
      <c r="B905" s="214" t="s">
        <v>1615</v>
      </c>
      <c r="C905" s="54">
        <v>7.8200000000000003E-5</v>
      </c>
      <c r="D905" s="54">
        <v>8.7899999999999995E-5</v>
      </c>
      <c r="E905" s="236">
        <v>27969.51</v>
      </c>
      <c r="F905" s="236">
        <v>39449</v>
      </c>
      <c r="G905" s="261">
        <v>165967</v>
      </c>
      <c r="H905" s="261"/>
      <c r="I905" s="261">
        <v>3118</v>
      </c>
      <c r="J905" s="261">
        <v>145440</v>
      </c>
      <c r="K905" s="261">
        <v>11367</v>
      </c>
      <c r="L905" s="261">
        <v>0</v>
      </c>
      <c r="N905" s="261">
        <v>5816</v>
      </c>
      <c r="O905" s="261">
        <v>53681</v>
      </c>
      <c r="P905" s="262">
        <v>0</v>
      </c>
      <c r="Q905" s="261">
        <v>11883</v>
      </c>
      <c r="R905" s="237">
        <f t="shared" ref="R905:R907" si="14">IF(J905&gt;O905,J905-O905,O905-J905)</f>
        <v>91759</v>
      </c>
      <c r="S905" s="261"/>
      <c r="T905" s="261">
        <v>44360</v>
      </c>
      <c r="U905" s="261">
        <v>-3675</v>
      </c>
      <c r="V905" s="261">
        <v>40686</v>
      </c>
    </row>
    <row r="906" spans="1:22">
      <c r="A906" s="53">
        <v>99991</v>
      </c>
      <c r="B906" s="214" t="s">
        <v>1616</v>
      </c>
      <c r="C906" s="54">
        <v>5.6990000000000003E-4</v>
      </c>
      <c r="D906" s="54">
        <v>5.1539999999999995E-4</v>
      </c>
      <c r="E906" s="236">
        <v>214761.88</v>
      </c>
      <c r="F906" s="236">
        <v>231308</v>
      </c>
      <c r="G906" s="261">
        <v>1209519</v>
      </c>
      <c r="H906" s="261"/>
      <c r="I906" s="261">
        <v>22725</v>
      </c>
      <c r="J906" s="261">
        <v>1059924</v>
      </c>
      <c r="K906" s="261">
        <v>82841</v>
      </c>
      <c r="L906" s="261">
        <v>48305</v>
      </c>
      <c r="N906" s="261">
        <v>42383</v>
      </c>
      <c r="O906" s="261">
        <v>391212</v>
      </c>
      <c r="P906" s="262">
        <v>0</v>
      </c>
      <c r="Q906" s="261">
        <v>0</v>
      </c>
      <c r="R906" s="237">
        <f t="shared" si="14"/>
        <v>668712</v>
      </c>
      <c r="S906" s="261"/>
      <c r="T906" s="261">
        <v>323287</v>
      </c>
      <c r="U906" s="261">
        <v>19414</v>
      </c>
      <c r="V906" s="261">
        <v>342701</v>
      </c>
    </row>
    <row r="907" spans="1:22">
      <c r="A907" s="53">
        <v>99999</v>
      </c>
      <c r="B907" s="214" t="s">
        <v>1617</v>
      </c>
      <c r="C907" s="54">
        <v>1.0101000000000001E-3</v>
      </c>
      <c r="D907" s="54">
        <v>9.3599999999999998E-4</v>
      </c>
      <c r="E907" s="236">
        <v>441361.89999999991</v>
      </c>
      <c r="F907" s="236">
        <v>420071</v>
      </c>
      <c r="G907" s="261">
        <v>2143771</v>
      </c>
      <c r="H907" s="261"/>
      <c r="I907" s="261">
        <v>40278</v>
      </c>
      <c r="J907" s="261">
        <v>1878626</v>
      </c>
      <c r="K907" s="261">
        <v>146829</v>
      </c>
      <c r="L907" s="261">
        <v>111413</v>
      </c>
      <c r="N907" s="261">
        <v>75120</v>
      </c>
      <c r="O907" s="261">
        <v>693391</v>
      </c>
      <c r="P907" s="262">
        <v>0</v>
      </c>
      <c r="Q907" s="261">
        <v>43600.9</v>
      </c>
      <c r="R907" s="237">
        <f t="shared" si="14"/>
        <v>1185235</v>
      </c>
      <c r="S907" s="261"/>
      <c r="T907" s="261">
        <v>572998</v>
      </c>
      <c r="U907" s="261">
        <v>11793</v>
      </c>
      <c r="V907" s="261">
        <v>584791</v>
      </c>
    </row>
    <row r="908" spans="1:22">
      <c r="A908" s="53"/>
      <c r="C908" s="54"/>
      <c r="D908" s="54"/>
      <c r="E908" s="236"/>
      <c r="F908" s="236"/>
      <c r="G908" s="261"/>
      <c r="H908" s="261"/>
      <c r="I908" s="261"/>
      <c r="J908" s="261"/>
      <c r="K908" s="261"/>
      <c r="L908" s="261"/>
      <c r="N908" s="261"/>
      <c r="O908" s="261"/>
      <c r="P908" s="262"/>
      <c r="Q908" s="261"/>
      <c r="R908" s="237"/>
      <c r="S908" s="261"/>
      <c r="T908" s="261"/>
      <c r="U908" s="261"/>
      <c r="V908" s="261"/>
    </row>
    <row r="909" spans="1:22">
      <c r="A909" s="53"/>
      <c r="C909" s="54"/>
      <c r="D909" s="54"/>
      <c r="E909" s="236"/>
      <c r="F909" s="236"/>
      <c r="G909" s="261"/>
      <c r="H909" s="261"/>
      <c r="I909" s="261"/>
      <c r="J909" s="261"/>
      <c r="K909" s="261"/>
      <c r="L909" s="261"/>
      <c r="N909" s="261"/>
      <c r="O909" s="261"/>
      <c r="P909" s="262"/>
      <c r="Q909" s="261"/>
      <c r="R909" s="237"/>
      <c r="S909" s="261"/>
      <c r="T909" s="261"/>
      <c r="U909" s="261"/>
      <c r="V909" s="261"/>
    </row>
    <row r="911" spans="1:22">
      <c r="G911" s="101"/>
      <c r="H911" s="101"/>
      <c r="I911" s="101"/>
      <c r="J911" s="101"/>
      <c r="K911" s="101"/>
      <c r="L911" s="101"/>
      <c r="M911" s="101"/>
      <c r="N911" s="101"/>
      <c r="O911" s="101"/>
      <c r="P911" s="101"/>
      <c r="Q911" s="101"/>
      <c r="R911" s="101"/>
      <c r="S911" s="101"/>
      <c r="T911" s="101"/>
      <c r="U911" s="101"/>
      <c r="V911" s="101"/>
    </row>
    <row r="912" spans="1:22">
      <c r="B912" s="214" t="s">
        <v>691</v>
      </c>
      <c r="C912" s="8" t="s">
        <v>692</v>
      </c>
    </row>
    <row r="913" spans="2:22">
      <c r="B913" s="214" t="s">
        <v>2825</v>
      </c>
      <c r="C913" s="231">
        <v>96331</v>
      </c>
    </row>
    <row r="914" spans="2:22">
      <c r="B914" s="214" t="s">
        <v>2826</v>
      </c>
      <c r="C914" s="231">
        <v>94611</v>
      </c>
    </row>
    <row r="915" spans="2:22">
      <c r="B915" s="214" t="s">
        <v>91</v>
      </c>
      <c r="C915" s="231">
        <v>93402</v>
      </c>
      <c r="G915" s="49"/>
      <c r="H915" s="49"/>
      <c r="I915" s="49"/>
      <c r="J915" s="49"/>
      <c r="K915" s="49"/>
      <c r="L915" s="49"/>
      <c r="M915" s="49"/>
      <c r="N915" s="49"/>
      <c r="O915" s="49"/>
      <c r="P915" s="49"/>
      <c r="Q915" s="49"/>
      <c r="R915" s="49"/>
      <c r="S915" s="49"/>
      <c r="T915" s="49"/>
      <c r="U915" s="49"/>
      <c r="V915" s="49"/>
    </row>
    <row r="916" spans="2:22">
      <c r="B916" s="214" t="s">
        <v>2827</v>
      </c>
      <c r="C916" s="231">
        <v>94109</v>
      </c>
      <c r="D916" s="264"/>
      <c r="E916" s="264"/>
      <c r="F916" s="264"/>
    </row>
    <row r="917" spans="2:22">
      <c r="B917" s="214" t="s">
        <v>27</v>
      </c>
      <c r="C917" s="231">
        <v>90101</v>
      </c>
      <c r="D917" s="264"/>
      <c r="E917" s="264"/>
      <c r="F917" s="264"/>
    </row>
    <row r="918" spans="2:22">
      <c r="B918" s="214" t="s">
        <v>1621</v>
      </c>
      <c r="C918" s="231">
        <v>90117</v>
      </c>
      <c r="D918" s="264"/>
      <c r="E918" s="264"/>
      <c r="F918" s="264"/>
    </row>
    <row r="919" spans="2:22">
      <c r="B919" s="214" t="s">
        <v>2828</v>
      </c>
      <c r="C919" s="231">
        <v>90151</v>
      </c>
      <c r="D919" s="264"/>
      <c r="E919" s="264"/>
      <c r="F919" s="264"/>
    </row>
    <row r="920" spans="2:22">
      <c r="B920" s="214" t="s">
        <v>2829</v>
      </c>
      <c r="C920" s="231">
        <v>98417</v>
      </c>
      <c r="D920" s="264"/>
      <c r="E920" s="264"/>
      <c r="F920" s="264"/>
    </row>
    <row r="921" spans="2:22">
      <c r="B921" s="214" t="s">
        <v>167</v>
      </c>
      <c r="C921" s="231">
        <v>97008</v>
      </c>
      <c r="D921" s="264"/>
      <c r="E921" s="264"/>
      <c r="F921" s="264"/>
    </row>
    <row r="922" spans="2:22">
      <c r="B922" s="214" t="s">
        <v>168</v>
      </c>
      <c r="C922" s="231">
        <v>97010</v>
      </c>
      <c r="D922" s="264"/>
      <c r="E922" s="264"/>
      <c r="F922" s="264"/>
    </row>
    <row r="923" spans="2:22">
      <c r="B923" s="214" t="s">
        <v>1622</v>
      </c>
      <c r="C923" s="231">
        <v>90096</v>
      </c>
      <c r="D923" s="264"/>
      <c r="E923" s="264"/>
      <c r="F923" s="264"/>
    </row>
    <row r="924" spans="2:22">
      <c r="B924" s="214" t="s">
        <v>38</v>
      </c>
      <c r="C924" s="231">
        <v>90805</v>
      </c>
      <c r="D924" s="264"/>
      <c r="E924" s="264"/>
      <c r="F924" s="264"/>
    </row>
    <row r="925" spans="2:22">
      <c r="B925" s="214" t="s">
        <v>2830</v>
      </c>
      <c r="C925" s="231">
        <v>92109</v>
      </c>
      <c r="D925" s="264"/>
      <c r="E925" s="264"/>
      <c r="F925" s="264"/>
    </row>
    <row r="926" spans="2:22">
      <c r="B926" s="214" t="s">
        <v>2831</v>
      </c>
      <c r="C926" s="231">
        <v>98411</v>
      </c>
      <c r="D926" s="264"/>
      <c r="E926" s="264"/>
      <c r="F926" s="264"/>
    </row>
    <row r="927" spans="2:22">
      <c r="B927" s="214" t="s">
        <v>28</v>
      </c>
      <c r="C927" s="231">
        <v>90201</v>
      </c>
      <c r="D927" s="264"/>
      <c r="E927" s="264"/>
      <c r="F927" s="264"/>
    </row>
    <row r="928" spans="2:22">
      <c r="B928" s="214" t="s">
        <v>2832</v>
      </c>
      <c r="C928" s="231">
        <v>90203</v>
      </c>
      <c r="D928" s="264"/>
      <c r="E928" s="264"/>
      <c r="F928" s="264"/>
    </row>
    <row r="929" spans="2:6">
      <c r="B929" s="214" t="s">
        <v>2833</v>
      </c>
      <c r="C929" s="231">
        <v>90205</v>
      </c>
    </row>
    <row r="930" spans="2:6">
      <c r="B930" s="214" t="s">
        <v>2834</v>
      </c>
      <c r="C930" s="231">
        <v>90206</v>
      </c>
      <c r="D930" s="264"/>
      <c r="E930" s="264"/>
      <c r="F930" s="264"/>
    </row>
    <row r="931" spans="2:6">
      <c r="B931" s="214" t="s">
        <v>29</v>
      </c>
      <c r="C931" s="231">
        <v>90301</v>
      </c>
    </row>
    <row r="932" spans="2:6">
      <c r="B932" s="214" t="s">
        <v>2835</v>
      </c>
      <c r="C932" s="231">
        <v>93209</v>
      </c>
      <c r="D932" s="264"/>
      <c r="E932" s="264"/>
      <c r="F932" s="264"/>
    </row>
    <row r="933" spans="2:6">
      <c r="B933" s="214" t="s">
        <v>2836</v>
      </c>
      <c r="C933" s="231">
        <v>92021</v>
      </c>
    </row>
    <row r="934" spans="2:6">
      <c r="B934" s="214" t="s">
        <v>2837</v>
      </c>
      <c r="C934" s="231">
        <v>94347</v>
      </c>
    </row>
    <row r="935" spans="2:6">
      <c r="B935" s="214" t="s">
        <v>2838</v>
      </c>
      <c r="C935" s="231">
        <v>94351</v>
      </c>
    </row>
    <row r="936" spans="2:6">
      <c r="B936" s="214" t="s">
        <v>31</v>
      </c>
      <c r="C936" s="231">
        <v>90401</v>
      </c>
    </row>
    <row r="937" spans="2:6">
      <c r="B937" s="214" t="s">
        <v>2839</v>
      </c>
      <c r="C937" s="231">
        <v>90451</v>
      </c>
    </row>
    <row r="938" spans="2:6">
      <c r="B938" s="214" t="s">
        <v>2840</v>
      </c>
      <c r="C938" s="231">
        <v>99271</v>
      </c>
    </row>
    <row r="939" spans="2:6">
      <c r="B939" s="214" t="s">
        <v>2841</v>
      </c>
      <c r="C939" s="231">
        <v>90099</v>
      </c>
    </row>
    <row r="940" spans="2:6">
      <c r="B940" s="214" t="s">
        <v>227</v>
      </c>
      <c r="C940" s="231">
        <v>99705</v>
      </c>
    </row>
    <row r="941" spans="2:6">
      <c r="B941" s="214" t="s">
        <v>2842</v>
      </c>
      <c r="C941" s="231">
        <v>97651</v>
      </c>
    </row>
    <row r="942" spans="2:6">
      <c r="B942" s="214" t="s">
        <v>2843</v>
      </c>
      <c r="C942" s="231">
        <v>95106</v>
      </c>
    </row>
    <row r="943" spans="2:6">
      <c r="B943" s="214" t="s">
        <v>33</v>
      </c>
      <c r="C943" s="231">
        <v>90501</v>
      </c>
    </row>
    <row r="944" spans="2:6">
      <c r="B944" s="214" t="s">
        <v>2844</v>
      </c>
      <c r="C944" s="231">
        <v>97607</v>
      </c>
    </row>
    <row r="945" spans="2:3">
      <c r="B945" s="214" t="s">
        <v>2845</v>
      </c>
      <c r="C945" s="231">
        <v>97613</v>
      </c>
    </row>
    <row r="946" spans="2:3">
      <c r="B946" s="214" t="s">
        <v>2846</v>
      </c>
      <c r="C946" s="231">
        <v>97611</v>
      </c>
    </row>
    <row r="947" spans="2:3">
      <c r="B947" s="214" t="s">
        <v>2847</v>
      </c>
      <c r="C947" s="231">
        <v>91127</v>
      </c>
    </row>
    <row r="948" spans="2:3">
      <c r="B948" s="214" t="s">
        <v>49</v>
      </c>
      <c r="C948" s="231">
        <v>91128</v>
      </c>
    </row>
    <row r="949" spans="2:3">
      <c r="B949" s="214" t="s">
        <v>2848</v>
      </c>
      <c r="C949" s="231">
        <v>91121</v>
      </c>
    </row>
    <row r="950" spans="2:3">
      <c r="B950" s="214" t="s">
        <v>2849</v>
      </c>
      <c r="C950" s="231">
        <v>91681</v>
      </c>
    </row>
    <row r="951" spans="2:3">
      <c r="B951" s="214" t="s">
        <v>2850</v>
      </c>
      <c r="C951" s="231">
        <v>90811</v>
      </c>
    </row>
    <row r="952" spans="2:3">
      <c r="B952" s="214" t="s">
        <v>2851</v>
      </c>
      <c r="C952" s="231">
        <v>90721</v>
      </c>
    </row>
    <row r="953" spans="2:3">
      <c r="B953" s="214" t="s">
        <v>2852</v>
      </c>
      <c r="C953" s="231">
        <v>98271</v>
      </c>
    </row>
    <row r="954" spans="2:3">
      <c r="B954" s="214" t="s">
        <v>35</v>
      </c>
      <c r="C954" s="231">
        <v>90601</v>
      </c>
    </row>
    <row r="955" spans="2:3">
      <c r="B955" s="214" t="s">
        <v>259</v>
      </c>
      <c r="C955" s="231">
        <v>90602</v>
      </c>
    </row>
    <row r="956" spans="2:3">
      <c r="B956" s="214" t="s">
        <v>2853</v>
      </c>
      <c r="C956" s="231">
        <v>90605</v>
      </c>
    </row>
    <row r="957" spans="2:3">
      <c r="B957" s="214" t="s">
        <v>180</v>
      </c>
      <c r="C957" s="231">
        <v>97463</v>
      </c>
    </row>
    <row r="958" spans="2:3">
      <c r="B958" s="214" t="s">
        <v>2854</v>
      </c>
      <c r="C958" s="231">
        <v>97461</v>
      </c>
    </row>
    <row r="959" spans="2:3">
      <c r="B959" s="214" t="s">
        <v>2855</v>
      </c>
      <c r="C959" s="231">
        <v>90705</v>
      </c>
    </row>
    <row r="960" spans="2:3">
      <c r="B960" s="214" t="s">
        <v>2856</v>
      </c>
      <c r="C960" s="231">
        <v>98451</v>
      </c>
    </row>
    <row r="961" spans="2:3">
      <c r="B961" s="214" t="s">
        <v>2857</v>
      </c>
      <c r="C961" s="231">
        <v>96451</v>
      </c>
    </row>
    <row r="962" spans="2:3">
      <c r="B962" s="214" t="s">
        <v>2858</v>
      </c>
      <c r="C962" s="231">
        <v>96121</v>
      </c>
    </row>
    <row r="963" spans="2:3">
      <c r="B963" s="214" t="s">
        <v>2859</v>
      </c>
      <c r="C963" s="231">
        <v>91091</v>
      </c>
    </row>
    <row r="964" spans="2:3">
      <c r="B964" s="214" t="s">
        <v>2860</v>
      </c>
      <c r="C964" s="231">
        <v>90611</v>
      </c>
    </row>
    <row r="965" spans="2:3">
      <c r="B965" s="214" t="s">
        <v>163</v>
      </c>
      <c r="C965" s="231">
        <v>96918</v>
      </c>
    </row>
    <row r="966" spans="2:3">
      <c r="B966" s="214" t="s">
        <v>2861</v>
      </c>
      <c r="C966" s="231">
        <v>96911</v>
      </c>
    </row>
    <row r="967" spans="2:3">
      <c r="B967" s="214" t="s">
        <v>215</v>
      </c>
      <c r="C967" s="231">
        <v>99208</v>
      </c>
    </row>
    <row r="968" spans="2:3">
      <c r="B968" s="214" t="s">
        <v>36</v>
      </c>
      <c r="C968" s="231">
        <v>90701</v>
      </c>
    </row>
    <row r="969" spans="2:3">
      <c r="B969" s="214" t="s">
        <v>2862</v>
      </c>
      <c r="C969" s="231">
        <v>90704</v>
      </c>
    </row>
    <row r="970" spans="2:3">
      <c r="B970" s="214" t="s">
        <v>2863</v>
      </c>
      <c r="C970" s="231">
        <v>91633</v>
      </c>
    </row>
    <row r="971" spans="2:3">
      <c r="B971" s="214" t="s">
        <v>2864</v>
      </c>
      <c r="C971" s="231">
        <v>91631</v>
      </c>
    </row>
    <row r="972" spans="2:3">
      <c r="B972" s="214" t="s">
        <v>2865</v>
      </c>
      <c r="C972" s="231">
        <v>90631</v>
      </c>
    </row>
    <row r="973" spans="2:3">
      <c r="B973" s="214" t="s">
        <v>2866</v>
      </c>
      <c r="C973" s="231">
        <v>90731</v>
      </c>
    </row>
    <row r="974" spans="2:3">
      <c r="B974" s="214" t="s">
        <v>97</v>
      </c>
      <c r="C974" s="231">
        <v>93623</v>
      </c>
    </row>
    <row r="975" spans="2:3">
      <c r="B975" s="214" t="s">
        <v>2867</v>
      </c>
      <c r="C975" s="231">
        <v>93621</v>
      </c>
    </row>
    <row r="976" spans="2:3">
      <c r="B976" s="214" t="s">
        <v>2868</v>
      </c>
      <c r="C976" s="231">
        <v>91020</v>
      </c>
    </row>
    <row r="977" spans="2:3">
      <c r="B977" s="214" t="s">
        <v>128</v>
      </c>
      <c r="C977" s="231">
        <v>95103</v>
      </c>
    </row>
    <row r="978" spans="2:3">
      <c r="B978" s="214" t="s">
        <v>2869</v>
      </c>
      <c r="C978" s="231">
        <v>95141</v>
      </c>
    </row>
    <row r="979" spans="2:3">
      <c r="B979" s="214" t="s">
        <v>2870</v>
      </c>
      <c r="C979" s="231">
        <v>93021</v>
      </c>
    </row>
    <row r="980" spans="2:3">
      <c r="B980" s="214" t="s">
        <v>37</v>
      </c>
      <c r="C980" s="231">
        <v>90801</v>
      </c>
    </row>
    <row r="981" spans="2:3">
      <c r="B981" s="214" t="s">
        <v>2871</v>
      </c>
      <c r="C981" s="231">
        <v>90804</v>
      </c>
    </row>
    <row r="982" spans="2:3">
      <c r="B982" s="214" t="s">
        <v>39</v>
      </c>
      <c r="C982" s="231">
        <v>90808</v>
      </c>
    </row>
    <row r="983" spans="2:3">
      <c r="B983" s="214" t="s">
        <v>98</v>
      </c>
      <c r="C983" s="231">
        <v>93677</v>
      </c>
    </row>
    <row r="984" spans="2:3">
      <c r="B984" s="214" t="s">
        <v>2872</v>
      </c>
      <c r="C984" s="231">
        <v>93671</v>
      </c>
    </row>
    <row r="985" spans="2:3">
      <c r="B985" s="214" t="s">
        <v>2873</v>
      </c>
      <c r="C985" s="231">
        <v>97441</v>
      </c>
    </row>
    <row r="986" spans="2:3">
      <c r="B986" s="214" t="s">
        <v>2874</v>
      </c>
      <c r="C986" s="231">
        <v>93111</v>
      </c>
    </row>
    <row r="987" spans="2:3">
      <c r="B987" s="214" t="s">
        <v>2875</v>
      </c>
      <c r="C987" s="231">
        <v>91111</v>
      </c>
    </row>
    <row r="988" spans="2:3">
      <c r="B988" s="214" t="s">
        <v>2876</v>
      </c>
      <c r="C988" s="231">
        <v>96231</v>
      </c>
    </row>
    <row r="989" spans="2:3">
      <c r="B989" s="214" t="s">
        <v>2877</v>
      </c>
      <c r="C989" s="231">
        <v>99831</v>
      </c>
    </row>
    <row r="990" spans="2:3">
      <c r="B990" s="214" t="s">
        <v>2878</v>
      </c>
      <c r="C990" s="231">
        <v>91154</v>
      </c>
    </row>
    <row r="991" spans="2:3">
      <c r="B991" s="214" t="s">
        <v>2879</v>
      </c>
      <c r="C991" s="231">
        <v>91151</v>
      </c>
    </row>
    <row r="992" spans="2:3">
      <c r="B992" s="214" t="s">
        <v>40</v>
      </c>
      <c r="C992" s="231">
        <v>90901</v>
      </c>
    </row>
    <row r="993" spans="2:3">
      <c r="B993" s="214" t="s">
        <v>2880</v>
      </c>
      <c r="C993" s="231">
        <v>90941</v>
      </c>
    </row>
    <row r="994" spans="2:3">
      <c r="B994" s="214" t="s">
        <v>2881</v>
      </c>
      <c r="C994" s="231">
        <v>99527</v>
      </c>
    </row>
    <row r="995" spans="2:3">
      <c r="B995" s="214" t="s">
        <v>223</v>
      </c>
      <c r="C995" s="231">
        <v>99508</v>
      </c>
    </row>
    <row r="996" spans="2:3">
      <c r="B996" s="214" t="s">
        <v>2882</v>
      </c>
      <c r="C996" s="231">
        <v>99521</v>
      </c>
    </row>
    <row r="997" spans="2:3">
      <c r="B997" s="214" t="s">
        <v>118</v>
      </c>
      <c r="C997" s="231">
        <v>94532</v>
      </c>
    </row>
    <row r="998" spans="2:3">
      <c r="B998" s="214" t="s">
        <v>2883</v>
      </c>
      <c r="C998" s="231">
        <v>91077</v>
      </c>
    </row>
    <row r="999" spans="2:3">
      <c r="B999" s="214" t="s">
        <v>2884</v>
      </c>
      <c r="C999" s="231">
        <v>91071</v>
      </c>
    </row>
    <row r="1000" spans="2:3">
      <c r="B1000" s="214" t="s">
        <v>2885</v>
      </c>
      <c r="C1000" s="231">
        <v>92331</v>
      </c>
    </row>
    <row r="1001" spans="2:3">
      <c r="B1001" s="214" t="s">
        <v>2886</v>
      </c>
      <c r="C1001" s="231">
        <v>99511</v>
      </c>
    </row>
    <row r="1002" spans="2:3">
      <c r="B1002" s="214" t="s">
        <v>2887</v>
      </c>
      <c r="C1002" s="53">
        <v>99941</v>
      </c>
    </row>
    <row r="1003" spans="2:3">
      <c r="B1003" s="214" t="s">
        <v>152</v>
      </c>
      <c r="C1003" s="231">
        <v>96405</v>
      </c>
    </row>
    <row r="1004" spans="2:3">
      <c r="B1004" s="214" t="s">
        <v>2888</v>
      </c>
      <c r="C1004" s="231">
        <v>98817</v>
      </c>
    </row>
    <row r="1005" spans="2:3">
      <c r="B1005" s="214" t="s">
        <v>2889</v>
      </c>
      <c r="C1005" s="231">
        <v>98811</v>
      </c>
    </row>
    <row r="1006" spans="2:3">
      <c r="B1006" s="214" t="s">
        <v>2890</v>
      </c>
      <c r="C1006" s="231">
        <v>92561</v>
      </c>
    </row>
    <row r="1007" spans="2:3">
      <c r="B1007" s="214" t="s">
        <v>197</v>
      </c>
      <c r="C1007" s="231">
        <v>98102</v>
      </c>
    </row>
    <row r="1008" spans="2:3">
      <c r="B1008" s="214" t="s">
        <v>2891</v>
      </c>
      <c r="C1008" s="231">
        <v>95321</v>
      </c>
    </row>
    <row r="1009" spans="2:3">
      <c r="B1009" s="214" t="s">
        <v>2892</v>
      </c>
      <c r="C1009" s="231">
        <v>91861</v>
      </c>
    </row>
    <row r="1010" spans="2:3">
      <c r="B1010" s="214" t="s">
        <v>41</v>
      </c>
      <c r="C1010" s="231">
        <v>91001</v>
      </c>
    </row>
    <row r="1011" spans="2:3">
      <c r="B1011" s="214" t="s">
        <v>2893</v>
      </c>
      <c r="C1011" s="231">
        <v>91004</v>
      </c>
    </row>
    <row r="1012" spans="2:3">
      <c r="B1012" s="214" t="s">
        <v>2894</v>
      </c>
      <c r="C1012" s="231">
        <v>91006</v>
      </c>
    </row>
    <row r="1013" spans="2:3">
      <c r="B1013" s="214" t="s">
        <v>2895</v>
      </c>
      <c r="C1013" s="231">
        <v>91003</v>
      </c>
    </row>
    <row r="1014" spans="2:3">
      <c r="B1014" s="214" t="s">
        <v>2896</v>
      </c>
      <c r="C1014" s="231">
        <v>91009</v>
      </c>
    </row>
    <row r="1015" spans="2:3">
      <c r="B1015" s="214" t="s">
        <v>2897</v>
      </c>
      <c r="C1015" s="231">
        <v>91042</v>
      </c>
    </row>
    <row r="1016" spans="2:3">
      <c r="B1016" s="214" t="s">
        <v>2898</v>
      </c>
      <c r="C1016" s="231">
        <v>92421</v>
      </c>
    </row>
    <row r="1017" spans="2:3">
      <c r="B1017" s="214" t="s">
        <v>2899</v>
      </c>
      <c r="C1017" s="231">
        <v>98717</v>
      </c>
    </row>
    <row r="1018" spans="2:3">
      <c r="B1018" s="214" t="s">
        <v>2900</v>
      </c>
      <c r="C1018" s="231">
        <v>98711</v>
      </c>
    </row>
    <row r="1019" spans="2:3">
      <c r="B1019" s="214" t="s">
        <v>44</v>
      </c>
      <c r="C1019" s="231">
        <v>91101</v>
      </c>
    </row>
    <row r="1020" spans="2:3">
      <c r="B1020" s="214" t="s">
        <v>2901</v>
      </c>
      <c r="C1020" s="231">
        <v>93537</v>
      </c>
    </row>
    <row r="1021" spans="2:3">
      <c r="B1021" s="214" t="s">
        <v>2902</v>
      </c>
      <c r="C1021" s="231">
        <v>93531</v>
      </c>
    </row>
    <row r="1022" spans="2:3">
      <c r="B1022" s="214" t="s">
        <v>2903</v>
      </c>
      <c r="C1022" s="231">
        <v>97111</v>
      </c>
    </row>
    <row r="1023" spans="2:3">
      <c r="B1023" s="214" t="s">
        <v>50</v>
      </c>
      <c r="C1023" s="231">
        <v>91201</v>
      </c>
    </row>
    <row r="1024" spans="2:3">
      <c r="B1024" s="214" t="s">
        <v>2904</v>
      </c>
      <c r="C1024" s="231">
        <v>91206</v>
      </c>
    </row>
    <row r="1025" spans="2:3">
      <c r="B1025" s="214" t="s">
        <v>2905</v>
      </c>
      <c r="C1025" s="231">
        <v>91203</v>
      </c>
    </row>
    <row r="1026" spans="2:3">
      <c r="B1026" s="214" t="s">
        <v>2906</v>
      </c>
      <c r="C1026" s="231">
        <v>91208</v>
      </c>
    </row>
    <row r="1027" spans="2:3">
      <c r="B1027" s="214" t="s">
        <v>2907</v>
      </c>
      <c r="C1027" s="231">
        <v>91202</v>
      </c>
    </row>
    <row r="1028" spans="2:3">
      <c r="B1028" s="214" t="s">
        <v>2908</v>
      </c>
      <c r="C1028" s="231">
        <v>90111</v>
      </c>
    </row>
    <row r="1029" spans="2:3">
      <c r="B1029" s="214" t="s">
        <v>2909</v>
      </c>
      <c r="C1029" s="231">
        <v>90011</v>
      </c>
    </row>
    <row r="1030" spans="2:3">
      <c r="B1030" s="214" t="s">
        <v>2910</v>
      </c>
      <c r="C1030" s="231">
        <v>93931</v>
      </c>
    </row>
    <row r="1031" spans="2:3">
      <c r="B1031" s="214" t="s">
        <v>2911</v>
      </c>
      <c r="C1031" s="53">
        <v>91306</v>
      </c>
    </row>
    <row r="1032" spans="2:3">
      <c r="B1032" s="214" t="s">
        <v>2912</v>
      </c>
      <c r="C1032" s="231">
        <v>91308</v>
      </c>
    </row>
    <row r="1033" spans="2:3">
      <c r="B1033" s="214" t="s">
        <v>53</v>
      </c>
      <c r="C1033" s="53">
        <v>91301</v>
      </c>
    </row>
    <row r="1034" spans="2:3">
      <c r="B1034" s="214" t="s">
        <v>2913</v>
      </c>
      <c r="C1034" s="231">
        <v>91461</v>
      </c>
    </row>
    <row r="1035" spans="2:3">
      <c r="B1035" s="214" t="s">
        <v>2914</v>
      </c>
      <c r="C1035" s="231">
        <v>91007</v>
      </c>
    </row>
    <row r="1036" spans="2:3">
      <c r="B1036" s="214" t="s">
        <v>2915</v>
      </c>
      <c r="C1036" s="231">
        <v>91010</v>
      </c>
    </row>
    <row r="1037" spans="2:3">
      <c r="B1037" s="214" t="s">
        <v>54</v>
      </c>
      <c r="C1037" s="231">
        <v>91401</v>
      </c>
    </row>
    <row r="1038" spans="2:3">
      <c r="B1038" s="214" t="s">
        <v>2916</v>
      </c>
      <c r="C1038" s="231">
        <v>93171</v>
      </c>
    </row>
    <row r="1039" spans="2:3">
      <c r="B1039" s="214" t="s">
        <v>56</v>
      </c>
      <c r="C1039" s="231">
        <v>91501</v>
      </c>
    </row>
    <row r="1040" spans="2:3">
      <c r="B1040" s="214" t="s">
        <v>2917</v>
      </c>
      <c r="C1040" s="231">
        <v>91504</v>
      </c>
    </row>
    <row r="1041" spans="2:3">
      <c r="B1041" s="214" t="s">
        <v>2918</v>
      </c>
      <c r="C1041" s="231">
        <v>96312</v>
      </c>
    </row>
    <row r="1042" spans="2:3">
      <c r="B1042" s="214" t="s">
        <v>2919</v>
      </c>
      <c r="C1042" s="231">
        <v>96241</v>
      </c>
    </row>
    <row r="1043" spans="2:3">
      <c r="B1043" s="214" t="s">
        <v>2920</v>
      </c>
      <c r="C1043" s="231">
        <v>94437</v>
      </c>
    </row>
    <row r="1044" spans="2:3">
      <c r="B1044" s="214" t="s">
        <v>2921</v>
      </c>
      <c r="C1044" s="231">
        <v>94431</v>
      </c>
    </row>
    <row r="1045" spans="2:3">
      <c r="B1045" s="214" t="s">
        <v>2922</v>
      </c>
      <c r="C1045" s="231">
        <v>91671</v>
      </c>
    </row>
    <row r="1046" spans="2:3">
      <c r="B1046" s="214" t="s">
        <v>42</v>
      </c>
      <c r="C1046" s="231">
        <v>91008</v>
      </c>
    </row>
    <row r="1047" spans="2:3">
      <c r="B1047" s="214" t="s">
        <v>157</v>
      </c>
      <c r="C1047" s="231">
        <v>96512</v>
      </c>
    </row>
    <row r="1048" spans="2:3">
      <c r="B1048" s="214" t="s">
        <v>155</v>
      </c>
      <c r="C1048" s="231">
        <v>96507</v>
      </c>
    </row>
    <row r="1049" spans="2:3">
      <c r="B1049" s="214" t="s">
        <v>2923</v>
      </c>
      <c r="C1049" s="231">
        <v>96521</v>
      </c>
    </row>
    <row r="1050" spans="2:3">
      <c r="B1050" s="214" t="s">
        <v>2924</v>
      </c>
      <c r="C1050" s="231">
        <v>91024</v>
      </c>
    </row>
    <row r="1051" spans="2:3">
      <c r="B1051" s="214" t="s">
        <v>2925</v>
      </c>
      <c r="C1051" s="231">
        <v>96821</v>
      </c>
    </row>
    <row r="1052" spans="2:3">
      <c r="B1052" s="214" t="s">
        <v>57</v>
      </c>
      <c r="C1052" s="231">
        <v>91601</v>
      </c>
    </row>
    <row r="1053" spans="2:3">
      <c r="B1053" s="214" t="s">
        <v>2926</v>
      </c>
      <c r="C1053" s="231">
        <v>91604</v>
      </c>
    </row>
    <row r="1054" spans="2:3">
      <c r="B1054" s="214" t="s">
        <v>2927</v>
      </c>
      <c r="C1054" s="231">
        <v>96391</v>
      </c>
    </row>
    <row r="1055" spans="2:3">
      <c r="B1055" s="214" t="s">
        <v>2928</v>
      </c>
      <c r="C1055" s="231">
        <v>99221</v>
      </c>
    </row>
    <row r="1056" spans="2:3">
      <c r="B1056" s="214" t="s">
        <v>2929</v>
      </c>
      <c r="C1056" s="231">
        <v>91051</v>
      </c>
    </row>
    <row r="1057" spans="2:3">
      <c r="B1057" s="214" t="s">
        <v>58</v>
      </c>
      <c r="C1057" s="231">
        <v>91701</v>
      </c>
    </row>
    <row r="1058" spans="2:3">
      <c r="B1058" s="214" t="s">
        <v>2930</v>
      </c>
      <c r="C1058" s="231">
        <v>91704</v>
      </c>
    </row>
    <row r="1059" spans="2:3">
      <c r="B1059" s="214" t="s">
        <v>2931</v>
      </c>
      <c r="C1059" s="231">
        <v>91706</v>
      </c>
    </row>
    <row r="1060" spans="2:3">
      <c r="B1060" s="214" t="s">
        <v>59</v>
      </c>
      <c r="C1060" s="231">
        <v>91801</v>
      </c>
    </row>
    <row r="1061" spans="2:3">
      <c r="B1061" s="214" t="s">
        <v>2932</v>
      </c>
      <c r="C1061" s="231">
        <v>91804</v>
      </c>
    </row>
    <row r="1062" spans="2:3">
      <c r="B1062" s="214" t="s">
        <v>2933</v>
      </c>
      <c r="C1062" s="231">
        <v>91881</v>
      </c>
    </row>
    <row r="1063" spans="2:3">
      <c r="B1063" s="214" t="s">
        <v>2934</v>
      </c>
      <c r="C1063" s="231">
        <v>91691</v>
      </c>
    </row>
    <row r="1064" spans="2:3">
      <c r="B1064" s="214" t="s">
        <v>2935</v>
      </c>
      <c r="C1064" s="231">
        <v>99222</v>
      </c>
    </row>
    <row r="1065" spans="2:3">
      <c r="B1065" s="214" t="s">
        <v>1623</v>
      </c>
      <c r="C1065" s="231">
        <v>93408</v>
      </c>
    </row>
    <row r="1066" spans="2:3">
      <c r="B1066" s="214" t="s">
        <v>145</v>
      </c>
      <c r="C1066" s="231">
        <v>96009</v>
      </c>
    </row>
    <row r="1067" spans="2:3">
      <c r="B1067" s="214" t="s">
        <v>2936</v>
      </c>
      <c r="C1067" s="231">
        <v>92441</v>
      </c>
    </row>
    <row r="1068" spans="2:3">
      <c r="B1068" s="214" t="s">
        <v>2937</v>
      </c>
      <c r="C1068" s="231">
        <v>96811</v>
      </c>
    </row>
    <row r="1069" spans="2:3">
      <c r="B1069" s="214" t="s">
        <v>2938</v>
      </c>
      <c r="C1069" s="231">
        <v>96003</v>
      </c>
    </row>
    <row r="1070" spans="2:3">
      <c r="B1070" s="214" t="s">
        <v>2939</v>
      </c>
      <c r="C1070" s="231">
        <v>96018</v>
      </c>
    </row>
    <row r="1071" spans="2:3">
      <c r="B1071" s="214" t="s">
        <v>1624</v>
      </c>
      <c r="C1071" s="231">
        <v>96012</v>
      </c>
    </row>
    <row r="1072" spans="2:3">
      <c r="B1072" s="214" t="s">
        <v>2940</v>
      </c>
      <c r="C1072" s="231">
        <v>96011</v>
      </c>
    </row>
    <row r="1073" spans="2:3">
      <c r="B1073" s="214" t="s">
        <v>2941</v>
      </c>
      <c r="C1073" s="231">
        <v>96005</v>
      </c>
    </row>
    <row r="1074" spans="2:3">
      <c r="B1074" s="214" t="s">
        <v>61</v>
      </c>
      <c r="C1074" s="231">
        <v>91901</v>
      </c>
    </row>
    <row r="1075" spans="2:3">
      <c r="B1075" s="214" t="s">
        <v>2942</v>
      </c>
      <c r="C1075" s="231">
        <v>91904</v>
      </c>
    </row>
    <row r="1076" spans="2:3">
      <c r="B1076" s="214" t="s">
        <v>2943</v>
      </c>
      <c r="C1076" s="231">
        <v>91903</v>
      </c>
    </row>
    <row r="1077" spans="2:3">
      <c r="B1077" s="214" t="s">
        <v>63</v>
      </c>
      <c r="C1077" s="231">
        <v>92001</v>
      </c>
    </row>
    <row r="1078" spans="2:3">
      <c r="B1078" s="214" t="s">
        <v>2944</v>
      </c>
      <c r="C1078" s="231">
        <v>93647</v>
      </c>
    </row>
    <row r="1079" spans="2:3">
      <c r="B1079" s="214" t="s">
        <v>2945</v>
      </c>
      <c r="C1079" s="231">
        <v>93641</v>
      </c>
    </row>
    <row r="1080" spans="2:3">
      <c r="B1080" s="214" t="s">
        <v>2946</v>
      </c>
      <c r="C1080" s="231">
        <v>98041</v>
      </c>
    </row>
    <row r="1081" spans="2:3">
      <c r="B1081" s="214" t="s">
        <v>2947</v>
      </c>
      <c r="C1081" s="231">
        <v>96612</v>
      </c>
    </row>
    <row r="1082" spans="2:3">
      <c r="B1082" s="214" t="s">
        <v>2948</v>
      </c>
      <c r="C1082" s="231">
        <v>90751</v>
      </c>
    </row>
    <row r="1083" spans="2:3">
      <c r="B1083" s="214" t="s">
        <v>65</v>
      </c>
      <c r="C1083" s="231">
        <v>92101</v>
      </c>
    </row>
    <row r="1084" spans="2:3">
      <c r="B1084" s="214" t="s">
        <v>2949</v>
      </c>
      <c r="C1084" s="231">
        <v>92104</v>
      </c>
    </row>
    <row r="1085" spans="2:3">
      <c r="B1085" s="214" t="s">
        <v>2950</v>
      </c>
      <c r="C1085" s="231">
        <v>99818</v>
      </c>
    </row>
    <row r="1086" spans="2:3">
      <c r="B1086" s="214" t="s">
        <v>2951</v>
      </c>
      <c r="C1086" s="231">
        <v>91821</v>
      </c>
    </row>
    <row r="1087" spans="2:3">
      <c r="B1087" s="214" t="s">
        <v>2952</v>
      </c>
      <c r="C1087" s="231">
        <v>90931</v>
      </c>
    </row>
    <row r="1088" spans="2:3">
      <c r="B1088" s="214" t="s">
        <v>66</v>
      </c>
      <c r="C1088" s="231">
        <v>92201</v>
      </c>
    </row>
    <row r="1089" spans="2:3">
      <c r="B1089" s="214" t="s">
        <v>2953</v>
      </c>
      <c r="C1089" s="231">
        <v>95131</v>
      </c>
    </row>
    <row r="1090" spans="2:3">
      <c r="B1090" s="214" t="s">
        <v>94</v>
      </c>
      <c r="C1090" s="231">
        <v>93442</v>
      </c>
    </row>
    <row r="1091" spans="2:3">
      <c r="B1091" s="214" t="s">
        <v>2954</v>
      </c>
      <c r="C1091" s="231">
        <v>93441</v>
      </c>
    </row>
    <row r="1092" spans="2:3">
      <c r="B1092" s="214" t="s">
        <v>67</v>
      </c>
      <c r="C1092" s="231">
        <v>92301</v>
      </c>
    </row>
    <row r="1093" spans="2:3">
      <c r="B1093" s="214" t="s">
        <v>2955</v>
      </c>
      <c r="C1093" s="231">
        <v>92302</v>
      </c>
    </row>
    <row r="1094" spans="2:3">
      <c r="B1094" s="214" t="s">
        <v>2956</v>
      </c>
      <c r="C1094" s="231">
        <v>98091</v>
      </c>
    </row>
    <row r="1095" spans="2:3">
      <c r="B1095" s="214" t="s">
        <v>2957</v>
      </c>
      <c r="C1095" s="231">
        <v>98218</v>
      </c>
    </row>
    <row r="1096" spans="2:3">
      <c r="B1096" s="214" t="s">
        <v>2958</v>
      </c>
      <c r="C1096" s="231">
        <v>98211</v>
      </c>
    </row>
    <row r="1097" spans="2:3">
      <c r="B1097" s="214" t="s">
        <v>2959</v>
      </c>
      <c r="C1097" s="231">
        <v>96519</v>
      </c>
    </row>
    <row r="1098" spans="2:3">
      <c r="B1098" s="214" t="s">
        <v>2960</v>
      </c>
      <c r="C1098" s="231">
        <v>92508</v>
      </c>
    </row>
    <row r="1099" spans="2:3">
      <c r="B1099" s="214" t="s">
        <v>2961</v>
      </c>
      <c r="C1099" s="231">
        <v>94341</v>
      </c>
    </row>
    <row r="1100" spans="2:3">
      <c r="B1100" s="214" t="s">
        <v>2962</v>
      </c>
      <c r="C1100" s="231">
        <v>94641</v>
      </c>
    </row>
    <row r="1101" spans="2:3">
      <c r="B1101" s="214" t="s">
        <v>2963</v>
      </c>
      <c r="C1101" s="231">
        <v>90813</v>
      </c>
    </row>
    <row r="1102" spans="2:3">
      <c r="B1102" s="214" t="s">
        <v>107</v>
      </c>
      <c r="C1102" s="231">
        <v>94168</v>
      </c>
    </row>
    <row r="1103" spans="2:3">
      <c r="B1103" s="214" t="s">
        <v>2964</v>
      </c>
      <c r="C1103" s="231">
        <v>98911</v>
      </c>
    </row>
    <row r="1104" spans="2:3">
      <c r="B1104" s="214" t="s">
        <v>68</v>
      </c>
      <c r="C1104" s="231">
        <v>92401</v>
      </c>
    </row>
    <row r="1105" spans="2:3">
      <c r="B1105" s="214" t="s">
        <v>2965</v>
      </c>
      <c r="C1105" s="231">
        <v>97521</v>
      </c>
    </row>
    <row r="1106" spans="2:3">
      <c r="B1106" s="214" t="s">
        <v>2966</v>
      </c>
      <c r="C1106" s="231">
        <v>91317</v>
      </c>
    </row>
    <row r="1107" spans="2:3">
      <c r="B1107" s="214" t="s">
        <v>2967</v>
      </c>
      <c r="C1107" s="231">
        <v>91311</v>
      </c>
    </row>
    <row r="1108" spans="2:3">
      <c r="B1108" s="214" t="s">
        <v>2968</v>
      </c>
      <c r="C1108" s="231">
        <v>91261</v>
      </c>
    </row>
    <row r="1109" spans="2:3">
      <c r="B1109" s="214" t="s">
        <v>2969</v>
      </c>
      <c r="C1109" s="231">
        <v>91851</v>
      </c>
    </row>
    <row r="1110" spans="2:3">
      <c r="B1110" s="214" t="s">
        <v>2970</v>
      </c>
      <c r="C1110" s="231">
        <v>97408</v>
      </c>
    </row>
    <row r="1111" spans="2:3">
      <c r="B1111" s="214" t="s">
        <v>2971</v>
      </c>
      <c r="C1111" s="231">
        <v>96641</v>
      </c>
    </row>
    <row r="1112" spans="2:3">
      <c r="B1112" s="214" t="s">
        <v>2972</v>
      </c>
      <c r="C1112" s="231">
        <v>93027</v>
      </c>
    </row>
    <row r="1113" spans="2:3">
      <c r="B1113" s="214" t="s">
        <v>2973</v>
      </c>
      <c r="C1113" s="231">
        <v>93031</v>
      </c>
    </row>
    <row r="1114" spans="2:3">
      <c r="B1114" s="214" t="s">
        <v>2974</v>
      </c>
      <c r="C1114" s="231">
        <v>96051</v>
      </c>
    </row>
    <row r="1115" spans="2:3">
      <c r="B1115" s="214" t="s">
        <v>2975</v>
      </c>
      <c r="C1115" s="231">
        <v>92571</v>
      </c>
    </row>
    <row r="1116" spans="2:3">
      <c r="B1116" s="214" t="s">
        <v>2976</v>
      </c>
      <c r="C1116" s="231">
        <v>93631</v>
      </c>
    </row>
    <row r="1117" spans="2:3">
      <c r="B1117" s="214" t="s">
        <v>71</v>
      </c>
      <c r="C1117" s="231">
        <v>92501</v>
      </c>
    </row>
    <row r="1118" spans="2:3">
      <c r="B1118" s="214" t="s">
        <v>2977</v>
      </c>
      <c r="C1118" s="231">
        <v>92504</v>
      </c>
    </row>
    <row r="1119" spans="2:3">
      <c r="B1119" s="214" t="s">
        <v>2978</v>
      </c>
      <c r="C1119" s="231">
        <v>92506</v>
      </c>
    </row>
    <row r="1120" spans="2:3">
      <c r="B1120" s="214" t="s">
        <v>72</v>
      </c>
      <c r="C1120" s="231">
        <v>92505</v>
      </c>
    </row>
    <row r="1121" spans="2:3">
      <c r="B1121" s="214" t="s">
        <v>2979</v>
      </c>
      <c r="C1121" s="231">
        <v>93921</v>
      </c>
    </row>
    <row r="1122" spans="2:3">
      <c r="B1122" s="214" t="s">
        <v>2980</v>
      </c>
      <c r="C1122" s="231">
        <v>99431</v>
      </c>
    </row>
    <row r="1123" spans="2:3">
      <c r="B1123" s="214" t="s">
        <v>74</v>
      </c>
      <c r="C1123" s="231">
        <v>92601</v>
      </c>
    </row>
    <row r="1124" spans="2:3">
      <c r="B1124" s="214" t="s">
        <v>2981</v>
      </c>
      <c r="C1124" s="231">
        <v>92604</v>
      </c>
    </row>
    <row r="1125" spans="2:3">
      <c r="B1125" s="214" t="s">
        <v>75</v>
      </c>
      <c r="C1125" s="231">
        <v>92608</v>
      </c>
    </row>
    <row r="1126" spans="2:3">
      <c r="B1126" s="214" t="s">
        <v>76</v>
      </c>
      <c r="C1126" s="231">
        <v>92701</v>
      </c>
    </row>
    <row r="1127" spans="2:3">
      <c r="B1127" s="214" t="s">
        <v>2982</v>
      </c>
      <c r="C1127" s="231">
        <v>92704</v>
      </c>
    </row>
    <row r="1128" spans="2:3">
      <c r="B1128" s="214" t="s">
        <v>2983</v>
      </c>
      <c r="C1128" s="231">
        <v>93651</v>
      </c>
    </row>
    <row r="1129" spans="2:3">
      <c r="B1129" s="214" t="s">
        <v>77</v>
      </c>
      <c r="C1129" s="231">
        <v>92801</v>
      </c>
    </row>
    <row r="1130" spans="2:3">
      <c r="B1130" s="214" t="s">
        <v>2984</v>
      </c>
      <c r="C1130" s="231">
        <v>92804</v>
      </c>
    </row>
    <row r="1131" spans="2:3">
      <c r="B1131" s="214" t="s">
        <v>78</v>
      </c>
      <c r="C1131" s="231">
        <v>92802</v>
      </c>
    </row>
    <row r="1132" spans="2:3">
      <c r="B1132" s="214" t="s">
        <v>79</v>
      </c>
      <c r="C1132" s="231">
        <v>92901</v>
      </c>
    </row>
    <row r="1133" spans="2:3">
      <c r="B1133" s="214" t="s">
        <v>2985</v>
      </c>
      <c r="C1133" s="231">
        <v>96081</v>
      </c>
    </row>
    <row r="1134" spans="2:3">
      <c r="B1134" s="214" t="s">
        <v>82</v>
      </c>
      <c r="C1134" s="231">
        <v>93001</v>
      </c>
    </row>
    <row r="1135" spans="2:3">
      <c r="B1135" s="214" t="s">
        <v>2986</v>
      </c>
      <c r="C1135" s="231">
        <v>93009</v>
      </c>
    </row>
    <row r="1136" spans="2:3">
      <c r="B1136" s="214" t="s">
        <v>2987</v>
      </c>
      <c r="C1136" s="231">
        <v>92921</v>
      </c>
    </row>
    <row r="1137" spans="2:3">
      <c r="B1137" s="214" t="s">
        <v>2988</v>
      </c>
      <c r="C1137" s="231">
        <v>98627</v>
      </c>
    </row>
    <row r="1138" spans="2:3">
      <c r="B1138" s="214" t="s">
        <v>2989</v>
      </c>
      <c r="C1138" s="231">
        <v>98621</v>
      </c>
    </row>
    <row r="1139" spans="2:3">
      <c r="B1139" s="214" t="s">
        <v>2990</v>
      </c>
      <c r="C1139" s="231">
        <v>91221</v>
      </c>
    </row>
    <row r="1140" spans="2:3">
      <c r="B1140" s="214" t="s">
        <v>2991</v>
      </c>
      <c r="C1140" s="231">
        <v>92861</v>
      </c>
    </row>
    <row r="1141" spans="2:3">
      <c r="B1141" s="214" t="s">
        <v>2992</v>
      </c>
      <c r="C1141" s="231">
        <v>94317</v>
      </c>
    </row>
    <row r="1142" spans="2:3">
      <c r="B1142" s="214" t="s">
        <v>113</v>
      </c>
      <c r="C1142" s="231">
        <v>94313</v>
      </c>
    </row>
    <row r="1143" spans="2:3">
      <c r="B1143" s="214" t="s">
        <v>2993</v>
      </c>
      <c r="C1143" s="231">
        <v>94311</v>
      </c>
    </row>
    <row r="1144" spans="2:3">
      <c r="B1144" s="214" t="s">
        <v>83</v>
      </c>
      <c r="C1144" s="231">
        <v>93101</v>
      </c>
    </row>
    <row r="1145" spans="2:3">
      <c r="B1145" s="214" t="s">
        <v>260</v>
      </c>
      <c r="C1145" s="231">
        <v>93103</v>
      </c>
    </row>
    <row r="1146" spans="2:3">
      <c r="B1146" s="214" t="s">
        <v>2994</v>
      </c>
      <c r="C1146" s="231">
        <v>93212</v>
      </c>
    </row>
    <row r="1147" spans="2:3">
      <c r="B1147" s="214" t="s">
        <v>84</v>
      </c>
      <c r="C1147" s="231">
        <v>93201</v>
      </c>
    </row>
    <row r="1148" spans="2:3">
      <c r="B1148" s="214" t="s">
        <v>2995</v>
      </c>
      <c r="C1148" s="231">
        <v>93204</v>
      </c>
    </row>
    <row r="1149" spans="2:3">
      <c r="B1149" s="214" t="s">
        <v>2996</v>
      </c>
      <c r="C1149" s="231">
        <v>99212</v>
      </c>
    </row>
    <row r="1150" spans="2:3">
      <c r="B1150" s="214" t="s">
        <v>2997</v>
      </c>
      <c r="C1150" s="231">
        <v>93211</v>
      </c>
    </row>
    <row r="1151" spans="2:3">
      <c r="B1151" s="214" t="s">
        <v>166</v>
      </c>
      <c r="C1151" s="231">
        <v>97005</v>
      </c>
    </row>
    <row r="1152" spans="2:3">
      <c r="B1152" s="214" t="s">
        <v>2998</v>
      </c>
      <c r="C1152" s="231">
        <v>99931</v>
      </c>
    </row>
    <row r="1153" spans="2:3">
      <c r="B1153" s="214" t="s">
        <v>2999</v>
      </c>
      <c r="C1153" s="231">
        <v>92509</v>
      </c>
    </row>
    <row r="1154" spans="2:3">
      <c r="B1154" s="214" t="s">
        <v>195</v>
      </c>
      <c r="C1154" s="231">
        <v>98023</v>
      </c>
    </row>
    <row r="1155" spans="2:3">
      <c r="B1155" s="214" t="s">
        <v>3000</v>
      </c>
      <c r="C1155" s="231">
        <v>98021</v>
      </c>
    </row>
    <row r="1156" spans="2:3">
      <c r="B1156" s="214" t="s">
        <v>24</v>
      </c>
      <c r="C1156" s="231">
        <v>70505</v>
      </c>
    </row>
    <row r="1157" spans="2:3">
      <c r="B1157" s="214" t="s">
        <v>3001</v>
      </c>
      <c r="C1157" s="231">
        <v>99603</v>
      </c>
    </row>
    <row r="1158" spans="2:3">
      <c r="B1158" s="214" t="s">
        <v>3002</v>
      </c>
      <c r="C1158" s="231">
        <v>99610</v>
      </c>
    </row>
    <row r="1159" spans="2:3">
      <c r="B1159" s="214" t="s">
        <v>3003</v>
      </c>
      <c r="C1159" s="231">
        <v>92681</v>
      </c>
    </row>
    <row r="1160" spans="2:3">
      <c r="B1160" s="214" t="s">
        <v>1625</v>
      </c>
      <c r="C1160" s="231">
        <v>93108</v>
      </c>
    </row>
    <row r="1161" spans="2:3">
      <c r="B1161" s="214" t="s">
        <v>3004</v>
      </c>
      <c r="C1161" s="231">
        <v>97957</v>
      </c>
    </row>
    <row r="1162" spans="2:3">
      <c r="B1162" s="214" t="s">
        <v>3005</v>
      </c>
      <c r="C1162" s="231">
        <v>97951</v>
      </c>
    </row>
    <row r="1163" spans="2:3">
      <c r="B1163" s="214" t="s">
        <v>3006</v>
      </c>
      <c r="C1163" s="231">
        <v>92111</v>
      </c>
    </row>
    <row r="1164" spans="2:3">
      <c r="B1164" s="214" t="s">
        <v>87</v>
      </c>
      <c r="C1164" s="231">
        <v>93301</v>
      </c>
    </row>
    <row r="1165" spans="2:3">
      <c r="B1165" s="214" t="s">
        <v>3007</v>
      </c>
      <c r="C1165" s="231">
        <v>93304</v>
      </c>
    </row>
    <row r="1166" spans="2:3">
      <c r="B1166" s="214" t="s">
        <v>3008</v>
      </c>
      <c r="C1166" s="231">
        <v>93305</v>
      </c>
    </row>
    <row r="1167" spans="2:3">
      <c r="B1167" s="214" t="s">
        <v>3009</v>
      </c>
      <c r="C1167" s="231">
        <v>99210</v>
      </c>
    </row>
    <row r="1168" spans="2:3">
      <c r="B1168" s="214" t="s">
        <v>169</v>
      </c>
      <c r="C1168" s="231">
        <v>97011</v>
      </c>
    </row>
    <row r="1169" spans="2:3">
      <c r="B1169" s="214" t="s">
        <v>3010</v>
      </c>
      <c r="C1169" s="231">
        <v>97013</v>
      </c>
    </row>
    <row r="1170" spans="2:3">
      <c r="B1170" s="214" t="s">
        <v>3011</v>
      </c>
      <c r="C1170" s="231">
        <v>97012</v>
      </c>
    </row>
    <row r="1171" spans="2:3">
      <c r="B1171" s="214" t="s">
        <v>3012</v>
      </c>
      <c r="C1171" s="231">
        <v>97018</v>
      </c>
    </row>
    <row r="1172" spans="2:3">
      <c r="B1172" s="214" t="s">
        <v>3013</v>
      </c>
      <c r="C1172" s="231">
        <v>90917</v>
      </c>
    </row>
    <row r="1173" spans="2:3">
      <c r="B1173" s="214" t="s">
        <v>3014</v>
      </c>
      <c r="C1173" s="231">
        <v>90911</v>
      </c>
    </row>
    <row r="1174" spans="2:3">
      <c r="B1174" s="214" t="s">
        <v>3015</v>
      </c>
      <c r="C1174" s="231">
        <v>90641</v>
      </c>
    </row>
    <row r="1175" spans="2:3">
      <c r="B1175" s="214" t="s">
        <v>3016</v>
      </c>
      <c r="C1175" s="231">
        <v>98647</v>
      </c>
    </row>
    <row r="1176" spans="2:3">
      <c r="B1176" s="214" t="s">
        <v>3017</v>
      </c>
      <c r="C1176" s="231">
        <v>98641</v>
      </c>
    </row>
    <row r="1177" spans="2:3">
      <c r="B1177" s="214" t="s">
        <v>3018</v>
      </c>
      <c r="C1177" s="231">
        <v>98161</v>
      </c>
    </row>
    <row r="1178" spans="2:3">
      <c r="B1178" s="214" t="s">
        <v>3019</v>
      </c>
      <c r="C1178" s="231">
        <v>97731</v>
      </c>
    </row>
    <row r="1179" spans="2:3">
      <c r="B1179" s="214" t="s">
        <v>3020</v>
      </c>
      <c r="C1179" s="231">
        <v>99851</v>
      </c>
    </row>
    <row r="1180" spans="2:3">
      <c r="B1180" s="214" t="s">
        <v>3021</v>
      </c>
      <c r="C1180" s="231">
        <v>90131</v>
      </c>
    </row>
    <row r="1181" spans="2:3">
      <c r="B1181" s="214" t="s">
        <v>3022</v>
      </c>
      <c r="C1181" s="231">
        <v>91651</v>
      </c>
    </row>
    <row r="1182" spans="2:3">
      <c r="B1182" s="214" t="s">
        <v>3023</v>
      </c>
      <c r="C1182" s="231">
        <v>94211</v>
      </c>
    </row>
    <row r="1183" spans="2:3">
      <c r="B1183" s="214" t="s">
        <v>3024</v>
      </c>
      <c r="C1183" s="231">
        <v>94331</v>
      </c>
    </row>
    <row r="1184" spans="2:3">
      <c r="B1184" s="214" t="s">
        <v>3025</v>
      </c>
      <c r="C1184" s="231">
        <v>92431</v>
      </c>
    </row>
    <row r="1185" spans="2:3">
      <c r="B1185" s="214" t="s">
        <v>190</v>
      </c>
      <c r="C1185" s="231">
        <v>97823</v>
      </c>
    </row>
    <row r="1186" spans="2:3">
      <c r="B1186" s="214" t="s">
        <v>3026</v>
      </c>
      <c r="C1186" s="231">
        <v>97821</v>
      </c>
    </row>
    <row r="1187" spans="2:3">
      <c r="B1187" s="214" t="s">
        <v>3027</v>
      </c>
      <c r="C1187" s="231">
        <v>93141</v>
      </c>
    </row>
    <row r="1188" spans="2:3">
      <c r="B1188" s="214" t="s">
        <v>3028</v>
      </c>
      <c r="C1188" s="231">
        <v>98081</v>
      </c>
    </row>
    <row r="1189" spans="2:3">
      <c r="B1189" s="214" t="s">
        <v>3029</v>
      </c>
      <c r="C1189" s="231">
        <v>92671</v>
      </c>
    </row>
    <row r="1190" spans="2:3">
      <c r="B1190" s="214" t="s">
        <v>179</v>
      </c>
      <c r="C1190" s="231">
        <v>97423</v>
      </c>
    </row>
    <row r="1191" spans="2:3">
      <c r="B1191" s="214" t="s">
        <v>3030</v>
      </c>
      <c r="C1191" s="231">
        <v>97421</v>
      </c>
    </row>
    <row r="1192" spans="2:3">
      <c r="B1192" s="214" t="s">
        <v>3031</v>
      </c>
      <c r="C1192" s="231">
        <v>92613</v>
      </c>
    </row>
    <row r="1193" spans="2:3">
      <c r="B1193" s="214" t="s">
        <v>3032</v>
      </c>
      <c r="C1193" s="231">
        <v>92614</v>
      </c>
    </row>
    <row r="1194" spans="2:3">
      <c r="B1194" s="214" t="s">
        <v>3033</v>
      </c>
      <c r="C1194" s="231">
        <v>92611</v>
      </c>
    </row>
    <row r="1195" spans="2:3">
      <c r="B1195" s="214" t="s">
        <v>3034</v>
      </c>
      <c r="C1195" s="231">
        <v>92502</v>
      </c>
    </row>
    <row r="1196" spans="2:3">
      <c r="B1196" s="214" t="s">
        <v>3035</v>
      </c>
      <c r="C1196" s="231">
        <v>94531</v>
      </c>
    </row>
    <row r="1197" spans="2:3">
      <c r="B1197" s="214" t="s">
        <v>3036</v>
      </c>
      <c r="C1197" s="231">
        <v>94547</v>
      </c>
    </row>
    <row r="1198" spans="2:3">
      <c r="B1198" s="214" t="s">
        <v>3037</v>
      </c>
      <c r="C1198" s="231">
        <v>94541</v>
      </c>
    </row>
    <row r="1199" spans="2:3">
      <c r="B1199" s="214" t="s">
        <v>126</v>
      </c>
      <c r="C1199" s="231">
        <v>95005</v>
      </c>
    </row>
    <row r="1200" spans="2:3">
      <c r="B1200" s="214" t="s">
        <v>198</v>
      </c>
      <c r="C1200" s="231">
        <v>98111</v>
      </c>
    </row>
    <row r="1201" spans="2:3">
      <c r="B1201" s="214" t="s">
        <v>3038</v>
      </c>
      <c r="C1201" s="231">
        <v>98107</v>
      </c>
    </row>
    <row r="1202" spans="2:3">
      <c r="B1202" s="214" t="s">
        <v>199</v>
      </c>
      <c r="C1202" s="231">
        <v>98113</v>
      </c>
    </row>
    <row r="1203" spans="2:3">
      <c r="B1203" s="214" t="s">
        <v>3039</v>
      </c>
      <c r="C1203" s="231">
        <v>99602</v>
      </c>
    </row>
    <row r="1204" spans="2:3">
      <c r="B1204" s="214" t="s">
        <v>90</v>
      </c>
      <c r="C1204" s="231">
        <v>93401</v>
      </c>
    </row>
    <row r="1205" spans="2:3">
      <c r="B1205" s="214" t="s">
        <v>3040</v>
      </c>
      <c r="C1205" s="231">
        <v>97491</v>
      </c>
    </row>
    <row r="1206" spans="2:3">
      <c r="B1206" s="214" t="s">
        <v>3041</v>
      </c>
      <c r="C1206" s="231">
        <v>95151</v>
      </c>
    </row>
    <row r="1207" spans="2:3">
      <c r="B1207" s="214" t="s">
        <v>150</v>
      </c>
      <c r="C1207" s="231">
        <v>96381</v>
      </c>
    </row>
    <row r="1208" spans="2:3">
      <c r="B1208" s="214" t="s">
        <v>95</v>
      </c>
      <c r="C1208" s="231">
        <v>93501</v>
      </c>
    </row>
    <row r="1209" spans="2:3">
      <c r="B1209" s="214" t="s">
        <v>3042</v>
      </c>
      <c r="C1209" s="231">
        <v>95611</v>
      </c>
    </row>
    <row r="1210" spans="2:3">
      <c r="B1210" s="214" t="s">
        <v>3043</v>
      </c>
      <c r="C1210" s="231">
        <v>93517</v>
      </c>
    </row>
    <row r="1211" spans="2:3">
      <c r="B1211" s="214" t="s">
        <v>3044</v>
      </c>
      <c r="C1211" s="231">
        <v>93511</v>
      </c>
    </row>
    <row r="1212" spans="2:3">
      <c r="B1212" s="214" t="s">
        <v>3045</v>
      </c>
      <c r="C1212" s="231">
        <v>99631</v>
      </c>
    </row>
    <row r="1213" spans="2:3">
      <c r="B1213" s="214" t="s">
        <v>3046</v>
      </c>
      <c r="C1213" s="231">
        <v>99261</v>
      </c>
    </row>
    <row r="1214" spans="2:3">
      <c r="B1214" s="214" t="s">
        <v>3047</v>
      </c>
      <c r="C1214" s="231">
        <v>98241</v>
      </c>
    </row>
    <row r="1215" spans="2:3">
      <c r="B1215" s="214" t="s">
        <v>3048</v>
      </c>
      <c r="C1215" s="231">
        <v>99252</v>
      </c>
    </row>
    <row r="1216" spans="2:3">
      <c r="B1216" s="214" t="s">
        <v>3049</v>
      </c>
      <c r="C1216" s="231">
        <v>99251</v>
      </c>
    </row>
    <row r="1217" spans="2:3">
      <c r="B1217" s="214" t="s">
        <v>3050</v>
      </c>
      <c r="C1217" s="231">
        <v>96631</v>
      </c>
    </row>
    <row r="1218" spans="2:3">
      <c r="B1218" s="214" t="s">
        <v>3051</v>
      </c>
      <c r="C1218" s="231">
        <v>93618</v>
      </c>
    </row>
    <row r="1219" spans="2:3">
      <c r="B1219" s="214" t="s">
        <v>96</v>
      </c>
      <c r="C1219" s="231">
        <v>93601</v>
      </c>
    </row>
    <row r="1220" spans="2:3">
      <c r="B1220" s="214" t="s">
        <v>3052</v>
      </c>
      <c r="C1220" s="231">
        <v>96651</v>
      </c>
    </row>
    <row r="1221" spans="2:3">
      <c r="B1221" s="214" t="s">
        <v>3053</v>
      </c>
      <c r="C1221" s="231">
        <v>93617</v>
      </c>
    </row>
    <row r="1222" spans="2:3">
      <c r="B1222" s="214" t="s">
        <v>3054</v>
      </c>
      <c r="C1222" s="231">
        <v>93611</v>
      </c>
    </row>
    <row r="1223" spans="2:3">
      <c r="B1223" s="214" t="s">
        <v>99</v>
      </c>
      <c r="C1223" s="231">
        <v>93701</v>
      </c>
    </row>
    <row r="1224" spans="2:3">
      <c r="B1224" s="214" t="s">
        <v>3055</v>
      </c>
      <c r="C1224" s="231">
        <v>93704</v>
      </c>
    </row>
    <row r="1225" spans="2:3">
      <c r="B1225" s="214" t="s">
        <v>3056</v>
      </c>
      <c r="C1225" s="231">
        <v>98331</v>
      </c>
    </row>
    <row r="1226" spans="2:3">
      <c r="B1226" s="214" t="s">
        <v>3057</v>
      </c>
      <c r="C1226" s="231">
        <v>94157</v>
      </c>
    </row>
    <row r="1227" spans="2:3">
      <c r="B1227" s="214" t="s">
        <v>3058</v>
      </c>
      <c r="C1227" s="231">
        <v>94151</v>
      </c>
    </row>
    <row r="1228" spans="2:3">
      <c r="B1228" s="214" t="s">
        <v>3059</v>
      </c>
      <c r="C1228" s="231">
        <v>91241</v>
      </c>
    </row>
    <row r="1229" spans="2:3">
      <c r="B1229" s="214" t="s">
        <v>135</v>
      </c>
      <c r="C1229" s="231">
        <v>95412</v>
      </c>
    </row>
    <row r="1230" spans="2:3">
      <c r="B1230" s="214" t="s">
        <v>3060</v>
      </c>
      <c r="C1230" s="231">
        <v>99613</v>
      </c>
    </row>
    <row r="1231" spans="2:3">
      <c r="B1231" s="214" t="s">
        <v>3061</v>
      </c>
      <c r="C1231" s="231">
        <v>99611</v>
      </c>
    </row>
    <row r="1232" spans="2:3">
      <c r="B1232" s="214" t="s">
        <v>62</v>
      </c>
      <c r="C1232" s="231">
        <v>91908</v>
      </c>
    </row>
    <row r="1233" spans="2:3">
      <c r="B1233" s="214" t="s">
        <v>100</v>
      </c>
      <c r="C1233" s="231">
        <v>93801</v>
      </c>
    </row>
    <row r="1234" spans="2:3">
      <c r="B1234" s="214" t="s">
        <v>3062</v>
      </c>
      <c r="C1234" s="231">
        <v>93806</v>
      </c>
    </row>
    <row r="1235" spans="2:3">
      <c r="B1235" s="214" t="s">
        <v>3063</v>
      </c>
      <c r="C1235" s="231">
        <v>93803</v>
      </c>
    </row>
    <row r="1236" spans="2:3">
      <c r="B1236" s="214" t="s">
        <v>3064</v>
      </c>
      <c r="C1236" s="231">
        <v>90121</v>
      </c>
    </row>
    <row r="1237" spans="2:3">
      <c r="B1237" s="214" t="s">
        <v>3065</v>
      </c>
      <c r="C1237" s="231">
        <v>91417</v>
      </c>
    </row>
    <row r="1238" spans="2:3">
      <c r="B1238" s="214" t="s">
        <v>3066</v>
      </c>
      <c r="C1238" s="231">
        <v>91411</v>
      </c>
    </row>
    <row r="1239" spans="2:3">
      <c r="B1239" s="214" t="s">
        <v>3067</v>
      </c>
      <c r="C1239" s="231">
        <v>98061</v>
      </c>
    </row>
    <row r="1240" spans="2:3">
      <c r="B1240" s="214" t="s">
        <v>101</v>
      </c>
      <c r="C1240" s="231">
        <v>93901</v>
      </c>
    </row>
    <row r="1241" spans="2:3">
      <c r="B1241" s="214" t="s">
        <v>3068</v>
      </c>
      <c r="C1241" s="231">
        <v>93904</v>
      </c>
    </row>
    <row r="1242" spans="2:3">
      <c r="B1242" s="214" t="s">
        <v>102</v>
      </c>
      <c r="C1242" s="231">
        <v>93906</v>
      </c>
    </row>
    <row r="1243" spans="2:3">
      <c r="B1243" s="214" t="s">
        <v>3069</v>
      </c>
      <c r="C1243" s="231">
        <v>93908</v>
      </c>
    </row>
    <row r="1244" spans="2:3">
      <c r="B1244" s="214" t="s">
        <v>3070</v>
      </c>
      <c r="C1244" s="231">
        <v>94908</v>
      </c>
    </row>
    <row r="1245" spans="2:3">
      <c r="B1245" s="214" t="s">
        <v>3071</v>
      </c>
      <c r="C1245" s="231">
        <v>90161</v>
      </c>
    </row>
    <row r="1246" spans="2:3">
      <c r="B1246" s="214" t="s">
        <v>104</v>
      </c>
      <c r="C1246" s="231">
        <v>94001</v>
      </c>
    </row>
    <row r="1247" spans="2:3">
      <c r="B1247" s="214" t="s">
        <v>3072</v>
      </c>
      <c r="C1247" s="231">
        <v>94004</v>
      </c>
    </row>
    <row r="1248" spans="2:3">
      <c r="B1248" s="214" t="s">
        <v>3073</v>
      </c>
      <c r="C1248" s="231">
        <v>94117</v>
      </c>
    </row>
    <row r="1249" spans="2:3">
      <c r="B1249" s="214" t="s">
        <v>3074</v>
      </c>
      <c r="C1249" s="231">
        <v>94111</v>
      </c>
    </row>
    <row r="1250" spans="2:3">
      <c r="B1250" s="214" t="s">
        <v>178</v>
      </c>
      <c r="C1250" s="231">
        <v>97413</v>
      </c>
    </row>
    <row r="1251" spans="2:3">
      <c r="B1251" s="214" t="s">
        <v>177</v>
      </c>
      <c r="C1251" s="231">
        <v>97412</v>
      </c>
    </row>
    <row r="1252" spans="2:3">
      <c r="B1252" s="214" t="s">
        <v>3075</v>
      </c>
      <c r="C1252" s="231">
        <v>97411</v>
      </c>
    </row>
    <row r="1253" spans="2:3">
      <c r="B1253" s="214" t="s">
        <v>3076</v>
      </c>
      <c r="C1253" s="231">
        <v>97431</v>
      </c>
    </row>
    <row r="1254" spans="2:3">
      <c r="B1254" s="214" t="s">
        <v>3077</v>
      </c>
      <c r="C1254" s="231">
        <v>97471</v>
      </c>
    </row>
    <row r="1255" spans="2:3">
      <c r="B1255" s="214" t="s">
        <v>3078</v>
      </c>
      <c r="C1255" s="231">
        <v>92351</v>
      </c>
    </row>
    <row r="1256" spans="2:3">
      <c r="B1256" s="214" t="s">
        <v>3079</v>
      </c>
      <c r="C1256" s="231">
        <v>94118</v>
      </c>
    </row>
    <row r="1257" spans="2:3">
      <c r="B1257" s="214" t="s">
        <v>3080</v>
      </c>
      <c r="C1257" s="231">
        <v>94101</v>
      </c>
    </row>
    <row r="1258" spans="2:3">
      <c r="B1258" s="214" t="s">
        <v>106</v>
      </c>
      <c r="C1258" s="231">
        <v>94102</v>
      </c>
    </row>
    <row r="1259" spans="2:3">
      <c r="B1259" s="214" t="s">
        <v>109</v>
      </c>
      <c r="C1259" s="231">
        <v>94201</v>
      </c>
    </row>
    <row r="1260" spans="2:3">
      <c r="B1260" s="214" t="s">
        <v>3081</v>
      </c>
      <c r="C1260" s="231">
        <v>94204</v>
      </c>
    </row>
    <row r="1261" spans="2:3">
      <c r="B1261" s="214" t="s">
        <v>110</v>
      </c>
      <c r="C1261" s="231">
        <v>94205</v>
      </c>
    </row>
    <row r="1262" spans="2:3">
      <c r="B1262" s="214" t="s">
        <v>3082</v>
      </c>
      <c r="C1262" s="231">
        <v>95831</v>
      </c>
    </row>
    <row r="1263" spans="2:3">
      <c r="B1263" s="214" t="s">
        <v>3083</v>
      </c>
      <c r="C1263" s="231">
        <v>97717</v>
      </c>
    </row>
    <row r="1264" spans="2:3">
      <c r="B1264" s="214" t="s">
        <v>3084</v>
      </c>
      <c r="C1264" s="231">
        <v>97721</v>
      </c>
    </row>
    <row r="1265" spans="2:3">
      <c r="B1265" s="214" t="s">
        <v>112</v>
      </c>
      <c r="C1265" s="231">
        <v>94301</v>
      </c>
    </row>
    <row r="1266" spans="2:3">
      <c r="B1266" s="214" t="s">
        <v>3085</v>
      </c>
      <c r="C1266" s="231">
        <v>91441</v>
      </c>
    </row>
    <row r="1267" spans="2:3">
      <c r="B1267" s="214" t="s">
        <v>3086</v>
      </c>
      <c r="C1267" s="231">
        <v>92531</v>
      </c>
    </row>
    <row r="1268" spans="2:3">
      <c r="B1268" s="214" t="s">
        <v>3087</v>
      </c>
      <c r="C1268" s="231">
        <v>90141</v>
      </c>
    </row>
    <row r="1269" spans="2:3">
      <c r="B1269" s="214" t="s">
        <v>114</v>
      </c>
      <c r="C1269" s="231">
        <v>94401</v>
      </c>
    </row>
    <row r="1270" spans="2:3">
      <c r="B1270" s="214" t="s">
        <v>115</v>
      </c>
      <c r="C1270" s="231">
        <v>94402</v>
      </c>
    </row>
    <row r="1271" spans="2:3">
      <c r="B1271" s="214" t="s">
        <v>3088</v>
      </c>
      <c r="C1271" s="231">
        <v>94501</v>
      </c>
    </row>
    <row r="1272" spans="2:3">
      <c r="B1272" s="214" t="s">
        <v>3089</v>
      </c>
      <c r="C1272" s="231">
        <v>99111</v>
      </c>
    </row>
    <row r="1273" spans="2:3">
      <c r="B1273" s="214" t="s">
        <v>3090</v>
      </c>
      <c r="C1273" s="231">
        <v>94517</v>
      </c>
    </row>
    <row r="1274" spans="2:3">
      <c r="B1274" s="214" t="s">
        <v>117</v>
      </c>
      <c r="C1274" s="231">
        <v>94512</v>
      </c>
    </row>
    <row r="1275" spans="2:3">
      <c r="B1275" s="214" t="s">
        <v>3091</v>
      </c>
      <c r="C1275" s="231">
        <v>94511</v>
      </c>
    </row>
    <row r="1276" spans="2:3">
      <c r="B1276" s="214" t="s">
        <v>3092</v>
      </c>
      <c r="C1276" s="231">
        <v>97217</v>
      </c>
    </row>
    <row r="1277" spans="2:3">
      <c r="B1277" s="214" t="s">
        <v>119</v>
      </c>
      <c r="C1277" s="231">
        <v>94601</v>
      </c>
    </row>
    <row r="1278" spans="2:3">
      <c r="B1278" s="214" t="s">
        <v>3093</v>
      </c>
      <c r="C1278" s="231">
        <v>94604</v>
      </c>
    </row>
    <row r="1279" spans="2:3">
      <c r="B1279" s="214" t="s">
        <v>120</v>
      </c>
      <c r="C1279" s="231">
        <v>94606</v>
      </c>
    </row>
    <row r="1280" spans="2:3">
      <c r="B1280" s="214" t="s">
        <v>3094</v>
      </c>
      <c r="C1280" s="231">
        <v>97213</v>
      </c>
    </row>
    <row r="1281" spans="2:3">
      <c r="B1281" s="214" t="s">
        <v>3095</v>
      </c>
      <c r="C1281" s="231">
        <v>97211</v>
      </c>
    </row>
    <row r="1282" spans="2:3">
      <c r="B1282" s="214" t="s">
        <v>3096</v>
      </c>
      <c r="C1282" s="231">
        <v>91813</v>
      </c>
    </row>
    <row r="1283" spans="2:3">
      <c r="B1283" s="214" t="s">
        <v>3097</v>
      </c>
      <c r="C1283" s="231">
        <v>91811</v>
      </c>
    </row>
    <row r="1284" spans="2:3">
      <c r="B1284" s="214" t="s">
        <v>3098</v>
      </c>
      <c r="C1284" s="231">
        <v>91812</v>
      </c>
    </row>
    <row r="1285" spans="2:3">
      <c r="B1285" s="214" t="s">
        <v>3099</v>
      </c>
      <c r="C1285" s="231">
        <v>90617</v>
      </c>
    </row>
    <row r="1286" spans="2:3">
      <c r="B1286" s="214" t="s">
        <v>3100</v>
      </c>
      <c r="C1286" s="231">
        <v>94127</v>
      </c>
    </row>
    <row r="1287" spans="2:3">
      <c r="B1287" s="214" t="s">
        <v>3101</v>
      </c>
      <c r="C1287" s="231">
        <v>94121</v>
      </c>
    </row>
    <row r="1288" spans="2:3">
      <c r="B1288" s="214" t="s">
        <v>3102</v>
      </c>
      <c r="C1288" s="231">
        <v>95617</v>
      </c>
    </row>
    <row r="1289" spans="2:3">
      <c r="B1289" s="214" t="s">
        <v>3103</v>
      </c>
      <c r="C1289" s="231">
        <v>95621</v>
      </c>
    </row>
    <row r="1290" spans="2:3">
      <c r="B1290" s="214" t="s">
        <v>3104</v>
      </c>
      <c r="C1290" s="231">
        <v>91251</v>
      </c>
    </row>
    <row r="1291" spans="2:3">
      <c r="B1291" s="214" t="s">
        <v>3105</v>
      </c>
      <c r="C1291" s="231">
        <v>96831</v>
      </c>
    </row>
    <row r="1292" spans="2:3">
      <c r="B1292" s="214" t="s">
        <v>3106</v>
      </c>
      <c r="C1292" s="231">
        <v>94251</v>
      </c>
    </row>
    <row r="1293" spans="2:3">
      <c r="B1293" s="214" t="s">
        <v>121</v>
      </c>
      <c r="C1293" s="231">
        <v>94701</v>
      </c>
    </row>
    <row r="1294" spans="2:3">
      <c r="B1294" s="214" t="s">
        <v>3107</v>
      </c>
      <c r="C1294" s="231">
        <v>94704</v>
      </c>
    </row>
    <row r="1295" spans="2:3">
      <c r="B1295" s="214" t="s">
        <v>3108</v>
      </c>
      <c r="C1295" s="231">
        <v>91014</v>
      </c>
    </row>
    <row r="1296" spans="2:3">
      <c r="B1296" s="214" t="s">
        <v>160</v>
      </c>
      <c r="C1296" s="231">
        <v>96733</v>
      </c>
    </row>
    <row r="1297" spans="2:3">
      <c r="B1297" s="214" t="s">
        <v>3109</v>
      </c>
      <c r="C1297" s="231">
        <v>96731</v>
      </c>
    </row>
    <row r="1298" spans="2:3">
      <c r="B1298" s="214" t="s">
        <v>3110</v>
      </c>
      <c r="C1298" s="231">
        <v>99202</v>
      </c>
    </row>
    <row r="1299" spans="2:3">
      <c r="B1299" s="214" t="s">
        <v>3111</v>
      </c>
      <c r="C1299" s="231">
        <v>94011</v>
      </c>
    </row>
    <row r="1300" spans="2:3">
      <c r="B1300" s="214" t="s">
        <v>3112</v>
      </c>
      <c r="C1300" s="231">
        <v>92631</v>
      </c>
    </row>
    <row r="1301" spans="2:3">
      <c r="B1301" s="214" t="s">
        <v>140</v>
      </c>
      <c r="C1301" s="231">
        <v>95733</v>
      </c>
    </row>
    <row r="1302" spans="2:3">
      <c r="B1302" s="214" t="s">
        <v>3113</v>
      </c>
      <c r="C1302" s="231">
        <v>91431</v>
      </c>
    </row>
    <row r="1303" spans="2:3">
      <c r="B1303" s="214" t="s">
        <v>3114</v>
      </c>
      <c r="C1303" s="231">
        <v>96041</v>
      </c>
    </row>
    <row r="1304" spans="2:3">
      <c r="B1304" s="214" t="s">
        <v>122</v>
      </c>
      <c r="C1304" s="231">
        <v>94801</v>
      </c>
    </row>
    <row r="1305" spans="2:3">
      <c r="B1305" s="214" t="s">
        <v>3115</v>
      </c>
      <c r="C1305" s="231">
        <v>94804</v>
      </c>
    </row>
    <row r="1306" spans="2:3">
      <c r="B1306" s="214" t="s">
        <v>3116</v>
      </c>
      <c r="C1306" s="231">
        <v>91661</v>
      </c>
    </row>
    <row r="1307" spans="2:3">
      <c r="B1307" s="214" t="s">
        <v>1626</v>
      </c>
      <c r="C1307" s="231">
        <v>99014</v>
      </c>
    </row>
    <row r="1308" spans="2:3">
      <c r="B1308" s="214" t="s">
        <v>3117</v>
      </c>
      <c r="C1308" s="231">
        <v>99051</v>
      </c>
    </row>
    <row r="1309" spans="2:3">
      <c r="B1309" s="214" t="s">
        <v>123</v>
      </c>
      <c r="C1309" s="231">
        <v>94901</v>
      </c>
    </row>
    <row r="1310" spans="2:3">
      <c r="B1310" s="214" t="s">
        <v>3118</v>
      </c>
      <c r="C1310" s="231">
        <v>98109</v>
      </c>
    </row>
    <row r="1311" spans="2:3">
      <c r="B1311" s="214" t="s">
        <v>3119</v>
      </c>
      <c r="C1311" s="231">
        <v>98205</v>
      </c>
    </row>
    <row r="1312" spans="2:3">
      <c r="B1312" s="214" t="s">
        <v>125</v>
      </c>
      <c r="C1312" s="231">
        <v>95001</v>
      </c>
    </row>
    <row r="1313" spans="2:3">
      <c r="B1313" s="214" t="s">
        <v>1627</v>
      </c>
      <c r="C1313" s="231">
        <v>95017</v>
      </c>
    </row>
    <row r="1314" spans="2:3">
      <c r="B1314" s="214" t="s">
        <v>3120</v>
      </c>
      <c r="C1314" s="231">
        <v>96661</v>
      </c>
    </row>
    <row r="1315" spans="2:3">
      <c r="B1315" s="214" t="s">
        <v>3121</v>
      </c>
      <c r="C1315" s="231">
        <v>96711</v>
      </c>
    </row>
    <row r="1316" spans="2:3">
      <c r="B1316" s="214" t="s">
        <v>3122</v>
      </c>
      <c r="C1316" s="231">
        <v>94131</v>
      </c>
    </row>
    <row r="1317" spans="2:3">
      <c r="B1317" s="214" t="s">
        <v>3123</v>
      </c>
      <c r="C1317" s="231">
        <v>95841</v>
      </c>
    </row>
    <row r="1318" spans="2:3">
      <c r="B1318" s="214" t="s">
        <v>3124</v>
      </c>
      <c r="C1318" s="231">
        <v>90511</v>
      </c>
    </row>
    <row r="1319" spans="2:3">
      <c r="B1319" s="214" t="s">
        <v>127</v>
      </c>
      <c r="C1319" s="231">
        <v>95101</v>
      </c>
    </row>
    <row r="1320" spans="2:3">
      <c r="B1320" s="214" t="s">
        <v>3125</v>
      </c>
      <c r="C1320" s="231">
        <v>95104</v>
      </c>
    </row>
    <row r="1321" spans="2:3">
      <c r="B1321" s="214" t="s">
        <v>3126</v>
      </c>
      <c r="C1321" s="231">
        <v>95105</v>
      </c>
    </row>
    <row r="1322" spans="2:3">
      <c r="B1322" s="214" t="s">
        <v>1628</v>
      </c>
      <c r="C1322" s="231">
        <v>95110</v>
      </c>
    </row>
    <row r="1323" spans="2:3">
      <c r="B1323" s="214" t="s">
        <v>131</v>
      </c>
      <c r="C1323" s="231">
        <v>95201</v>
      </c>
    </row>
    <row r="1324" spans="2:3">
      <c r="B1324" s="214" t="s">
        <v>3127</v>
      </c>
      <c r="C1324" s="231">
        <v>95204</v>
      </c>
    </row>
    <row r="1325" spans="2:3">
      <c r="B1325" s="214" t="s">
        <v>3128</v>
      </c>
      <c r="C1325" s="231">
        <v>99921</v>
      </c>
    </row>
    <row r="1326" spans="2:3">
      <c r="B1326" s="214" t="s">
        <v>116</v>
      </c>
      <c r="C1326" s="231">
        <v>94408</v>
      </c>
    </row>
    <row r="1327" spans="2:3">
      <c r="B1327" s="214" t="s">
        <v>3129</v>
      </c>
      <c r="C1327" s="231">
        <v>91331</v>
      </c>
    </row>
    <row r="1328" spans="2:3">
      <c r="B1328" s="214" t="s">
        <v>3130</v>
      </c>
      <c r="C1328" s="231">
        <v>93127</v>
      </c>
    </row>
    <row r="1329" spans="2:3">
      <c r="B1329" s="214" t="s">
        <v>3131</v>
      </c>
      <c r="C1329" s="231">
        <v>93121</v>
      </c>
    </row>
    <row r="1330" spans="2:3">
      <c r="B1330" s="214" t="s">
        <v>3132</v>
      </c>
      <c r="C1330" s="231">
        <v>95171</v>
      </c>
    </row>
    <row r="1331" spans="2:3">
      <c r="B1331" s="214" t="s">
        <v>3133</v>
      </c>
      <c r="C1331" s="231">
        <v>93421</v>
      </c>
    </row>
    <row r="1332" spans="2:3">
      <c r="B1332" s="214" t="s">
        <v>3134</v>
      </c>
      <c r="C1332" s="231">
        <v>99110</v>
      </c>
    </row>
    <row r="1333" spans="2:3">
      <c r="B1333" s="214" t="s">
        <v>3135</v>
      </c>
      <c r="C1333" s="231">
        <v>99109</v>
      </c>
    </row>
    <row r="1334" spans="2:3">
      <c r="B1334" s="214" t="s">
        <v>3136</v>
      </c>
      <c r="C1334" s="231">
        <v>92821</v>
      </c>
    </row>
    <row r="1335" spans="2:3">
      <c r="B1335" s="214" t="s">
        <v>3137</v>
      </c>
      <c r="C1335" s="231">
        <v>98521</v>
      </c>
    </row>
    <row r="1336" spans="2:3">
      <c r="B1336" s="214" t="s">
        <v>3138</v>
      </c>
      <c r="C1336" s="231">
        <v>92327</v>
      </c>
    </row>
    <row r="1337" spans="2:3">
      <c r="B1337" s="214" t="s">
        <v>3139</v>
      </c>
      <c r="C1337" s="231">
        <v>92321</v>
      </c>
    </row>
    <row r="1338" spans="2:3">
      <c r="B1338" s="214" t="s">
        <v>3140</v>
      </c>
      <c r="C1338" s="231">
        <v>95413</v>
      </c>
    </row>
    <row r="1339" spans="2:3">
      <c r="B1339" s="214" t="s">
        <v>3141</v>
      </c>
      <c r="C1339" s="231">
        <v>95411</v>
      </c>
    </row>
    <row r="1340" spans="2:3">
      <c r="B1340" s="214" t="s">
        <v>3142</v>
      </c>
      <c r="C1340" s="231">
        <v>95415</v>
      </c>
    </row>
    <row r="1341" spans="2:3">
      <c r="B1341" s="214" t="s">
        <v>3143</v>
      </c>
      <c r="C1341" s="231">
        <v>92851</v>
      </c>
    </row>
    <row r="1342" spans="2:3">
      <c r="B1342" s="214" t="s">
        <v>3144</v>
      </c>
      <c r="C1342" s="231">
        <v>99291</v>
      </c>
    </row>
    <row r="1343" spans="2:3">
      <c r="B1343" s="214" t="s">
        <v>3145</v>
      </c>
      <c r="C1343" s="231">
        <v>96541</v>
      </c>
    </row>
    <row r="1344" spans="2:3">
      <c r="B1344" s="214" t="s">
        <v>3146</v>
      </c>
      <c r="C1344" s="231">
        <v>95431</v>
      </c>
    </row>
    <row r="1345" spans="2:3">
      <c r="B1345" s="214" t="s">
        <v>3147</v>
      </c>
      <c r="C1345" s="231">
        <v>98131</v>
      </c>
    </row>
    <row r="1346" spans="2:3">
      <c r="B1346" s="214" t="s">
        <v>3148</v>
      </c>
      <c r="C1346" s="231">
        <v>92427</v>
      </c>
    </row>
    <row r="1347" spans="2:3">
      <c r="B1347" s="214" t="s">
        <v>3149</v>
      </c>
      <c r="C1347" s="231">
        <v>92461</v>
      </c>
    </row>
    <row r="1348" spans="2:3">
      <c r="B1348" s="214" t="s">
        <v>3150</v>
      </c>
      <c r="C1348" s="231">
        <v>98051</v>
      </c>
    </row>
    <row r="1349" spans="2:3">
      <c r="B1349" s="214" t="s">
        <v>45</v>
      </c>
      <c r="C1349" s="231">
        <v>91102</v>
      </c>
    </row>
    <row r="1350" spans="2:3">
      <c r="B1350" s="214" t="s">
        <v>3151</v>
      </c>
      <c r="C1350" s="231">
        <v>94527</v>
      </c>
    </row>
    <row r="1351" spans="2:3">
      <c r="B1351" s="214" t="s">
        <v>3152</v>
      </c>
      <c r="C1351" s="231">
        <v>94521</v>
      </c>
    </row>
    <row r="1352" spans="2:3">
      <c r="B1352" s="214" t="s">
        <v>3153</v>
      </c>
      <c r="C1352" s="231">
        <v>98313</v>
      </c>
    </row>
    <row r="1353" spans="2:3">
      <c r="B1353" s="214" t="s">
        <v>3154</v>
      </c>
      <c r="C1353" s="231">
        <v>98311</v>
      </c>
    </row>
    <row r="1354" spans="2:3">
      <c r="B1354" s="214" t="s">
        <v>202</v>
      </c>
      <c r="C1354" s="231">
        <v>98308</v>
      </c>
    </row>
    <row r="1355" spans="2:3">
      <c r="B1355" s="214" t="s">
        <v>3155</v>
      </c>
      <c r="C1355" s="231">
        <v>92341</v>
      </c>
    </row>
    <row r="1356" spans="2:3">
      <c r="B1356" s="214" t="s">
        <v>132</v>
      </c>
      <c r="C1356" s="231">
        <v>95301</v>
      </c>
    </row>
    <row r="1357" spans="2:3">
      <c r="B1357" s="214" t="s">
        <v>3156</v>
      </c>
      <c r="C1357" s="231">
        <v>91002</v>
      </c>
    </row>
    <row r="1358" spans="2:3">
      <c r="B1358" s="214" t="s">
        <v>3157</v>
      </c>
      <c r="C1358" s="231">
        <v>91457</v>
      </c>
    </row>
    <row r="1359" spans="2:3">
      <c r="B1359" s="214" t="s">
        <v>133</v>
      </c>
      <c r="C1359" s="231">
        <v>95401</v>
      </c>
    </row>
    <row r="1360" spans="2:3">
      <c r="B1360" s="214" t="s">
        <v>3158</v>
      </c>
      <c r="C1360" s="231">
        <v>95404</v>
      </c>
    </row>
    <row r="1361" spans="2:3">
      <c r="B1361" s="214" t="s">
        <v>55</v>
      </c>
      <c r="C1361" s="231">
        <v>91423</v>
      </c>
    </row>
    <row r="1362" spans="2:3">
      <c r="B1362" s="214" t="s">
        <v>3159</v>
      </c>
      <c r="C1362" s="231">
        <v>91451</v>
      </c>
    </row>
    <row r="1363" spans="2:3">
      <c r="B1363" s="214" t="s">
        <v>3160</v>
      </c>
      <c r="C1363" s="231">
        <v>90861</v>
      </c>
    </row>
    <row r="1364" spans="2:3">
      <c r="B1364" s="214" t="s">
        <v>3161</v>
      </c>
      <c r="C1364" s="231">
        <v>93451</v>
      </c>
    </row>
    <row r="1365" spans="2:3">
      <c r="B1365" s="214" t="s">
        <v>3162</v>
      </c>
      <c r="C1365" s="231">
        <v>92917</v>
      </c>
    </row>
    <row r="1366" spans="2:3">
      <c r="B1366" s="214" t="s">
        <v>3163</v>
      </c>
      <c r="C1366" s="231">
        <v>92931</v>
      </c>
    </row>
    <row r="1367" spans="2:3">
      <c r="B1367" s="214" t="s">
        <v>3164</v>
      </c>
      <c r="C1367" s="231">
        <v>97637</v>
      </c>
    </row>
    <row r="1368" spans="2:3">
      <c r="B1368" s="214" t="s">
        <v>3165</v>
      </c>
      <c r="C1368" s="231">
        <v>97631</v>
      </c>
    </row>
    <row r="1369" spans="2:3">
      <c r="B1369" s="214" t="s">
        <v>3166</v>
      </c>
      <c r="C1369" s="231">
        <v>90421</v>
      </c>
    </row>
    <row r="1370" spans="2:3">
      <c r="B1370" s="214" t="s">
        <v>3167</v>
      </c>
      <c r="C1370" s="231">
        <v>94321</v>
      </c>
    </row>
    <row r="1371" spans="2:3">
      <c r="B1371" s="214" t="s">
        <v>136</v>
      </c>
      <c r="C1371" s="231">
        <v>95501</v>
      </c>
    </row>
    <row r="1372" spans="2:3">
      <c r="B1372" s="214" t="s">
        <v>3168</v>
      </c>
      <c r="C1372" s="231">
        <v>95504</v>
      </c>
    </row>
    <row r="1373" spans="2:3">
      <c r="B1373" s="214" t="s">
        <v>3169</v>
      </c>
      <c r="C1373" s="231">
        <v>95517</v>
      </c>
    </row>
    <row r="1374" spans="2:3">
      <c r="B1374" s="214" t="s">
        <v>137</v>
      </c>
      <c r="C1374" s="231">
        <v>95513</v>
      </c>
    </row>
    <row r="1375" spans="2:3">
      <c r="B1375" s="214" t="s">
        <v>3170</v>
      </c>
      <c r="C1375" s="231">
        <v>95511</v>
      </c>
    </row>
    <row r="1376" spans="2:3">
      <c r="B1376" s="214" t="s">
        <v>3171</v>
      </c>
      <c r="C1376" s="231">
        <v>92651</v>
      </c>
    </row>
    <row r="1377" spans="2:3">
      <c r="B1377" s="214" t="s">
        <v>3172</v>
      </c>
      <c r="C1377" s="231">
        <v>94261</v>
      </c>
    </row>
    <row r="1378" spans="2:3">
      <c r="B1378" s="214" t="s">
        <v>3173</v>
      </c>
      <c r="C1378" s="231">
        <v>98431</v>
      </c>
    </row>
    <row r="1379" spans="2:3">
      <c r="B1379" s="214" t="s">
        <v>3174</v>
      </c>
      <c r="C1379" s="231">
        <v>91841</v>
      </c>
    </row>
    <row r="1380" spans="2:3">
      <c r="B1380" s="214" t="s">
        <v>3175</v>
      </c>
      <c r="C1380" s="231">
        <v>93527</v>
      </c>
    </row>
    <row r="1381" spans="2:3">
      <c r="B1381" s="214" t="s">
        <v>3176</v>
      </c>
      <c r="C1381" s="231">
        <v>93521</v>
      </c>
    </row>
    <row r="1382" spans="2:3">
      <c r="B1382" s="214" t="s">
        <v>3177</v>
      </c>
      <c r="C1382" s="231">
        <v>93661</v>
      </c>
    </row>
    <row r="1383" spans="2:3">
      <c r="B1383" s="214" t="s">
        <v>156</v>
      </c>
      <c r="C1383" s="231">
        <v>96508</v>
      </c>
    </row>
    <row r="1384" spans="2:3">
      <c r="B1384" s="214" t="s">
        <v>3178</v>
      </c>
      <c r="C1384" s="231">
        <v>99841</v>
      </c>
    </row>
    <row r="1385" spans="2:3">
      <c r="B1385" s="214" t="s">
        <v>187</v>
      </c>
      <c r="C1385" s="231">
        <v>97802</v>
      </c>
    </row>
    <row r="1386" spans="2:3">
      <c r="B1386" s="214" t="s">
        <v>3179</v>
      </c>
      <c r="C1386" s="231">
        <v>97817</v>
      </c>
    </row>
    <row r="1387" spans="2:3">
      <c r="B1387" s="214" t="s">
        <v>3180</v>
      </c>
      <c r="C1387" s="231">
        <v>97818</v>
      </c>
    </row>
    <row r="1388" spans="2:3">
      <c r="B1388" s="214" t="s">
        <v>3181</v>
      </c>
      <c r="C1388" s="231">
        <v>97811</v>
      </c>
    </row>
    <row r="1389" spans="2:3">
      <c r="B1389" s="214" t="s">
        <v>3182</v>
      </c>
      <c r="C1389" s="231">
        <v>93341</v>
      </c>
    </row>
    <row r="1390" spans="2:3">
      <c r="B1390" s="214" t="s">
        <v>138</v>
      </c>
      <c r="C1390" s="231">
        <v>95601</v>
      </c>
    </row>
    <row r="1391" spans="2:3">
      <c r="B1391" s="214" t="s">
        <v>3183</v>
      </c>
      <c r="C1391" s="231">
        <v>97947</v>
      </c>
    </row>
    <row r="1392" spans="2:3">
      <c r="B1392" s="214" t="s">
        <v>139</v>
      </c>
      <c r="C1392" s="231">
        <v>95701</v>
      </c>
    </row>
    <row r="1393" spans="2:3">
      <c r="B1393" s="214" t="s">
        <v>3184</v>
      </c>
      <c r="C1393" s="231">
        <v>97941</v>
      </c>
    </row>
    <row r="1394" spans="2:3">
      <c r="B1394" s="214" t="s">
        <v>193</v>
      </c>
      <c r="C1394" s="231">
        <v>97948</v>
      </c>
    </row>
    <row r="1395" spans="2:3">
      <c r="B1395" s="214" t="s">
        <v>3185</v>
      </c>
      <c r="C1395" s="231">
        <v>94427</v>
      </c>
    </row>
    <row r="1396" spans="2:3">
      <c r="B1396" s="214" t="s">
        <v>3186</v>
      </c>
      <c r="C1396" s="231">
        <v>94428</v>
      </c>
    </row>
    <row r="1397" spans="2:3">
      <c r="B1397" s="214" t="s">
        <v>3187</v>
      </c>
      <c r="C1397" s="231">
        <v>94421</v>
      </c>
    </row>
    <row r="1398" spans="2:3">
      <c r="B1398" s="214" t="s">
        <v>3188</v>
      </c>
      <c r="C1398" s="231">
        <v>93191</v>
      </c>
    </row>
    <row r="1399" spans="2:3">
      <c r="B1399" s="214" t="s">
        <v>3189</v>
      </c>
      <c r="C1399" s="231">
        <v>91831</v>
      </c>
    </row>
    <row r="1400" spans="2:3">
      <c r="B1400" s="214" t="s">
        <v>3190</v>
      </c>
      <c r="C1400" s="231">
        <v>92831</v>
      </c>
    </row>
    <row r="1401" spans="2:3">
      <c r="B1401" s="214" t="s">
        <v>3191</v>
      </c>
      <c r="C1401" s="231">
        <v>95917</v>
      </c>
    </row>
    <row r="1402" spans="2:3">
      <c r="B1402" s="214" t="s">
        <v>3192</v>
      </c>
      <c r="C1402" s="231">
        <v>95911</v>
      </c>
    </row>
    <row r="1403" spans="2:3">
      <c r="B1403" s="214" t="s">
        <v>3193</v>
      </c>
      <c r="C1403" s="231">
        <v>95711</v>
      </c>
    </row>
    <row r="1404" spans="2:3">
      <c r="B1404" s="214" t="s">
        <v>3194</v>
      </c>
      <c r="C1404" s="231">
        <v>95721</v>
      </c>
    </row>
    <row r="1405" spans="2:3">
      <c r="B1405" s="214" t="s">
        <v>3195</v>
      </c>
      <c r="C1405" s="231">
        <v>99021</v>
      </c>
    </row>
    <row r="1406" spans="2:3">
      <c r="B1406" s="214" t="s">
        <v>141</v>
      </c>
      <c r="C1406" s="231">
        <v>95801</v>
      </c>
    </row>
    <row r="1407" spans="2:3">
      <c r="B1407" s="214" t="s">
        <v>3196</v>
      </c>
      <c r="C1407" s="231">
        <v>95804</v>
      </c>
    </row>
    <row r="1408" spans="2:3">
      <c r="B1408" s="214" t="s">
        <v>3197</v>
      </c>
      <c r="C1408" s="231">
        <v>95802</v>
      </c>
    </row>
    <row r="1409" spans="2:3">
      <c r="B1409" s="214" t="s">
        <v>3198</v>
      </c>
      <c r="C1409" s="231">
        <v>90092</v>
      </c>
    </row>
    <row r="1410" spans="2:3">
      <c r="B1410" s="214" t="s">
        <v>3199</v>
      </c>
      <c r="C1410" s="231">
        <v>99081</v>
      </c>
    </row>
    <row r="1411" spans="2:3">
      <c r="B1411" s="214" t="s">
        <v>3200</v>
      </c>
      <c r="C1411" s="231">
        <v>96071</v>
      </c>
    </row>
    <row r="1412" spans="2:3">
      <c r="B1412" s="214" t="s">
        <v>105</v>
      </c>
      <c r="C1412" s="231">
        <v>94002</v>
      </c>
    </row>
    <row r="1413" spans="2:3">
      <c r="B1413" s="214" t="s">
        <v>3201</v>
      </c>
      <c r="C1413" s="231">
        <v>97847</v>
      </c>
    </row>
    <row r="1414" spans="2:3">
      <c r="B1414" s="214" t="s">
        <v>3202</v>
      </c>
      <c r="C1414" s="231">
        <v>97840</v>
      </c>
    </row>
    <row r="1415" spans="2:3">
      <c r="B1415" s="214" t="s">
        <v>3203</v>
      </c>
      <c r="C1415" s="231">
        <v>97921</v>
      </c>
    </row>
    <row r="1416" spans="2:3">
      <c r="B1416" s="214" t="s">
        <v>3204</v>
      </c>
      <c r="C1416" s="231">
        <v>95221</v>
      </c>
    </row>
    <row r="1417" spans="2:3">
      <c r="B1417" s="214" t="s">
        <v>3205</v>
      </c>
      <c r="C1417" s="231">
        <v>93610</v>
      </c>
    </row>
    <row r="1418" spans="2:3">
      <c r="B1418" s="214" t="s">
        <v>3206</v>
      </c>
      <c r="C1418" s="231">
        <v>95901</v>
      </c>
    </row>
    <row r="1419" spans="2:3">
      <c r="B1419" s="214" t="s">
        <v>3207</v>
      </c>
      <c r="C1419" s="231">
        <v>90114</v>
      </c>
    </row>
    <row r="1420" spans="2:3">
      <c r="B1420" s="214" t="s">
        <v>144</v>
      </c>
      <c r="C1420" s="231">
        <v>96001</v>
      </c>
    </row>
    <row r="1421" spans="2:3">
      <c r="B1421" s="214" t="s">
        <v>3208</v>
      </c>
      <c r="C1421" s="231">
        <v>96004</v>
      </c>
    </row>
    <row r="1422" spans="2:3">
      <c r="B1422" s="214" t="s">
        <v>3209</v>
      </c>
      <c r="C1422" s="231">
        <v>96008</v>
      </c>
    </row>
    <row r="1423" spans="2:3">
      <c r="B1423" s="214" t="s">
        <v>47</v>
      </c>
      <c r="C1423" s="231">
        <v>91108</v>
      </c>
    </row>
    <row r="1424" spans="2:3">
      <c r="B1424" s="214" t="s">
        <v>3210</v>
      </c>
      <c r="C1424" s="231">
        <v>94941</v>
      </c>
    </row>
    <row r="1425" spans="2:3">
      <c r="B1425" s="214" t="s">
        <v>3211</v>
      </c>
      <c r="C1425" s="231">
        <v>95122</v>
      </c>
    </row>
    <row r="1426" spans="2:3">
      <c r="B1426" s="214" t="s">
        <v>3212</v>
      </c>
      <c r="C1426" s="231">
        <v>92607</v>
      </c>
    </row>
    <row r="1427" spans="2:3">
      <c r="B1427" s="214" t="s">
        <v>3213</v>
      </c>
      <c r="C1427" s="231">
        <v>96431</v>
      </c>
    </row>
    <row r="1428" spans="2:3">
      <c r="B1428" s="214" t="s">
        <v>1629</v>
      </c>
      <c r="C1428" s="231">
        <v>90709</v>
      </c>
    </row>
    <row r="1429" spans="2:3">
      <c r="B1429" s="214" t="s">
        <v>3214</v>
      </c>
      <c r="C1429" s="231">
        <v>91341</v>
      </c>
    </row>
    <row r="1430" spans="2:3">
      <c r="B1430" s="214" t="s">
        <v>3215</v>
      </c>
      <c r="C1430" s="231">
        <v>94551</v>
      </c>
    </row>
    <row r="1431" spans="2:3">
      <c r="B1431" s="214" t="s">
        <v>3216</v>
      </c>
      <c r="C1431" s="231">
        <v>99022</v>
      </c>
    </row>
    <row r="1432" spans="2:3">
      <c r="B1432" s="214" t="s">
        <v>3217</v>
      </c>
      <c r="C1432" s="231">
        <v>96031</v>
      </c>
    </row>
    <row r="1433" spans="2:3">
      <c r="B1433" s="214" t="s">
        <v>3218</v>
      </c>
      <c r="C1433" s="231">
        <v>71786</v>
      </c>
    </row>
    <row r="1434" spans="2:3">
      <c r="B1434" s="214" t="s">
        <v>146</v>
      </c>
      <c r="C1434" s="231">
        <v>96101</v>
      </c>
    </row>
    <row r="1435" spans="2:3">
      <c r="B1435" s="214" t="s">
        <v>3219</v>
      </c>
      <c r="C1435" s="231">
        <v>96102</v>
      </c>
    </row>
    <row r="1436" spans="2:3">
      <c r="B1436" s="214" t="s">
        <v>3220</v>
      </c>
      <c r="C1436" s="231">
        <v>93011</v>
      </c>
    </row>
    <row r="1437" spans="2:3">
      <c r="B1437" s="214" t="s">
        <v>3221</v>
      </c>
      <c r="C1437" s="231">
        <v>99017</v>
      </c>
    </row>
    <row r="1438" spans="2:3">
      <c r="B1438" s="214" t="s">
        <v>3222</v>
      </c>
      <c r="C1438" s="231">
        <v>99013</v>
      </c>
    </row>
    <row r="1439" spans="2:3">
      <c r="B1439" s="214" t="s">
        <v>3223</v>
      </c>
      <c r="C1439" s="231">
        <v>99011</v>
      </c>
    </row>
    <row r="1440" spans="2:3">
      <c r="B1440" s="214" t="s">
        <v>147</v>
      </c>
      <c r="C1440" s="231">
        <v>96201</v>
      </c>
    </row>
    <row r="1441" spans="2:3">
      <c r="B1441" s="214" t="s">
        <v>3224</v>
      </c>
      <c r="C1441" s="231">
        <v>96204</v>
      </c>
    </row>
    <row r="1442" spans="2:3">
      <c r="B1442" s="214" t="s">
        <v>3225</v>
      </c>
      <c r="C1442" s="231">
        <v>91161</v>
      </c>
    </row>
    <row r="1443" spans="2:3">
      <c r="B1443" s="214" t="s">
        <v>148</v>
      </c>
      <c r="C1443" s="231">
        <v>96301</v>
      </c>
    </row>
    <row r="1444" spans="2:3">
      <c r="B1444" s="214" t="s">
        <v>3226</v>
      </c>
      <c r="C1444" s="231">
        <v>96304</v>
      </c>
    </row>
    <row r="1445" spans="2:3">
      <c r="B1445" s="214" t="s">
        <v>149</v>
      </c>
      <c r="C1445" s="231">
        <v>96310</v>
      </c>
    </row>
    <row r="1446" spans="2:3">
      <c r="B1446" s="214" t="s">
        <v>3227</v>
      </c>
      <c r="C1446" s="231">
        <v>96305</v>
      </c>
    </row>
    <row r="1447" spans="2:3">
      <c r="B1447" s="214" t="s">
        <v>3228</v>
      </c>
      <c r="C1447" s="231">
        <v>94927</v>
      </c>
    </row>
    <row r="1448" spans="2:3">
      <c r="B1448" s="214" t="s">
        <v>124</v>
      </c>
      <c r="C1448" s="231">
        <v>94923</v>
      </c>
    </row>
    <row r="1449" spans="2:3">
      <c r="B1449" s="214" t="s">
        <v>3229</v>
      </c>
      <c r="C1449" s="231">
        <v>94921</v>
      </c>
    </row>
    <row r="1450" spans="2:3">
      <c r="B1450" s="214" t="s">
        <v>3230</v>
      </c>
      <c r="C1450" s="231">
        <v>91611</v>
      </c>
    </row>
    <row r="1451" spans="2:3">
      <c r="B1451" s="214" t="s">
        <v>3231</v>
      </c>
      <c r="C1451" s="231">
        <v>91217</v>
      </c>
    </row>
    <row r="1452" spans="2:3">
      <c r="B1452" s="214" t="s">
        <v>52</v>
      </c>
      <c r="C1452" s="231">
        <v>91233</v>
      </c>
    </row>
    <row r="1453" spans="2:3">
      <c r="B1453" s="214" t="s">
        <v>3232</v>
      </c>
      <c r="C1453" s="231">
        <v>91231</v>
      </c>
    </row>
    <row r="1454" spans="2:3">
      <c r="B1454" s="214" t="s">
        <v>3233</v>
      </c>
      <c r="C1454" s="231">
        <v>99206</v>
      </c>
    </row>
    <row r="1455" spans="2:3">
      <c r="B1455" s="214" t="s">
        <v>3234</v>
      </c>
      <c r="C1455" s="231">
        <v>90461</v>
      </c>
    </row>
    <row r="1456" spans="2:3">
      <c r="B1456" s="214" t="s">
        <v>3235</v>
      </c>
      <c r="C1456" s="231">
        <v>98631</v>
      </c>
    </row>
    <row r="1457" spans="2:3">
      <c r="B1457" s="214" t="s">
        <v>3236</v>
      </c>
      <c r="C1457" s="231">
        <v>96251</v>
      </c>
    </row>
    <row r="1458" spans="2:3">
      <c r="B1458" s="214" t="s">
        <v>3237</v>
      </c>
      <c r="C1458" s="231">
        <v>99623</v>
      </c>
    </row>
    <row r="1459" spans="2:3">
      <c r="B1459" s="214" t="s">
        <v>3238</v>
      </c>
      <c r="C1459" s="231">
        <v>99621</v>
      </c>
    </row>
    <row r="1460" spans="2:3">
      <c r="B1460" s="214" t="s">
        <v>3239</v>
      </c>
      <c r="C1460" s="231">
        <v>91321</v>
      </c>
    </row>
    <row r="1461" spans="2:3">
      <c r="B1461" s="214" t="s">
        <v>3240</v>
      </c>
      <c r="C1461" s="231">
        <v>98637</v>
      </c>
    </row>
    <row r="1462" spans="2:3">
      <c r="B1462" s="214" t="s">
        <v>3241</v>
      </c>
      <c r="C1462" s="231">
        <v>93691</v>
      </c>
    </row>
    <row r="1463" spans="2:3">
      <c r="B1463" s="214" t="s">
        <v>3242</v>
      </c>
      <c r="C1463" s="231">
        <v>91327</v>
      </c>
    </row>
    <row r="1464" spans="2:3">
      <c r="B1464" s="214" t="s">
        <v>3243</v>
      </c>
      <c r="C1464" s="231">
        <v>94621</v>
      </c>
    </row>
    <row r="1465" spans="2:3">
      <c r="B1465" s="214" t="s">
        <v>3244</v>
      </c>
      <c r="C1465" s="231">
        <v>92017</v>
      </c>
    </row>
    <row r="1466" spans="2:3">
      <c r="B1466" s="214" t="s">
        <v>3245</v>
      </c>
      <c r="C1466" s="231">
        <v>92011</v>
      </c>
    </row>
    <row r="1467" spans="2:3">
      <c r="B1467" s="214" t="s">
        <v>3246</v>
      </c>
      <c r="C1467" s="53">
        <v>99991</v>
      </c>
    </row>
    <row r="1468" spans="2:3">
      <c r="B1468" s="214" t="s">
        <v>3247</v>
      </c>
      <c r="C1468" s="53">
        <v>99999</v>
      </c>
    </row>
    <row r="1469" spans="2:3">
      <c r="B1469" s="214" t="s">
        <v>3248</v>
      </c>
      <c r="C1469" s="231">
        <v>92811</v>
      </c>
    </row>
    <row r="1470" spans="2:3">
      <c r="B1470" s="214" t="s">
        <v>64</v>
      </c>
      <c r="C1470" s="231">
        <v>92005</v>
      </c>
    </row>
    <row r="1471" spans="2:3">
      <c r="B1471" s="214" t="s">
        <v>151</v>
      </c>
      <c r="C1471" s="231">
        <v>96401</v>
      </c>
    </row>
    <row r="1472" spans="2:3">
      <c r="B1472" s="214" t="s">
        <v>3249</v>
      </c>
      <c r="C1472" s="231">
        <v>96404</v>
      </c>
    </row>
    <row r="1473" spans="2:3">
      <c r="B1473" s="214" t="s">
        <v>3250</v>
      </c>
      <c r="C1473" s="231">
        <v>96421</v>
      </c>
    </row>
    <row r="1474" spans="2:3">
      <c r="B1474" s="214" t="s">
        <v>134</v>
      </c>
      <c r="C1474" s="231">
        <v>95405</v>
      </c>
    </row>
    <row r="1475" spans="2:3">
      <c r="B1475" s="214" t="s">
        <v>3251</v>
      </c>
      <c r="C1475" s="231">
        <v>94005</v>
      </c>
    </row>
    <row r="1476" spans="2:3">
      <c r="B1476" s="214" t="s">
        <v>3252</v>
      </c>
      <c r="C1476" s="231">
        <v>95205</v>
      </c>
    </row>
    <row r="1477" spans="2:3">
      <c r="B1477" s="214" t="s">
        <v>73</v>
      </c>
      <c r="C1477" s="231">
        <v>92507</v>
      </c>
    </row>
    <row r="1478" spans="2:3">
      <c r="B1478" s="214" t="s">
        <v>3253</v>
      </c>
      <c r="C1478" s="231">
        <v>92511</v>
      </c>
    </row>
    <row r="1479" spans="2:3">
      <c r="B1479" s="214" t="s">
        <v>3254</v>
      </c>
      <c r="C1479" s="231">
        <v>96502</v>
      </c>
    </row>
    <row r="1480" spans="2:3">
      <c r="B1480" s="214" t="s">
        <v>153</v>
      </c>
      <c r="C1480" s="231">
        <v>96501</v>
      </c>
    </row>
    <row r="1481" spans="2:3">
      <c r="B1481" s="214" t="s">
        <v>3255</v>
      </c>
      <c r="C1481" s="231">
        <v>96504</v>
      </c>
    </row>
    <row r="1482" spans="2:3">
      <c r="B1482" s="214" t="s">
        <v>3256</v>
      </c>
      <c r="C1482" s="231">
        <v>97913</v>
      </c>
    </row>
    <row r="1483" spans="2:3">
      <c r="B1483" s="214" t="s">
        <v>3257</v>
      </c>
      <c r="C1483" s="231">
        <v>90621</v>
      </c>
    </row>
    <row r="1484" spans="2:3">
      <c r="B1484" s="214" t="s">
        <v>3258</v>
      </c>
      <c r="C1484" s="231">
        <v>91621</v>
      </c>
    </row>
    <row r="1485" spans="2:3">
      <c r="B1485" s="214" t="s">
        <v>3259</v>
      </c>
      <c r="C1485" s="231">
        <v>98231</v>
      </c>
    </row>
    <row r="1486" spans="2:3">
      <c r="B1486" s="214" t="s">
        <v>3260</v>
      </c>
      <c r="C1486" s="231">
        <v>91871</v>
      </c>
    </row>
    <row r="1487" spans="2:3">
      <c r="B1487" s="214" t="s">
        <v>3261</v>
      </c>
      <c r="C1487" s="231">
        <v>99311</v>
      </c>
    </row>
    <row r="1488" spans="2:3">
      <c r="B1488" s="214" t="s">
        <v>3262</v>
      </c>
      <c r="C1488" s="231">
        <v>96751</v>
      </c>
    </row>
    <row r="1489" spans="2:3">
      <c r="B1489" s="214" t="s">
        <v>3263</v>
      </c>
      <c r="C1489" s="231">
        <v>99717</v>
      </c>
    </row>
    <row r="1490" spans="2:3">
      <c r="B1490" s="214" t="s">
        <v>3264</v>
      </c>
      <c r="C1490" s="231">
        <v>99711</v>
      </c>
    </row>
    <row r="1491" spans="2:3">
      <c r="B1491" s="214" t="s">
        <v>158</v>
      </c>
      <c r="C1491" s="231">
        <v>96601</v>
      </c>
    </row>
    <row r="1492" spans="2:3">
      <c r="B1492" s="214" t="s">
        <v>3265</v>
      </c>
      <c r="C1492" s="231">
        <v>96604</v>
      </c>
    </row>
    <row r="1493" spans="2:3">
      <c r="B1493" s="214" t="s">
        <v>3266</v>
      </c>
      <c r="C1493" s="231">
        <v>91012</v>
      </c>
    </row>
    <row r="1494" spans="2:3">
      <c r="B1494" s="214" t="s">
        <v>30</v>
      </c>
      <c r="C1494" s="231">
        <v>90305</v>
      </c>
    </row>
    <row r="1495" spans="2:3">
      <c r="B1495" s="214" t="s">
        <v>3267</v>
      </c>
      <c r="C1495" s="231">
        <v>98427</v>
      </c>
    </row>
    <row r="1496" spans="2:3">
      <c r="B1496" s="214" t="s">
        <v>3268</v>
      </c>
      <c r="C1496" s="231">
        <v>98421</v>
      </c>
    </row>
    <row r="1497" spans="2:3">
      <c r="B1497" s="214" t="s">
        <v>3269</v>
      </c>
      <c r="C1497" s="231">
        <v>95821</v>
      </c>
    </row>
    <row r="1498" spans="2:3">
      <c r="B1498" s="214" t="s">
        <v>3270</v>
      </c>
      <c r="C1498" s="231">
        <v>91027</v>
      </c>
    </row>
    <row r="1499" spans="2:3">
      <c r="B1499" s="214" t="s">
        <v>3271</v>
      </c>
      <c r="C1499" s="231">
        <v>91021</v>
      </c>
    </row>
    <row r="1500" spans="2:3">
      <c r="B1500" s="214" t="s">
        <v>3272</v>
      </c>
      <c r="C1500" s="231">
        <v>94161</v>
      </c>
    </row>
    <row r="1501" spans="2:3">
      <c r="B1501" s="214" t="s">
        <v>3273</v>
      </c>
      <c r="C1501" s="231">
        <v>98441</v>
      </c>
    </row>
    <row r="1502" spans="2:3">
      <c r="B1502" s="214" t="s">
        <v>3274</v>
      </c>
      <c r="C1502" s="231">
        <v>91067</v>
      </c>
    </row>
    <row r="1503" spans="2:3">
      <c r="B1503" s="214" t="s">
        <v>3275</v>
      </c>
      <c r="C1503" s="231">
        <v>91061</v>
      </c>
    </row>
    <row r="1504" spans="2:3">
      <c r="B1504" s="214" t="s">
        <v>3276</v>
      </c>
      <c r="C1504" s="231">
        <v>94812</v>
      </c>
    </row>
    <row r="1505" spans="2:3">
      <c r="B1505" s="214" t="s">
        <v>3277</v>
      </c>
      <c r="C1505" s="231">
        <v>95921</v>
      </c>
    </row>
    <row r="1506" spans="2:3">
      <c r="B1506" s="214" t="s">
        <v>159</v>
      </c>
      <c r="C1506" s="231">
        <v>96701</v>
      </c>
    </row>
    <row r="1507" spans="2:3">
      <c r="B1507" s="214" t="s">
        <v>3278</v>
      </c>
      <c r="C1507" s="231">
        <v>96704</v>
      </c>
    </row>
    <row r="1508" spans="2:3">
      <c r="B1508" s="214" t="s">
        <v>3279</v>
      </c>
      <c r="C1508" s="231">
        <v>96708</v>
      </c>
    </row>
    <row r="1509" spans="2:3">
      <c r="B1509" s="214" t="s">
        <v>161</v>
      </c>
      <c r="C1509" s="231">
        <v>96801</v>
      </c>
    </row>
    <row r="1510" spans="2:3">
      <c r="B1510" s="214" t="s">
        <v>3280</v>
      </c>
      <c r="C1510" s="231">
        <v>96804</v>
      </c>
    </row>
    <row r="1511" spans="2:3">
      <c r="B1511" s="214" t="s">
        <v>3281</v>
      </c>
      <c r="C1511" s="231">
        <v>96808</v>
      </c>
    </row>
    <row r="1512" spans="2:3">
      <c r="B1512" s="214" t="s">
        <v>3282</v>
      </c>
      <c r="C1512" s="231">
        <v>96912</v>
      </c>
    </row>
    <row r="1513" spans="2:3">
      <c r="B1513" s="214" t="s">
        <v>103</v>
      </c>
      <c r="C1513" s="231">
        <v>93913</v>
      </c>
    </row>
    <row r="1514" spans="2:3">
      <c r="B1514" s="214" t="s">
        <v>3283</v>
      </c>
      <c r="C1514" s="231">
        <v>93911</v>
      </c>
    </row>
    <row r="1515" spans="2:3">
      <c r="B1515" s="214" t="s">
        <v>162</v>
      </c>
      <c r="C1515" s="231">
        <v>96901</v>
      </c>
    </row>
    <row r="1516" spans="2:3">
      <c r="B1516" s="214" t="s">
        <v>3284</v>
      </c>
      <c r="C1516" s="231">
        <v>97841</v>
      </c>
    </row>
    <row r="1517" spans="2:3">
      <c r="B1517" s="214" t="s">
        <v>85</v>
      </c>
      <c r="C1517" s="231">
        <v>93202</v>
      </c>
    </row>
    <row r="1518" spans="2:3">
      <c r="B1518" s="214" t="s">
        <v>1630</v>
      </c>
      <c r="C1518" s="231">
        <v>93609</v>
      </c>
    </row>
    <row r="1519" spans="2:3">
      <c r="B1519" s="214" t="s">
        <v>164</v>
      </c>
      <c r="C1519" s="231">
        <v>97001</v>
      </c>
    </row>
    <row r="1520" spans="2:3">
      <c r="B1520" s="214" t="s">
        <v>3285</v>
      </c>
      <c r="C1520" s="231">
        <v>97004</v>
      </c>
    </row>
    <row r="1521" spans="2:3">
      <c r="B1521" s="214" t="s">
        <v>165</v>
      </c>
      <c r="C1521" s="231">
        <v>97002</v>
      </c>
    </row>
    <row r="1522" spans="2:3">
      <c r="B1522" s="214" t="s">
        <v>170</v>
      </c>
      <c r="C1522" s="231">
        <v>97015</v>
      </c>
    </row>
    <row r="1523" spans="2:3">
      <c r="B1523" s="214" t="s">
        <v>3286</v>
      </c>
      <c r="C1523" s="231">
        <v>90441</v>
      </c>
    </row>
    <row r="1524" spans="2:3">
      <c r="B1524" s="214" t="s">
        <v>191</v>
      </c>
      <c r="C1524" s="231">
        <v>97853</v>
      </c>
    </row>
    <row r="1525" spans="2:3">
      <c r="B1525" s="214" t="s">
        <v>3287</v>
      </c>
      <c r="C1525" s="231">
        <v>97851</v>
      </c>
    </row>
    <row r="1526" spans="2:3">
      <c r="B1526" s="214" t="s">
        <v>171</v>
      </c>
      <c r="C1526" s="231">
        <v>97101</v>
      </c>
    </row>
    <row r="1527" spans="2:3">
      <c r="B1527" s="214" t="s">
        <v>3288</v>
      </c>
      <c r="C1527" s="231">
        <v>97104</v>
      </c>
    </row>
    <row r="1528" spans="2:3">
      <c r="B1528" s="214" t="s">
        <v>173</v>
      </c>
      <c r="C1528" s="231">
        <v>97201</v>
      </c>
    </row>
    <row r="1529" spans="2:3">
      <c r="B1529" s="214" t="s">
        <v>174</v>
      </c>
      <c r="C1529" s="231">
        <v>97301</v>
      </c>
    </row>
    <row r="1530" spans="2:3">
      <c r="B1530" s="214" t="s">
        <v>3289</v>
      </c>
      <c r="C1530" s="231">
        <v>97304</v>
      </c>
    </row>
    <row r="1531" spans="2:3">
      <c r="B1531" s="214" t="s">
        <v>219</v>
      </c>
      <c r="C1531" s="231">
        <v>99405</v>
      </c>
    </row>
    <row r="1532" spans="2:3">
      <c r="B1532" s="214" t="s">
        <v>25</v>
      </c>
      <c r="C1532" s="231">
        <v>72265</v>
      </c>
    </row>
    <row r="1533" spans="2:3">
      <c r="B1533" s="214" t="s">
        <v>92</v>
      </c>
      <c r="C1533" s="231">
        <v>93406</v>
      </c>
    </row>
    <row r="1534" spans="2:3">
      <c r="B1534" s="214" t="s">
        <v>3290</v>
      </c>
      <c r="C1534" s="231">
        <v>94112</v>
      </c>
    </row>
    <row r="1535" spans="2:3">
      <c r="B1535" s="214" t="s">
        <v>3291</v>
      </c>
      <c r="C1535" s="231">
        <v>99651</v>
      </c>
    </row>
    <row r="1536" spans="2:3">
      <c r="B1536" s="214" t="s">
        <v>3292</v>
      </c>
      <c r="C1536" s="231">
        <v>98607</v>
      </c>
    </row>
    <row r="1537" spans="2:3">
      <c r="B1537" s="214" t="s">
        <v>3293</v>
      </c>
      <c r="C1537" s="231">
        <v>98611</v>
      </c>
    </row>
    <row r="1538" spans="2:3">
      <c r="B1538" s="214" t="s">
        <v>3294</v>
      </c>
      <c r="C1538" s="231">
        <v>91641</v>
      </c>
    </row>
    <row r="1539" spans="2:3">
      <c r="B1539" s="214" t="s">
        <v>3295</v>
      </c>
      <c r="C1539" s="231">
        <v>95161</v>
      </c>
    </row>
    <row r="1540" spans="2:3">
      <c r="B1540" s="214" t="s">
        <v>3296</v>
      </c>
      <c r="C1540" s="231">
        <v>96361</v>
      </c>
    </row>
    <row r="1541" spans="2:3">
      <c r="B1541" s="214" t="s">
        <v>3297</v>
      </c>
      <c r="C1541" s="231">
        <v>94108</v>
      </c>
    </row>
    <row r="1542" spans="2:3">
      <c r="B1542" s="214" t="s">
        <v>3298</v>
      </c>
      <c r="C1542" s="231">
        <v>96351</v>
      </c>
    </row>
    <row r="1543" spans="2:3">
      <c r="B1543" s="214" t="s">
        <v>3299</v>
      </c>
      <c r="C1543" s="231">
        <v>93331</v>
      </c>
    </row>
    <row r="1544" spans="2:3">
      <c r="B1544" s="214" t="s">
        <v>3300</v>
      </c>
      <c r="C1544" s="231">
        <v>96021</v>
      </c>
    </row>
    <row r="1545" spans="2:3">
      <c r="B1545" s="214" t="s">
        <v>3301</v>
      </c>
      <c r="C1545" s="231">
        <v>95421</v>
      </c>
    </row>
    <row r="1546" spans="2:3">
      <c r="B1546" s="214" t="s">
        <v>175</v>
      </c>
      <c r="C1546" s="231">
        <v>97401</v>
      </c>
    </row>
    <row r="1547" spans="2:3">
      <c r="B1547" s="214" t="s">
        <v>3302</v>
      </c>
      <c r="C1547" s="231">
        <v>97404</v>
      </c>
    </row>
    <row r="1548" spans="2:3">
      <c r="B1548" s="214" t="s">
        <v>3303</v>
      </c>
      <c r="C1548" s="231">
        <v>97402</v>
      </c>
    </row>
    <row r="1549" spans="2:3">
      <c r="B1549" s="214" t="s">
        <v>3304</v>
      </c>
      <c r="C1549" s="231">
        <v>91921</v>
      </c>
    </row>
    <row r="1550" spans="2:3">
      <c r="B1550" s="214" t="s">
        <v>3305</v>
      </c>
      <c r="C1550" s="231">
        <v>95908</v>
      </c>
    </row>
    <row r="1551" spans="2:3">
      <c r="B1551" s="214" t="s">
        <v>220</v>
      </c>
      <c r="C1551" s="231">
        <v>99413</v>
      </c>
    </row>
    <row r="1552" spans="2:3">
      <c r="B1552" s="214" t="s">
        <v>3306</v>
      </c>
      <c r="C1552" s="231">
        <v>99411</v>
      </c>
    </row>
    <row r="1553" spans="2:3">
      <c r="B1553" s="214" t="s">
        <v>181</v>
      </c>
      <c r="C1553" s="231">
        <v>97501</v>
      </c>
    </row>
    <row r="1554" spans="2:3">
      <c r="B1554" s="214" t="s">
        <v>3307</v>
      </c>
      <c r="C1554" s="231">
        <v>90431</v>
      </c>
    </row>
    <row r="1555" spans="2:3">
      <c r="B1555" s="214" t="s">
        <v>3308</v>
      </c>
      <c r="C1555" s="231">
        <v>95211</v>
      </c>
    </row>
    <row r="1556" spans="2:3">
      <c r="B1556" s="214" t="s">
        <v>3309</v>
      </c>
      <c r="C1556" s="231">
        <v>95181</v>
      </c>
    </row>
    <row r="1557" spans="2:3">
      <c r="B1557" s="214" t="s">
        <v>3310</v>
      </c>
      <c r="C1557" s="231">
        <v>93351</v>
      </c>
    </row>
    <row r="1558" spans="2:3">
      <c r="B1558" s="214" t="s">
        <v>3311</v>
      </c>
      <c r="C1558" s="231">
        <v>94711</v>
      </c>
    </row>
    <row r="1559" spans="2:3">
      <c r="B1559" s="214" t="s">
        <v>3312</v>
      </c>
      <c r="C1559" s="231">
        <v>99213</v>
      </c>
    </row>
    <row r="1560" spans="2:3">
      <c r="B1560" s="214" t="s">
        <v>3313</v>
      </c>
      <c r="C1560" s="231">
        <v>99211</v>
      </c>
    </row>
    <row r="1561" spans="2:3">
      <c r="B1561" s="214" t="s">
        <v>216</v>
      </c>
      <c r="C1561" s="231">
        <v>99218</v>
      </c>
    </row>
    <row r="1562" spans="2:3">
      <c r="B1562" s="214" t="s">
        <v>3314</v>
      </c>
      <c r="C1562" s="231">
        <v>97641</v>
      </c>
    </row>
    <row r="1563" spans="2:3">
      <c r="B1563" s="214" t="s">
        <v>3315</v>
      </c>
      <c r="C1563" s="231">
        <v>97627</v>
      </c>
    </row>
    <row r="1564" spans="2:3">
      <c r="B1564" s="214" t="s">
        <v>3316</v>
      </c>
      <c r="C1564" s="231">
        <v>97623</v>
      </c>
    </row>
    <row r="1565" spans="2:3">
      <c r="B1565" s="214" t="s">
        <v>3317</v>
      </c>
      <c r="C1565" s="231">
        <v>97621</v>
      </c>
    </row>
    <row r="1566" spans="2:3">
      <c r="B1566" s="214" t="s">
        <v>182</v>
      </c>
      <c r="C1566" s="231">
        <v>97601</v>
      </c>
    </row>
    <row r="1567" spans="2:3">
      <c r="B1567" s="214" t="s">
        <v>3318</v>
      </c>
      <c r="C1567" s="231">
        <v>93681</v>
      </c>
    </row>
    <row r="1568" spans="2:3">
      <c r="B1568" s="214" t="s">
        <v>3319</v>
      </c>
      <c r="C1568" s="231">
        <v>97877</v>
      </c>
    </row>
    <row r="1569" spans="2:3">
      <c r="B1569" s="214" t="s">
        <v>3320</v>
      </c>
      <c r="C1569" s="231">
        <v>97871</v>
      </c>
    </row>
    <row r="1570" spans="2:3">
      <c r="B1570" s="214" t="s">
        <v>222</v>
      </c>
      <c r="C1570" s="231">
        <v>99502</v>
      </c>
    </row>
    <row r="1571" spans="2:3">
      <c r="B1571" s="214" t="s">
        <v>3321</v>
      </c>
      <c r="C1571" s="231">
        <v>97917</v>
      </c>
    </row>
    <row r="1572" spans="2:3">
      <c r="B1572" s="214" t="s">
        <v>3322</v>
      </c>
      <c r="C1572" s="231">
        <v>97911</v>
      </c>
    </row>
    <row r="1573" spans="2:3">
      <c r="B1573" s="214" t="s">
        <v>3323</v>
      </c>
      <c r="C1573" s="231">
        <v>96611</v>
      </c>
    </row>
    <row r="1574" spans="2:3">
      <c r="B1574" s="214" t="s">
        <v>3324</v>
      </c>
      <c r="C1574" s="231">
        <v>96741</v>
      </c>
    </row>
    <row r="1575" spans="2:3">
      <c r="B1575" s="214" t="s">
        <v>183</v>
      </c>
      <c r="C1575" s="231">
        <v>97701</v>
      </c>
    </row>
    <row r="1576" spans="2:3">
      <c r="B1576" s="214" t="s">
        <v>3325</v>
      </c>
      <c r="C1576" s="231">
        <v>92541</v>
      </c>
    </row>
    <row r="1577" spans="2:3">
      <c r="B1577" s="214" t="s">
        <v>111</v>
      </c>
      <c r="C1577" s="231">
        <v>94209</v>
      </c>
    </row>
    <row r="1578" spans="2:3">
      <c r="B1578" s="214" t="s">
        <v>3326</v>
      </c>
      <c r="C1578" s="231">
        <v>94221</v>
      </c>
    </row>
    <row r="1579" spans="2:3">
      <c r="B1579" s="214" t="s">
        <v>3327</v>
      </c>
      <c r="C1579" s="231">
        <v>96341</v>
      </c>
    </row>
    <row r="1580" spans="2:3">
      <c r="B1580" s="214" t="s">
        <v>3328</v>
      </c>
      <c r="C1580" s="231">
        <v>93821</v>
      </c>
    </row>
    <row r="1581" spans="2:3">
      <c r="B1581" s="214" t="s">
        <v>143</v>
      </c>
      <c r="C1581" s="231">
        <v>95853</v>
      </c>
    </row>
    <row r="1582" spans="2:3">
      <c r="B1582" s="214" t="s">
        <v>3329</v>
      </c>
      <c r="C1582" s="231">
        <v>95851</v>
      </c>
    </row>
    <row r="1583" spans="2:3">
      <c r="B1583" s="214" t="s">
        <v>186</v>
      </c>
      <c r="C1583" s="231">
        <v>97801</v>
      </c>
    </row>
    <row r="1584" spans="2:3">
      <c r="B1584" s="214" t="s">
        <v>188</v>
      </c>
      <c r="C1584" s="231">
        <v>97803</v>
      </c>
    </row>
    <row r="1585" spans="2:3">
      <c r="B1585" s="214" t="s">
        <v>189</v>
      </c>
      <c r="C1585" s="231">
        <v>97805</v>
      </c>
    </row>
    <row r="1586" spans="2:3">
      <c r="B1586" s="214" t="s">
        <v>3330</v>
      </c>
      <c r="C1586" s="231">
        <v>97727</v>
      </c>
    </row>
    <row r="1587" spans="2:3">
      <c r="B1587" s="214" t="s">
        <v>192</v>
      </c>
      <c r="C1587" s="231">
        <v>97901</v>
      </c>
    </row>
    <row r="1588" spans="2:3">
      <c r="B1588" s="214" t="s">
        <v>185</v>
      </c>
      <c r="C1588" s="231">
        <v>97713</v>
      </c>
    </row>
    <row r="1589" spans="2:3">
      <c r="B1589" s="214" t="s">
        <v>3331</v>
      </c>
      <c r="C1589" s="231">
        <v>97711</v>
      </c>
    </row>
    <row r="1590" spans="2:3">
      <c r="B1590" s="214" t="s">
        <v>3332</v>
      </c>
      <c r="C1590" s="231">
        <v>98071</v>
      </c>
    </row>
    <row r="1591" spans="2:3">
      <c r="B1591" s="214" t="s">
        <v>3333</v>
      </c>
      <c r="C1591" s="231">
        <v>93333</v>
      </c>
    </row>
    <row r="1592" spans="2:3">
      <c r="B1592" s="214" t="s">
        <v>3334</v>
      </c>
      <c r="C1592" s="231">
        <v>93321</v>
      </c>
    </row>
    <row r="1593" spans="2:3">
      <c r="B1593" s="214" t="s">
        <v>89</v>
      </c>
      <c r="C1593" s="231">
        <v>93323</v>
      </c>
    </row>
    <row r="1594" spans="2:3">
      <c r="B1594" s="214" t="s">
        <v>3335</v>
      </c>
      <c r="C1594" s="231">
        <v>99203</v>
      </c>
    </row>
    <row r="1595" spans="2:3">
      <c r="B1595" s="214" t="s">
        <v>3336</v>
      </c>
      <c r="C1595" s="231">
        <v>99421</v>
      </c>
    </row>
    <row r="1596" spans="2:3">
      <c r="B1596" s="214" t="s">
        <v>3337</v>
      </c>
      <c r="C1596" s="231">
        <v>93161</v>
      </c>
    </row>
    <row r="1597" spans="2:3">
      <c r="B1597" s="214" t="s">
        <v>3338</v>
      </c>
      <c r="C1597" s="231">
        <v>98237</v>
      </c>
    </row>
    <row r="1598" spans="2:3">
      <c r="B1598" s="214" t="s">
        <v>3339</v>
      </c>
      <c r="C1598" s="231">
        <v>98261</v>
      </c>
    </row>
    <row r="1599" spans="2:3">
      <c r="B1599" s="214" t="s">
        <v>3340</v>
      </c>
      <c r="C1599" s="231">
        <v>98002</v>
      </c>
    </row>
    <row r="1600" spans="2:3">
      <c r="B1600" s="214" t="s">
        <v>194</v>
      </c>
      <c r="C1600" s="231">
        <v>98001</v>
      </c>
    </row>
    <row r="1601" spans="2:3">
      <c r="B1601" s="214" t="s">
        <v>3341</v>
      </c>
      <c r="C1601" s="231">
        <v>98004</v>
      </c>
    </row>
    <row r="1602" spans="2:3">
      <c r="B1602" s="214" t="s">
        <v>3342</v>
      </c>
      <c r="C1602" s="231">
        <v>98003</v>
      </c>
    </row>
    <row r="1603" spans="2:3">
      <c r="B1603" s="214" t="s">
        <v>3343</v>
      </c>
      <c r="C1603" s="231">
        <v>98008</v>
      </c>
    </row>
    <row r="1604" spans="2:3">
      <c r="B1604" s="214" t="s">
        <v>3344</v>
      </c>
      <c r="C1604" s="231">
        <v>97861</v>
      </c>
    </row>
    <row r="1605" spans="2:3">
      <c r="B1605" s="214" t="s">
        <v>3345</v>
      </c>
      <c r="C1605" s="231">
        <v>97311</v>
      </c>
    </row>
    <row r="1606" spans="2:3">
      <c r="B1606" s="214" t="s">
        <v>3346</v>
      </c>
      <c r="C1606" s="231">
        <v>93431</v>
      </c>
    </row>
    <row r="1607" spans="2:3">
      <c r="B1607" s="214" t="s">
        <v>3347</v>
      </c>
      <c r="C1607" s="231">
        <v>91214</v>
      </c>
    </row>
    <row r="1608" spans="2:3">
      <c r="B1608" s="214" t="s">
        <v>196</v>
      </c>
      <c r="C1608" s="231">
        <v>98101</v>
      </c>
    </row>
    <row r="1609" spans="2:3">
      <c r="B1609" s="214" t="s">
        <v>3348</v>
      </c>
      <c r="C1609" s="231">
        <v>98103</v>
      </c>
    </row>
    <row r="1610" spans="2:3">
      <c r="B1610" s="214" t="s">
        <v>3349</v>
      </c>
      <c r="C1610" s="231">
        <v>98147</v>
      </c>
    </row>
    <row r="1611" spans="2:3">
      <c r="B1611" s="214" t="s">
        <v>3350</v>
      </c>
      <c r="C1611" s="231">
        <v>98141</v>
      </c>
    </row>
    <row r="1612" spans="2:3">
      <c r="B1612" s="214" t="s">
        <v>3351</v>
      </c>
      <c r="C1612" s="231">
        <v>97837</v>
      </c>
    </row>
    <row r="1613" spans="2:3">
      <c r="B1613" s="214" t="s">
        <v>3352</v>
      </c>
      <c r="C1613" s="231">
        <v>98221</v>
      </c>
    </row>
    <row r="1614" spans="2:3">
      <c r="B1614" s="214" t="s">
        <v>3353</v>
      </c>
      <c r="C1614" s="231">
        <v>98013</v>
      </c>
    </row>
    <row r="1615" spans="2:3">
      <c r="B1615" s="214" t="s">
        <v>3354</v>
      </c>
      <c r="C1615" s="231">
        <v>98011</v>
      </c>
    </row>
    <row r="1616" spans="2:3">
      <c r="B1616" s="214" t="s">
        <v>3355</v>
      </c>
      <c r="C1616" s="231">
        <v>97531</v>
      </c>
    </row>
    <row r="1617" spans="2:3">
      <c r="B1617" s="214" t="s">
        <v>200</v>
      </c>
      <c r="C1617" s="231">
        <v>98201</v>
      </c>
    </row>
    <row r="1618" spans="2:3">
      <c r="B1618" s="214" t="s">
        <v>184</v>
      </c>
      <c r="C1618" s="231">
        <v>97705</v>
      </c>
    </row>
    <row r="1619" spans="2:3">
      <c r="B1619" s="214" t="s">
        <v>1631</v>
      </c>
      <c r="C1619" s="231">
        <v>96318</v>
      </c>
    </row>
    <row r="1620" spans="2:3">
      <c r="B1620" s="214" t="s">
        <v>3356</v>
      </c>
      <c r="C1620" s="231">
        <v>95317</v>
      </c>
    </row>
    <row r="1621" spans="2:3">
      <c r="B1621" s="214" t="s">
        <v>3357</v>
      </c>
      <c r="C1621" s="231">
        <v>95311</v>
      </c>
    </row>
    <row r="1622" spans="2:3">
      <c r="B1622" s="214" t="s">
        <v>3358</v>
      </c>
      <c r="C1622" s="231">
        <v>91421</v>
      </c>
    </row>
    <row r="1623" spans="2:3">
      <c r="B1623" s="214" t="s">
        <v>201</v>
      </c>
      <c r="C1623" s="231">
        <v>98301</v>
      </c>
    </row>
    <row r="1624" spans="2:3">
      <c r="B1624" s="214" t="s">
        <v>3359</v>
      </c>
      <c r="C1624" s="231">
        <v>98304</v>
      </c>
    </row>
    <row r="1625" spans="2:3">
      <c r="B1625" s="214" t="s">
        <v>3360</v>
      </c>
      <c r="C1625" s="231">
        <v>94241</v>
      </c>
    </row>
    <row r="1626" spans="2:3">
      <c r="B1626" s="214" t="s">
        <v>3361</v>
      </c>
      <c r="C1626" s="231">
        <v>96681</v>
      </c>
    </row>
    <row r="1627" spans="2:3">
      <c r="B1627" s="214" t="s">
        <v>130</v>
      </c>
      <c r="C1627" s="231">
        <v>95123</v>
      </c>
    </row>
    <row r="1628" spans="2:3">
      <c r="B1628" s="214" t="s">
        <v>3362</v>
      </c>
      <c r="C1628" s="231">
        <v>95121</v>
      </c>
    </row>
    <row r="1629" spans="2:3">
      <c r="B1629" s="214" t="s">
        <v>3363</v>
      </c>
      <c r="C1629" s="231">
        <v>99531</v>
      </c>
    </row>
    <row r="1630" spans="2:3">
      <c r="B1630" s="214" t="s">
        <v>3364</v>
      </c>
      <c r="C1630" s="231">
        <v>96671</v>
      </c>
    </row>
    <row r="1631" spans="2:3">
      <c r="B1631" s="214" t="s">
        <v>3365</v>
      </c>
      <c r="C1631" s="231">
        <v>91057</v>
      </c>
    </row>
    <row r="1632" spans="2:3">
      <c r="B1632" s="214" t="s">
        <v>3366</v>
      </c>
      <c r="C1632" s="231">
        <v>91081</v>
      </c>
    </row>
    <row r="1633" spans="2:3">
      <c r="B1633" s="214" t="s">
        <v>3367</v>
      </c>
      <c r="C1633" s="231">
        <v>96461</v>
      </c>
    </row>
    <row r="1634" spans="2:3">
      <c r="B1634" s="214" t="s">
        <v>3368</v>
      </c>
      <c r="C1634" s="231">
        <v>92317</v>
      </c>
    </row>
    <row r="1635" spans="2:3">
      <c r="B1635" s="214" t="s">
        <v>3369</v>
      </c>
      <c r="C1635" s="231">
        <v>92311</v>
      </c>
    </row>
    <row r="1636" spans="2:3">
      <c r="B1636" s="214" t="s">
        <v>176</v>
      </c>
      <c r="C1636" s="231">
        <v>97405</v>
      </c>
    </row>
    <row r="1637" spans="2:3">
      <c r="B1637" s="214" t="s">
        <v>3370</v>
      </c>
      <c r="C1637" s="231">
        <v>91917</v>
      </c>
    </row>
    <row r="1638" spans="2:3">
      <c r="B1638" s="214" t="s">
        <v>3371</v>
      </c>
      <c r="C1638" s="231">
        <v>91911</v>
      </c>
    </row>
    <row r="1639" spans="2:3">
      <c r="B1639" s="214" t="s">
        <v>3372</v>
      </c>
      <c r="C1639" s="231">
        <v>97481</v>
      </c>
    </row>
    <row r="1640" spans="2:3">
      <c r="B1640" s="214" t="s">
        <v>3373</v>
      </c>
      <c r="C1640" s="231">
        <v>91138</v>
      </c>
    </row>
    <row r="1641" spans="2:3">
      <c r="B1641" s="214" t="s">
        <v>129</v>
      </c>
      <c r="C1641" s="231">
        <v>95113</v>
      </c>
    </row>
    <row r="1642" spans="2:3">
      <c r="B1642" s="214" t="s">
        <v>3374</v>
      </c>
      <c r="C1642" s="231">
        <v>95111</v>
      </c>
    </row>
    <row r="1643" spans="2:3">
      <c r="B1643" s="214" t="s">
        <v>3375</v>
      </c>
      <c r="C1643" s="231">
        <v>95009</v>
      </c>
    </row>
    <row r="1644" spans="2:3">
      <c r="B1644" s="214" t="s">
        <v>3376</v>
      </c>
      <c r="C1644" s="231">
        <v>94021</v>
      </c>
    </row>
    <row r="1645" spans="2:3">
      <c r="B1645" s="214" t="s">
        <v>3377</v>
      </c>
      <c r="C1645" s="231">
        <v>93910</v>
      </c>
    </row>
    <row r="1646" spans="2:3">
      <c r="B1646" s="214" t="s">
        <v>1632</v>
      </c>
      <c r="C1646" s="231">
        <v>91013</v>
      </c>
    </row>
    <row r="1647" spans="2:3">
      <c r="B1647" s="214" t="s">
        <v>3378</v>
      </c>
      <c r="C1647" s="231">
        <v>90918</v>
      </c>
    </row>
    <row r="1648" spans="2:3">
      <c r="B1648" s="214" t="s">
        <v>3379</v>
      </c>
      <c r="C1648" s="231">
        <v>96311</v>
      </c>
    </row>
    <row r="1649" spans="2:3">
      <c r="B1649" s="214" t="s">
        <v>3380</v>
      </c>
      <c r="C1649" s="231">
        <v>92841</v>
      </c>
    </row>
    <row r="1650" spans="2:3">
      <c r="B1650" s="214" t="s">
        <v>225</v>
      </c>
      <c r="C1650" s="231">
        <v>99609</v>
      </c>
    </row>
    <row r="1651" spans="2:3">
      <c r="B1651" s="214" t="s">
        <v>3381</v>
      </c>
      <c r="C1651" s="231">
        <v>91017</v>
      </c>
    </row>
    <row r="1652" spans="2:3">
      <c r="B1652" s="214" t="s">
        <v>3382</v>
      </c>
      <c r="C1652" s="231">
        <v>91011</v>
      </c>
    </row>
    <row r="1653" spans="2:3">
      <c r="B1653" s="214" t="s">
        <v>3383</v>
      </c>
      <c r="C1653" s="231">
        <v>95008</v>
      </c>
    </row>
    <row r="1654" spans="2:3">
      <c r="B1654" s="214" t="s">
        <v>3384</v>
      </c>
      <c r="C1654" s="231">
        <v>90307</v>
      </c>
    </row>
    <row r="1655" spans="2:3">
      <c r="B1655" s="214" t="s">
        <v>3385</v>
      </c>
      <c r="C1655" s="231">
        <v>72657</v>
      </c>
    </row>
    <row r="1656" spans="2:3">
      <c r="B1656" s="214" t="s">
        <v>3386</v>
      </c>
      <c r="C1656" s="231">
        <v>98031</v>
      </c>
    </row>
    <row r="1657" spans="2:3">
      <c r="B1657" s="214" t="s">
        <v>3387</v>
      </c>
      <c r="C1657" s="231">
        <v>98121</v>
      </c>
    </row>
    <row r="1658" spans="2:3">
      <c r="B1658" s="214" t="s">
        <v>3388</v>
      </c>
      <c r="C1658" s="231">
        <v>96411</v>
      </c>
    </row>
    <row r="1659" spans="2:3">
      <c r="B1659" s="214" t="s">
        <v>3389</v>
      </c>
      <c r="C1659" s="231">
        <v>92661</v>
      </c>
    </row>
    <row r="1660" spans="2:3">
      <c r="B1660" s="214" t="s">
        <v>3390</v>
      </c>
      <c r="C1660" s="231">
        <v>96111</v>
      </c>
    </row>
    <row r="1661" spans="2:3">
      <c r="B1661" s="214" t="s">
        <v>3391</v>
      </c>
      <c r="C1661" s="231">
        <v>91032</v>
      </c>
    </row>
    <row r="1662" spans="2:3">
      <c r="B1662" s="214" t="s">
        <v>3392</v>
      </c>
      <c r="C1662" s="231">
        <v>97831</v>
      </c>
    </row>
    <row r="1663" spans="2:3">
      <c r="B1663" s="214" t="s">
        <v>3393</v>
      </c>
      <c r="C1663" s="231">
        <v>96061</v>
      </c>
    </row>
    <row r="1664" spans="2:3">
      <c r="B1664" s="214" t="s">
        <v>3394</v>
      </c>
      <c r="C1664" s="231">
        <v>98481</v>
      </c>
    </row>
    <row r="1665" spans="2:3">
      <c r="B1665" s="214" t="s">
        <v>3395</v>
      </c>
      <c r="C1665" s="231">
        <v>93602</v>
      </c>
    </row>
    <row r="1666" spans="2:3">
      <c r="B1666" s="214" t="s">
        <v>203</v>
      </c>
      <c r="C1666" s="231">
        <v>98401</v>
      </c>
    </row>
    <row r="1667" spans="2:3">
      <c r="B1667" s="214" t="s">
        <v>3396</v>
      </c>
      <c r="C1667" s="231">
        <v>99821</v>
      </c>
    </row>
    <row r="1668" spans="2:3">
      <c r="B1668" s="214" t="s">
        <v>3397</v>
      </c>
      <c r="C1668" s="231">
        <v>96211</v>
      </c>
    </row>
    <row r="1669" spans="2:3">
      <c r="B1669" s="214" t="s">
        <v>3398</v>
      </c>
      <c r="C1669" s="231">
        <v>94917</v>
      </c>
    </row>
    <row r="1670" spans="2:3">
      <c r="B1670" s="214" t="s">
        <v>3399</v>
      </c>
      <c r="C1670" s="231">
        <v>94911</v>
      </c>
    </row>
    <row r="1671" spans="2:3">
      <c r="B1671" s="214" t="s">
        <v>3400</v>
      </c>
      <c r="C1671" s="231">
        <v>92621</v>
      </c>
    </row>
    <row r="1672" spans="2:3">
      <c r="B1672" s="214" t="s">
        <v>204</v>
      </c>
      <c r="C1672" s="231">
        <v>98501</v>
      </c>
    </row>
    <row r="1673" spans="2:3">
      <c r="B1673" s="214" t="s">
        <v>3401</v>
      </c>
      <c r="C1673" s="231">
        <v>97931</v>
      </c>
    </row>
    <row r="1674" spans="2:3">
      <c r="B1674" s="214" t="s">
        <v>3402</v>
      </c>
      <c r="C1674" s="231">
        <v>93914</v>
      </c>
    </row>
    <row r="1675" spans="2:3">
      <c r="B1675" s="214" t="s">
        <v>3403</v>
      </c>
      <c r="C1675" s="231">
        <v>90651</v>
      </c>
    </row>
    <row r="1676" spans="2:3">
      <c r="B1676" s="214" t="s">
        <v>108</v>
      </c>
      <c r="C1676" s="231">
        <v>94172</v>
      </c>
    </row>
    <row r="1677" spans="2:3">
      <c r="B1677" s="214" t="s">
        <v>3404</v>
      </c>
      <c r="C1677" s="231">
        <v>94171</v>
      </c>
    </row>
    <row r="1678" spans="2:3">
      <c r="B1678" s="214" t="s">
        <v>3405</v>
      </c>
      <c r="C1678" s="231">
        <v>91047</v>
      </c>
    </row>
    <row r="1679" spans="2:3">
      <c r="B1679" s="214" t="s">
        <v>3406</v>
      </c>
      <c r="C1679" s="231">
        <v>91041</v>
      </c>
    </row>
    <row r="1680" spans="2:3">
      <c r="B1680" s="214" t="s">
        <v>172</v>
      </c>
      <c r="C1680" s="231">
        <v>97131</v>
      </c>
    </row>
    <row r="1681" spans="2:3">
      <c r="B1681" s="214" t="s">
        <v>205</v>
      </c>
      <c r="C1681" s="231">
        <v>98601</v>
      </c>
    </row>
    <row r="1682" spans="2:3">
      <c r="B1682" s="214" t="s">
        <v>207</v>
      </c>
      <c r="C1682" s="231">
        <v>98701</v>
      </c>
    </row>
    <row r="1683" spans="2:3">
      <c r="B1683" s="214" t="s">
        <v>3407</v>
      </c>
      <c r="C1683" s="231">
        <v>96721</v>
      </c>
    </row>
    <row r="1684" spans="2:3">
      <c r="B1684" s="214" t="s">
        <v>3408</v>
      </c>
      <c r="C1684" s="231">
        <v>95011</v>
      </c>
    </row>
    <row r="1685" spans="2:3">
      <c r="B1685" s="214" t="s">
        <v>3409</v>
      </c>
      <c r="C1685" s="231">
        <v>92451</v>
      </c>
    </row>
    <row r="1686" spans="2:3">
      <c r="B1686" s="214" t="s">
        <v>88</v>
      </c>
      <c r="C1686" s="231">
        <v>93317</v>
      </c>
    </row>
    <row r="1687" spans="2:3">
      <c r="B1687" s="214" t="s">
        <v>3410</v>
      </c>
      <c r="C1687" s="231">
        <v>93311</v>
      </c>
    </row>
    <row r="1688" spans="2:3">
      <c r="B1688" s="214" t="s">
        <v>3411</v>
      </c>
      <c r="C1688" s="231">
        <v>90211</v>
      </c>
    </row>
    <row r="1689" spans="2:3">
      <c r="B1689" s="214" t="s">
        <v>3412</v>
      </c>
      <c r="C1689" s="231">
        <v>96302</v>
      </c>
    </row>
    <row r="1690" spans="2:3">
      <c r="B1690" s="214" t="s">
        <v>3413</v>
      </c>
      <c r="C1690" s="231">
        <v>93181</v>
      </c>
    </row>
    <row r="1691" spans="2:3">
      <c r="B1691" s="214" t="s">
        <v>3414</v>
      </c>
      <c r="C1691" s="231">
        <v>92113</v>
      </c>
    </row>
    <row r="1692" spans="2:3">
      <c r="B1692" s="214" t="s">
        <v>80</v>
      </c>
      <c r="C1692" s="231">
        <v>92913</v>
      </c>
    </row>
    <row r="1693" spans="2:3">
      <c r="B1693" s="214" t="s">
        <v>3415</v>
      </c>
      <c r="C1693" s="231">
        <v>92911</v>
      </c>
    </row>
    <row r="1694" spans="2:3">
      <c r="B1694" s="214" t="s">
        <v>3416</v>
      </c>
      <c r="C1694" s="231">
        <v>93471</v>
      </c>
    </row>
    <row r="1695" spans="2:3">
      <c r="B1695" s="214" t="s">
        <v>3417</v>
      </c>
      <c r="C1695" s="231">
        <v>90098</v>
      </c>
    </row>
    <row r="1696" spans="2:3">
      <c r="B1696" s="214" t="s">
        <v>3418</v>
      </c>
      <c r="C1696" s="231">
        <v>97121</v>
      </c>
    </row>
    <row r="1697" spans="2:3">
      <c r="B1697" s="214" t="s">
        <v>70</v>
      </c>
      <c r="C1697" s="231">
        <v>92414</v>
      </c>
    </row>
    <row r="1698" spans="2:3">
      <c r="B1698" s="214" t="s">
        <v>81</v>
      </c>
      <c r="C1698" s="231">
        <v>92941</v>
      </c>
    </row>
    <row r="1699" spans="2:3">
      <c r="B1699" s="214" t="s">
        <v>43</v>
      </c>
      <c r="C1699" s="231">
        <v>91026</v>
      </c>
    </row>
    <row r="1700" spans="2:3">
      <c r="B1700" s="214" t="s">
        <v>208</v>
      </c>
      <c r="C1700" s="231">
        <v>98801</v>
      </c>
    </row>
    <row r="1701" spans="2:3">
      <c r="B1701" s="214" t="s">
        <v>3419</v>
      </c>
      <c r="C1701" s="231">
        <v>92521</v>
      </c>
    </row>
    <row r="1702" spans="2:3">
      <c r="B1702" s="214" t="s">
        <v>1633</v>
      </c>
      <c r="C1702" s="231">
        <v>93417</v>
      </c>
    </row>
    <row r="1703" spans="2:3">
      <c r="B1703" s="214" t="s">
        <v>86</v>
      </c>
      <c r="C1703" s="231">
        <v>93219</v>
      </c>
    </row>
    <row r="1704" spans="2:3">
      <c r="B1704" s="214" t="s">
        <v>1634</v>
      </c>
      <c r="C1704" s="231">
        <v>92513</v>
      </c>
    </row>
    <row r="1705" spans="2:3">
      <c r="B1705" s="214" t="s">
        <v>3420</v>
      </c>
      <c r="C1705" s="231">
        <v>97661</v>
      </c>
    </row>
    <row r="1706" spans="2:3">
      <c r="B1706" s="214" t="s">
        <v>3421</v>
      </c>
      <c r="C1706" s="231">
        <v>94931</v>
      </c>
    </row>
    <row r="1707" spans="2:3">
      <c r="B1707" s="214" t="s">
        <v>3422</v>
      </c>
      <c r="C1707" s="231">
        <v>96221</v>
      </c>
    </row>
    <row r="1708" spans="2:3">
      <c r="B1708" s="214" t="s">
        <v>3423</v>
      </c>
      <c r="C1708" s="231">
        <v>97511</v>
      </c>
    </row>
    <row r="1709" spans="2:3">
      <c r="B1709" s="214" t="s">
        <v>3424</v>
      </c>
      <c r="C1709" s="231">
        <v>95002</v>
      </c>
    </row>
    <row r="1710" spans="2:3">
      <c r="B1710" s="214" t="s">
        <v>3425</v>
      </c>
      <c r="C1710" s="231">
        <v>98251</v>
      </c>
    </row>
    <row r="1711" spans="2:3">
      <c r="B1711" s="214" t="s">
        <v>209</v>
      </c>
      <c r="C1711" s="231">
        <v>98901</v>
      </c>
    </row>
    <row r="1712" spans="2:3">
      <c r="B1712" s="214" t="s">
        <v>3426</v>
      </c>
      <c r="C1712" s="231">
        <v>98904</v>
      </c>
    </row>
    <row r="1713" spans="2:3">
      <c r="B1713" s="214" t="s">
        <v>210</v>
      </c>
      <c r="C1713" s="231">
        <v>99001</v>
      </c>
    </row>
    <row r="1714" spans="2:3">
      <c r="B1714" s="214" t="s">
        <v>3427</v>
      </c>
      <c r="C1714" s="231">
        <v>99061</v>
      </c>
    </row>
    <row r="1715" spans="2:3">
      <c r="B1715" s="214" t="s">
        <v>3428</v>
      </c>
      <c r="C1715" s="231">
        <v>93309</v>
      </c>
    </row>
    <row r="1716" spans="2:3">
      <c r="B1716" s="214" t="s">
        <v>51</v>
      </c>
      <c r="C1716" s="231">
        <v>91213</v>
      </c>
    </row>
    <row r="1717" spans="2:3">
      <c r="B1717" s="214" t="s">
        <v>3429</v>
      </c>
      <c r="C1717" s="231">
        <v>91211</v>
      </c>
    </row>
    <row r="1718" spans="2:3">
      <c r="B1718" s="214" t="s">
        <v>212</v>
      </c>
      <c r="C1718" s="231">
        <v>99101</v>
      </c>
    </row>
    <row r="1719" spans="2:3">
      <c r="B1719" s="214" t="s">
        <v>3430</v>
      </c>
      <c r="C1719" s="231">
        <v>99104</v>
      </c>
    </row>
    <row r="1720" spans="2:3">
      <c r="B1720" s="214" t="s">
        <v>3431</v>
      </c>
      <c r="C1720" s="231">
        <v>92551</v>
      </c>
    </row>
    <row r="1721" spans="2:3">
      <c r="B1721" s="214" t="s">
        <v>3432</v>
      </c>
      <c r="C1721" s="231">
        <v>96321</v>
      </c>
    </row>
    <row r="1722" spans="2:3">
      <c r="B1722" s="214" t="s">
        <v>3433</v>
      </c>
      <c r="C1722" s="231">
        <v>92641</v>
      </c>
    </row>
    <row r="1723" spans="2:3">
      <c r="B1723" s="214" t="s">
        <v>3434</v>
      </c>
      <c r="C1723" s="231">
        <v>90417</v>
      </c>
    </row>
    <row r="1724" spans="2:3">
      <c r="B1724" s="214" t="s">
        <v>32</v>
      </c>
      <c r="C1724" s="231">
        <v>90413</v>
      </c>
    </row>
    <row r="1725" spans="2:3">
      <c r="B1725" s="214" t="s">
        <v>3435</v>
      </c>
      <c r="C1725" s="231">
        <v>90411</v>
      </c>
    </row>
    <row r="1726" spans="2:3">
      <c r="B1726" s="214" t="s">
        <v>3436</v>
      </c>
      <c r="C1726" s="231">
        <v>98321</v>
      </c>
    </row>
    <row r="1727" spans="2:3">
      <c r="B1727" s="214" t="s">
        <v>213</v>
      </c>
      <c r="C1727" s="231">
        <v>99201</v>
      </c>
    </row>
    <row r="1728" spans="2:3">
      <c r="B1728" s="214" t="s">
        <v>3437</v>
      </c>
      <c r="C1728" s="231">
        <v>99204</v>
      </c>
    </row>
    <row r="1729" spans="2:3">
      <c r="B1729" s="214" t="s">
        <v>214</v>
      </c>
      <c r="C1729" s="231">
        <v>99207</v>
      </c>
    </row>
    <row r="1730" spans="2:3">
      <c r="B1730" s="214" t="s">
        <v>3438</v>
      </c>
      <c r="C1730" s="231">
        <v>99281</v>
      </c>
    </row>
    <row r="1731" spans="2:3">
      <c r="B1731" s="214" t="s">
        <v>3439</v>
      </c>
      <c r="C1731" s="231">
        <v>93461</v>
      </c>
    </row>
    <row r="1732" spans="2:3">
      <c r="B1732" s="214" t="s">
        <v>3440</v>
      </c>
      <c r="C1732" s="231">
        <v>93157</v>
      </c>
    </row>
    <row r="1733" spans="2:3">
      <c r="B1733" s="214" t="s">
        <v>3441</v>
      </c>
      <c r="C1733" s="231">
        <v>93151</v>
      </c>
    </row>
    <row r="1734" spans="2:3">
      <c r="B1734" s="214" t="s">
        <v>3442</v>
      </c>
      <c r="C1734" s="231">
        <v>98517</v>
      </c>
    </row>
    <row r="1735" spans="2:3">
      <c r="B1735" s="214" t="s">
        <v>3443</v>
      </c>
      <c r="C1735" s="231">
        <v>98511</v>
      </c>
    </row>
    <row r="1736" spans="2:3">
      <c r="B1736" s="214" t="s">
        <v>3444</v>
      </c>
      <c r="C1736" s="231">
        <v>99661</v>
      </c>
    </row>
    <row r="1737" spans="2:3">
      <c r="B1737" s="214" t="s">
        <v>3445</v>
      </c>
      <c r="C1737" s="231">
        <v>94031</v>
      </c>
    </row>
    <row r="1738" spans="2:3">
      <c r="B1738" s="214" t="s">
        <v>217</v>
      </c>
      <c r="C1738" s="231">
        <v>99301</v>
      </c>
    </row>
    <row r="1739" spans="2:3">
      <c r="B1739" s="214" t="s">
        <v>3446</v>
      </c>
      <c r="C1739" s="231">
        <v>99304</v>
      </c>
    </row>
    <row r="1740" spans="2:3">
      <c r="B1740" s="214" t="s">
        <v>3447</v>
      </c>
      <c r="C1740" s="231">
        <v>99321</v>
      </c>
    </row>
    <row r="1741" spans="2:3">
      <c r="B1741" s="214" t="s">
        <v>3448</v>
      </c>
      <c r="C1741" s="231">
        <v>93137</v>
      </c>
    </row>
    <row r="1742" spans="2:3">
      <c r="B1742" s="214" t="s">
        <v>3449</v>
      </c>
      <c r="C1742" s="231">
        <v>93131</v>
      </c>
    </row>
    <row r="1743" spans="2:3">
      <c r="B1743" s="214" t="s">
        <v>218</v>
      </c>
      <c r="C1743" s="231">
        <v>99401</v>
      </c>
    </row>
    <row r="1744" spans="2:3">
      <c r="B1744" s="214" t="s">
        <v>3450</v>
      </c>
      <c r="C1744" s="231">
        <v>99404</v>
      </c>
    </row>
    <row r="1745" spans="2:3">
      <c r="B1745" s="214" t="s">
        <v>3451</v>
      </c>
      <c r="C1745" s="231">
        <v>90741</v>
      </c>
    </row>
    <row r="1746" spans="2:3">
      <c r="B1746" s="214" t="s">
        <v>3452</v>
      </c>
      <c r="C1746" s="231">
        <v>90711</v>
      </c>
    </row>
    <row r="1747" spans="2:3">
      <c r="B1747" s="214" t="s">
        <v>221</v>
      </c>
      <c r="C1747" s="231">
        <v>99501</v>
      </c>
    </row>
    <row r="1748" spans="2:3">
      <c r="B1748" s="214" t="s">
        <v>3453</v>
      </c>
      <c r="C1748" s="231">
        <v>99509</v>
      </c>
    </row>
    <row r="1749" spans="2:3">
      <c r="B1749" s="214" t="s">
        <v>3454</v>
      </c>
      <c r="C1749" s="53">
        <v>91302</v>
      </c>
    </row>
    <row r="1750" spans="2:3">
      <c r="B1750" s="214" t="s">
        <v>3455</v>
      </c>
      <c r="C1750" s="231">
        <v>99047</v>
      </c>
    </row>
    <row r="1751" spans="2:3">
      <c r="B1751" s="214" t="s">
        <v>3456</v>
      </c>
      <c r="C1751" s="231">
        <v>99041</v>
      </c>
    </row>
    <row r="1752" spans="2:3">
      <c r="B1752" s="214" t="s">
        <v>224</v>
      </c>
      <c r="C1752" s="231">
        <v>99601</v>
      </c>
    </row>
    <row r="1753" spans="2:3">
      <c r="B1753" s="214" t="s">
        <v>3457</v>
      </c>
      <c r="C1753" s="231">
        <v>99604</v>
      </c>
    </row>
    <row r="1754" spans="2:3">
      <c r="B1754" s="214" t="s">
        <v>3458</v>
      </c>
      <c r="C1754" s="231">
        <v>94412</v>
      </c>
    </row>
    <row r="1755" spans="2:3">
      <c r="B1755" s="214" t="s">
        <v>3459</v>
      </c>
      <c r="C1755" s="231">
        <v>94411</v>
      </c>
    </row>
    <row r="1756" spans="2:3">
      <c r="B1756" s="214" t="s">
        <v>3460</v>
      </c>
      <c r="C1756" s="231">
        <v>91147</v>
      </c>
    </row>
    <row r="1757" spans="2:3">
      <c r="B1757" s="214" t="s">
        <v>3461</v>
      </c>
      <c r="C1757" s="231">
        <v>91141</v>
      </c>
    </row>
    <row r="1758" spans="2:3">
      <c r="B1758" s="214" t="s">
        <v>3462</v>
      </c>
      <c r="C1758" s="231">
        <v>99071</v>
      </c>
    </row>
    <row r="1759" spans="2:3">
      <c r="B1759" s="214" t="s">
        <v>3463</v>
      </c>
      <c r="C1759" s="231">
        <v>94231</v>
      </c>
    </row>
    <row r="1760" spans="2:3">
      <c r="B1760" s="214" t="s">
        <v>3464</v>
      </c>
      <c r="C1760" s="231">
        <v>99231</v>
      </c>
    </row>
    <row r="1761" spans="2:3">
      <c r="B1761" s="214" t="s">
        <v>3465</v>
      </c>
      <c r="C1761" s="231">
        <v>99091</v>
      </c>
    </row>
    <row r="1762" spans="2:3">
      <c r="B1762" s="214" t="s">
        <v>3466</v>
      </c>
      <c r="C1762" s="231">
        <v>91120</v>
      </c>
    </row>
    <row r="1763" spans="2:3">
      <c r="B1763" s="214" t="s">
        <v>1635</v>
      </c>
      <c r="C1763" s="231">
        <v>92444</v>
      </c>
    </row>
    <row r="1764" spans="2:3">
      <c r="B1764" s="214" t="s">
        <v>34</v>
      </c>
      <c r="C1764" s="231">
        <v>90507</v>
      </c>
    </row>
    <row r="1765" spans="2:3">
      <c r="B1765" s="214" t="s">
        <v>3467</v>
      </c>
      <c r="C1765" s="231">
        <v>90521</v>
      </c>
    </row>
    <row r="1766" spans="2:3">
      <c r="B1766" s="214" t="s">
        <v>3468</v>
      </c>
      <c r="C1766" s="231">
        <v>92602</v>
      </c>
    </row>
    <row r="1767" spans="2:3">
      <c r="B1767" s="214" t="s">
        <v>3469</v>
      </c>
      <c r="C1767" s="231">
        <v>91608</v>
      </c>
    </row>
    <row r="1768" spans="2:3">
      <c r="B1768" s="214" t="s">
        <v>48</v>
      </c>
      <c r="C1768" s="231">
        <v>91119</v>
      </c>
    </row>
    <row r="1769" spans="2:3">
      <c r="B1769" s="214" t="s">
        <v>3470</v>
      </c>
      <c r="C1769" s="231">
        <v>91107</v>
      </c>
    </row>
    <row r="1770" spans="2:3">
      <c r="B1770" s="214" t="s">
        <v>3471</v>
      </c>
      <c r="C1770" s="231">
        <v>91818</v>
      </c>
    </row>
    <row r="1771" spans="2:3">
      <c r="B1771" s="214" t="s">
        <v>60</v>
      </c>
      <c r="C1771" s="231">
        <v>91819</v>
      </c>
    </row>
    <row r="1772" spans="2:3">
      <c r="B1772" s="214" t="s">
        <v>3472</v>
      </c>
      <c r="C1772" s="231">
        <v>96371</v>
      </c>
    </row>
    <row r="1773" spans="2:3">
      <c r="B1773" s="214" t="s">
        <v>3473</v>
      </c>
      <c r="C1773" s="231">
        <v>96441</v>
      </c>
    </row>
    <row r="1774" spans="2:3">
      <c r="B1774" s="214" t="s">
        <v>3474</v>
      </c>
      <c r="C1774" s="231">
        <v>90921</v>
      </c>
    </row>
    <row r="1775" spans="2:3">
      <c r="B1775" s="214" t="s">
        <v>3475</v>
      </c>
      <c r="C1775" s="231">
        <v>92417</v>
      </c>
    </row>
    <row r="1776" spans="2:3">
      <c r="B1776" s="214" t="s">
        <v>69</v>
      </c>
      <c r="C1776" s="231">
        <v>92403</v>
      </c>
    </row>
    <row r="1777" spans="2:3">
      <c r="B1777" s="214" t="s">
        <v>3476</v>
      </c>
      <c r="C1777" s="231">
        <v>92411</v>
      </c>
    </row>
    <row r="1778" spans="2:3">
      <c r="B1778" s="214" t="s">
        <v>226</v>
      </c>
      <c r="C1778" s="231">
        <v>99701</v>
      </c>
    </row>
    <row r="1779" spans="2:3">
      <c r="B1779" s="214" t="s">
        <v>3477</v>
      </c>
      <c r="C1779" s="231">
        <v>99727</v>
      </c>
    </row>
    <row r="1780" spans="2:3">
      <c r="B1780" s="214" t="s">
        <v>3478</v>
      </c>
      <c r="C1780" s="231">
        <v>99721</v>
      </c>
    </row>
    <row r="1781" spans="2:3">
      <c r="B1781" s="214" t="s">
        <v>142</v>
      </c>
      <c r="C1781" s="231">
        <v>95813</v>
      </c>
    </row>
    <row r="1782" spans="2:3">
      <c r="B1782" s="214" t="s">
        <v>3479</v>
      </c>
      <c r="C1782" s="231">
        <v>95811</v>
      </c>
    </row>
    <row r="1783" spans="2:3">
      <c r="B1783" s="214" t="s">
        <v>154</v>
      </c>
      <c r="C1783" s="231">
        <v>96503</v>
      </c>
    </row>
    <row r="1784" spans="2:3">
      <c r="B1784" s="214" t="s">
        <v>3480</v>
      </c>
      <c r="C1784" s="231">
        <v>96531</v>
      </c>
    </row>
    <row r="1785" spans="2:3">
      <c r="B1785" s="214" t="s">
        <v>228</v>
      </c>
      <c r="C1785" s="231">
        <v>99801</v>
      </c>
    </row>
    <row r="1786" spans="2:3">
      <c r="B1786" s="214" t="s">
        <v>3481</v>
      </c>
      <c r="C1786" s="231">
        <v>99804</v>
      </c>
    </row>
    <row r="1787" spans="2:3">
      <c r="B1787" s="214" t="s">
        <v>3482</v>
      </c>
      <c r="C1787" s="231">
        <v>99802</v>
      </c>
    </row>
    <row r="1788" spans="2:3">
      <c r="B1788" s="214" t="s">
        <v>3483</v>
      </c>
      <c r="C1788" s="231">
        <v>99812</v>
      </c>
    </row>
    <row r="1789" spans="2:3">
      <c r="B1789" s="214" t="s">
        <v>3484</v>
      </c>
      <c r="C1789" s="231">
        <v>99811</v>
      </c>
    </row>
    <row r="1790" spans="2:3">
      <c r="B1790" s="214" t="s">
        <v>3485</v>
      </c>
      <c r="C1790" s="231">
        <v>95191</v>
      </c>
    </row>
    <row r="1791" spans="2:3">
      <c r="B1791" s="214" t="s">
        <v>3486</v>
      </c>
      <c r="C1791" s="231">
        <v>90812</v>
      </c>
    </row>
    <row r="1792" spans="2:3">
      <c r="B1792" s="214" t="s">
        <v>3487</v>
      </c>
      <c r="C1792" s="231">
        <v>97221</v>
      </c>
    </row>
    <row r="1793" spans="2:3">
      <c r="B1793" s="214" t="s">
        <v>3488</v>
      </c>
      <c r="C1793" s="231">
        <v>99031</v>
      </c>
    </row>
    <row r="1794" spans="2:3">
      <c r="B1794" s="214" t="s">
        <v>93</v>
      </c>
      <c r="C1794" s="231">
        <v>93413</v>
      </c>
    </row>
    <row r="1795" spans="2:3">
      <c r="B1795" s="214" t="s">
        <v>3489</v>
      </c>
      <c r="C1795" s="231">
        <v>93411</v>
      </c>
    </row>
    <row r="1796" spans="2:3">
      <c r="B1796" s="214" t="s">
        <v>3490</v>
      </c>
      <c r="C1796" s="231">
        <v>97451</v>
      </c>
    </row>
    <row r="1797" spans="2:3">
      <c r="B1797" s="214" t="s">
        <v>3491</v>
      </c>
      <c r="C1797" s="231">
        <v>94631</v>
      </c>
    </row>
    <row r="1798" spans="2:3">
      <c r="B1798" s="214" t="s">
        <v>46</v>
      </c>
      <c r="C1798" s="231">
        <v>91104</v>
      </c>
    </row>
    <row r="1799" spans="2:3">
      <c r="B1799" s="214" t="s">
        <v>3492</v>
      </c>
      <c r="C1799" s="231">
        <v>91109</v>
      </c>
    </row>
    <row r="1800" spans="2:3">
      <c r="B1800" s="214" t="s">
        <v>3493</v>
      </c>
      <c r="C1800" s="231">
        <v>91171</v>
      </c>
    </row>
    <row r="1801" spans="2:3">
      <c r="B1801" s="214" t="s">
        <v>3494</v>
      </c>
      <c r="C1801" s="231">
        <v>96621</v>
      </c>
    </row>
    <row r="1802" spans="2:3">
      <c r="B1802" s="214" t="s">
        <v>3495</v>
      </c>
      <c r="C1802" s="231">
        <v>96511</v>
      </c>
    </row>
    <row r="1803" spans="2:3">
      <c r="B1803" s="214" t="s">
        <v>229</v>
      </c>
      <c r="C1803" s="231">
        <v>99901</v>
      </c>
    </row>
    <row r="1804" spans="2:3">
      <c r="B1804" s="214" t="s">
        <v>1636</v>
      </c>
      <c r="C1804" s="231">
        <v>98604</v>
      </c>
    </row>
    <row r="1805" spans="2:3">
      <c r="B1805" s="214" t="s">
        <v>206</v>
      </c>
      <c r="C1805" s="231">
        <v>98608</v>
      </c>
    </row>
    <row r="1806" spans="2:3">
      <c r="B1806" s="214" t="s">
        <v>3496</v>
      </c>
      <c r="C1806" s="231">
        <v>99911</v>
      </c>
    </row>
    <row r="1807" spans="2:3">
      <c r="B1807" s="214" t="s">
        <v>26</v>
      </c>
      <c r="C1807" s="231">
        <v>90001</v>
      </c>
    </row>
    <row r="1808" spans="2:3">
      <c r="B1808" s="214" t="s">
        <v>3497</v>
      </c>
      <c r="C1808" s="231">
        <v>90002</v>
      </c>
    </row>
    <row r="1809" spans="2:3">
      <c r="B1809" s="214" t="s">
        <v>3498</v>
      </c>
      <c r="C1809" s="231">
        <v>91719</v>
      </c>
    </row>
    <row r="1810" spans="2:3">
      <c r="B1810" s="214" t="s">
        <v>3499</v>
      </c>
      <c r="C1810" s="231">
        <v>93541</v>
      </c>
    </row>
    <row r="1811" spans="2:3">
      <c r="B1811" s="214" t="s">
        <v>3500</v>
      </c>
      <c r="C1811" s="231">
        <v>99241</v>
      </c>
    </row>
  </sheetData>
  <sheetProtection password="CEAA" sheet="1" objects="1" scenarios="1"/>
  <pageMargins left="0" right="0" top="0.75" bottom="0.75" header="0.3" footer="0.3"/>
  <pageSetup scale="46"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A697A-BD4E-4CAE-9F03-5422EEDA2716}">
  <dimension ref="A1:O2366"/>
  <sheetViews>
    <sheetView zoomScaleNormal="100" workbookViewId="0"/>
  </sheetViews>
  <sheetFormatPr defaultRowHeight="15"/>
  <cols>
    <col min="1" max="1" width="12.140625" style="229" bestFit="1" customWidth="1"/>
    <col min="2" max="2" width="55.5703125" style="229" bestFit="1" customWidth="1"/>
    <col min="3" max="3" width="27" style="105" bestFit="1" customWidth="1"/>
    <col min="4" max="4" width="9.140625" style="229"/>
    <col min="5" max="5" width="30.140625" style="214" customWidth="1"/>
    <col min="6" max="6" width="21" style="214" customWidth="1"/>
    <col min="7" max="7" width="16" style="214" bestFit="1" customWidth="1"/>
    <col min="8" max="11" width="9.140625" style="214"/>
    <col min="12" max="12" width="55.5703125" style="214" bestFit="1" customWidth="1"/>
    <col min="13" max="13" width="19.28515625" style="214" bestFit="1" customWidth="1"/>
    <col min="14" max="14" width="15.28515625" style="214" bestFit="1" customWidth="1"/>
    <col min="15" max="15" width="11.5703125" style="214" bestFit="1" customWidth="1"/>
    <col min="16" max="16384" width="9.140625" style="214"/>
  </cols>
  <sheetData>
    <row r="1" spans="1:15" ht="15.75" thickBot="1">
      <c r="C1" s="244">
        <f>SUM(C3:C927)</f>
        <v>528347297.84999931</v>
      </c>
      <c r="E1" s="62"/>
      <c r="F1" s="244"/>
      <c r="G1" s="62"/>
      <c r="M1" s="62"/>
      <c r="N1" s="348"/>
      <c r="O1" s="62"/>
    </row>
    <row r="2" spans="1:15" ht="15.75" thickTop="1">
      <c r="A2" s="102" t="s">
        <v>1637</v>
      </c>
      <c r="B2" s="102" t="s">
        <v>1638</v>
      </c>
      <c r="C2" s="103" t="s">
        <v>3607</v>
      </c>
      <c r="K2" s="381"/>
      <c r="L2" s="381"/>
      <c r="M2" s="382"/>
    </row>
    <row r="3" spans="1:15">
      <c r="A3" s="109" t="s">
        <v>692</v>
      </c>
      <c r="B3" s="108" t="s">
        <v>691</v>
      </c>
      <c r="C3" s="107"/>
      <c r="K3" s="49"/>
      <c r="L3" s="49"/>
      <c r="M3" s="383"/>
    </row>
    <row r="4" spans="1:15">
      <c r="A4" s="229">
        <v>70505</v>
      </c>
      <c r="B4" s="229" t="s">
        <v>727</v>
      </c>
      <c r="C4" s="105">
        <v>183801.88</v>
      </c>
      <c r="F4" s="62"/>
      <c r="M4" s="348"/>
    </row>
    <row r="5" spans="1:15">
      <c r="A5" s="229">
        <v>72265</v>
      </c>
      <c r="B5" s="229" t="s">
        <v>728</v>
      </c>
      <c r="C5" s="105">
        <v>79299.899999999994</v>
      </c>
      <c r="F5" s="62"/>
      <c r="M5" s="348"/>
    </row>
    <row r="6" spans="1:15">
      <c r="A6" s="229">
        <v>72593</v>
      </c>
      <c r="B6" s="229" t="s">
        <v>729</v>
      </c>
      <c r="C6" s="105">
        <v>2615.2800000000002</v>
      </c>
      <c r="F6" s="62"/>
      <c r="M6" s="348"/>
    </row>
    <row r="7" spans="1:15">
      <c r="A7" s="229">
        <v>72657</v>
      </c>
      <c r="B7" s="229" t="s">
        <v>730</v>
      </c>
      <c r="C7" s="105">
        <v>17540.32</v>
      </c>
      <c r="F7" s="62"/>
      <c r="M7" s="348"/>
    </row>
    <row r="8" spans="1:15">
      <c r="A8" s="229">
        <v>90001</v>
      </c>
      <c r="B8" s="229" t="s">
        <v>731</v>
      </c>
      <c r="C8" s="105">
        <v>465715.38</v>
      </c>
      <c r="F8" s="62"/>
      <c r="M8" s="348"/>
    </row>
    <row r="9" spans="1:15">
      <c r="A9" s="229">
        <v>90002</v>
      </c>
      <c r="B9" s="229" t="s">
        <v>732</v>
      </c>
      <c r="C9" s="105">
        <v>6756.64</v>
      </c>
      <c r="F9" s="62"/>
      <c r="M9" s="348"/>
    </row>
    <row r="10" spans="1:15">
      <c r="A10" s="229">
        <v>90011</v>
      </c>
      <c r="B10" s="229" t="s">
        <v>733</v>
      </c>
      <c r="C10" s="105">
        <v>96277.11</v>
      </c>
      <c r="F10" s="62"/>
      <c r="M10" s="348"/>
    </row>
    <row r="11" spans="1:15">
      <c r="A11" s="229">
        <v>90092</v>
      </c>
      <c r="B11" s="229" t="s">
        <v>734</v>
      </c>
      <c r="C11" s="105">
        <v>217473.12</v>
      </c>
      <c r="F11" s="62"/>
      <c r="M11" s="348"/>
    </row>
    <row r="12" spans="1:15">
      <c r="A12" s="229">
        <v>90096</v>
      </c>
      <c r="B12" s="229" t="s">
        <v>735</v>
      </c>
      <c r="C12" s="105">
        <v>615648.71</v>
      </c>
      <c r="F12" s="62"/>
      <c r="M12" s="348"/>
    </row>
    <row r="13" spans="1:15">
      <c r="A13" s="229">
        <v>90098</v>
      </c>
      <c r="B13" s="229" t="s">
        <v>736</v>
      </c>
      <c r="C13" s="105">
        <v>143864.85999999999</v>
      </c>
      <c r="F13" s="62"/>
      <c r="M13" s="348"/>
    </row>
    <row r="14" spans="1:15">
      <c r="A14" s="229">
        <v>90099</v>
      </c>
      <c r="B14" s="229" t="s">
        <v>737</v>
      </c>
      <c r="C14" s="105">
        <v>310082.45</v>
      </c>
      <c r="F14" s="62"/>
      <c r="M14" s="348"/>
    </row>
    <row r="15" spans="1:15">
      <c r="A15" s="229">
        <v>90101</v>
      </c>
      <c r="B15" s="229" t="s">
        <v>738</v>
      </c>
      <c r="C15" s="105">
        <v>3260323.37</v>
      </c>
      <c r="F15" s="62"/>
      <c r="M15" s="348"/>
    </row>
    <row r="16" spans="1:15">
      <c r="A16" s="229">
        <v>90111</v>
      </c>
      <c r="B16" s="229" t="s">
        <v>739</v>
      </c>
      <c r="C16" s="105">
        <v>2548497.62</v>
      </c>
      <c r="F16" s="62"/>
      <c r="M16" s="348"/>
    </row>
    <row r="17" spans="1:13">
      <c r="A17" s="229">
        <v>90114</v>
      </c>
      <c r="B17" s="229" t="s">
        <v>740</v>
      </c>
      <c r="C17" s="105">
        <v>1328863.8500000001</v>
      </c>
      <c r="F17" s="62"/>
      <c r="M17" s="348"/>
    </row>
    <row r="18" spans="1:13">
      <c r="A18" s="229">
        <v>90117</v>
      </c>
      <c r="B18" s="229" t="s">
        <v>741</v>
      </c>
      <c r="C18" s="105">
        <v>93023.26</v>
      </c>
      <c r="F18" s="62"/>
      <c r="M18" s="348"/>
    </row>
    <row r="19" spans="1:13">
      <c r="A19" s="229">
        <v>90121</v>
      </c>
      <c r="B19" s="229" t="s">
        <v>742</v>
      </c>
      <c r="C19" s="105">
        <v>532416.04</v>
      </c>
      <c r="F19" s="62"/>
      <c r="M19" s="348"/>
    </row>
    <row r="20" spans="1:13">
      <c r="A20" s="229">
        <v>90131</v>
      </c>
      <c r="B20" s="229" t="s">
        <v>743</v>
      </c>
      <c r="C20" s="105">
        <v>249917.79</v>
      </c>
      <c r="F20" s="62"/>
      <c r="M20" s="348"/>
    </row>
    <row r="21" spans="1:13">
      <c r="A21" s="229">
        <v>90141</v>
      </c>
      <c r="B21" s="229" t="s">
        <v>744</v>
      </c>
      <c r="C21" s="105">
        <v>79960.899999999994</v>
      </c>
      <c r="F21" s="62"/>
      <c r="M21" s="348"/>
    </row>
    <row r="22" spans="1:13">
      <c r="A22" s="229">
        <v>90151</v>
      </c>
      <c r="B22" s="229" t="s">
        <v>745</v>
      </c>
      <c r="C22" s="105">
        <v>3499.32</v>
      </c>
      <c r="F22" s="62"/>
      <c r="M22" s="348"/>
    </row>
    <row r="23" spans="1:13">
      <c r="A23" s="229">
        <v>90161</v>
      </c>
      <c r="B23" s="229" t="s">
        <v>746</v>
      </c>
      <c r="C23" s="105">
        <v>19107.830000000002</v>
      </c>
      <c r="F23" s="62"/>
      <c r="M23" s="348"/>
    </row>
    <row r="24" spans="1:13">
      <c r="A24" s="229">
        <v>90201</v>
      </c>
      <c r="B24" s="229" t="s">
        <v>747</v>
      </c>
      <c r="C24" s="105">
        <v>650654.12</v>
      </c>
      <c r="F24" s="62"/>
      <c r="M24" s="348"/>
    </row>
    <row r="25" spans="1:13">
      <c r="A25" s="229">
        <v>90203</v>
      </c>
      <c r="B25" s="229" t="s">
        <v>748</v>
      </c>
      <c r="C25" s="105">
        <v>108275.74</v>
      </c>
      <c r="F25" s="62"/>
      <c r="M25" s="348"/>
    </row>
    <row r="26" spans="1:13">
      <c r="A26" s="229">
        <v>90205</v>
      </c>
      <c r="B26" s="229" t="s">
        <v>749</v>
      </c>
      <c r="C26" s="105">
        <v>17587.310000000001</v>
      </c>
      <c r="F26" s="62"/>
      <c r="M26" s="348"/>
    </row>
    <row r="27" spans="1:13">
      <c r="A27" s="229">
        <v>90206</v>
      </c>
      <c r="B27" s="229" t="s">
        <v>750</v>
      </c>
      <c r="C27" s="105">
        <v>198714.17</v>
      </c>
      <c r="F27" s="62"/>
      <c r="M27" s="348"/>
    </row>
    <row r="28" spans="1:13">
      <c r="A28" s="229">
        <v>90211</v>
      </c>
      <c r="B28" s="229" t="s">
        <v>751</v>
      </c>
      <c r="C28" s="105">
        <v>84374.14</v>
      </c>
      <c r="F28" s="62"/>
      <c r="M28" s="348"/>
    </row>
    <row r="29" spans="1:13">
      <c r="A29" s="229">
        <v>90301</v>
      </c>
      <c r="B29" s="229" t="s">
        <v>752</v>
      </c>
      <c r="C29" s="105">
        <v>357961.79</v>
      </c>
      <c r="F29" s="62"/>
      <c r="M29" s="348"/>
    </row>
    <row r="30" spans="1:13">
      <c r="A30" s="229">
        <v>90305</v>
      </c>
      <c r="B30" s="229" t="s">
        <v>753</v>
      </c>
      <c r="C30" s="105">
        <v>94586.76</v>
      </c>
      <c r="F30" s="62"/>
      <c r="M30" s="348"/>
    </row>
    <row r="31" spans="1:13">
      <c r="A31" s="229">
        <v>90307</v>
      </c>
      <c r="B31" s="229" t="s">
        <v>754</v>
      </c>
      <c r="C31" s="105">
        <v>4525.25</v>
      </c>
      <c r="F31" s="62"/>
      <c r="M31" s="348"/>
    </row>
    <row r="32" spans="1:13">
      <c r="A32" s="229">
        <v>90401</v>
      </c>
      <c r="B32" s="229" t="s">
        <v>755</v>
      </c>
      <c r="C32" s="105">
        <v>745992.05</v>
      </c>
      <c r="F32" s="62"/>
      <c r="M32" s="348"/>
    </row>
    <row r="33" spans="1:13">
      <c r="A33" s="229">
        <v>90411</v>
      </c>
      <c r="B33" s="229" t="s">
        <v>756</v>
      </c>
      <c r="C33" s="105">
        <v>170773.52</v>
      </c>
      <c r="F33" s="62"/>
      <c r="M33" s="348"/>
    </row>
    <row r="34" spans="1:13">
      <c r="A34" s="229">
        <v>90413</v>
      </c>
      <c r="B34" s="229" t="s">
        <v>757</v>
      </c>
      <c r="C34" s="105">
        <v>20234.72</v>
      </c>
      <c r="F34" s="62"/>
      <c r="M34" s="348"/>
    </row>
    <row r="35" spans="1:13">
      <c r="A35" s="229">
        <v>90417</v>
      </c>
      <c r="B35" s="229" t="s">
        <v>758</v>
      </c>
      <c r="C35" s="105">
        <v>8960.24</v>
      </c>
      <c r="F35" s="62"/>
      <c r="M35" s="348"/>
    </row>
    <row r="36" spans="1:13">
      <c r="A36" s="229">
        <v>90421</v>
      </c>
      <c r="B36" s="229" t="s">
        <v>759</v>
      </c>
      <c r="C36" s="105">
        <v>9929.2199999999993</v>
      </c>
      <c r="F36" s="62"/>
      <c r="M36" s="348"/>
    </row>
    <row r="37" spans="1:13">
      <c r="A37" s="229">
        <v>90431</v>
      </c>
      <c r="B37" s="229" t="s">
        <v>760</v>
      </c>
      <c r="C37" s="105">
        <v>25477.17</v>
      </c>
      <c r="F37" s="62"/>
      <c r="M37" s="348"/>
    </row>
    <row r="38" spans="1:13">
      <c r="A38" s="229">
        <v>90441</v>
      </c>
      <c r="B38" s="229" t="s">
        <v>761</v>
      </c>
      <c r="C38" s="105">
        <v>5476.02</v>
      </c>
      <c r="F38" s="62"/>
      <c r="M38" s="348"/>
    </row>
    <row r="39" spans="1:13">
      <c r="A39" s="229">
        <v>90451</v>
      </c>
      <c r="B39" s="229" t="s">
        <v>762</v>
      </c>
      <c r="C39" s="105">
        <v>11750.47</v>
      </c>
      <c r="F39" s="62"/>
      <c r="M39" s="348"/>
    </row>
    <row r="40" spans="1:13">
      <c r="A40" s="229">
        <v>90461</v>
      </c>
      <c r="B40" s="229" t="s">
        <v>763</v>
      </c>
      <c r="C40" s="105">
        <v>1556.14</v>
      </c>
      <c r="F40" s="62"/>
      <c r="M40" s="348"/>
    </row>
    <row r="41" spans="1:13">
      <c r="A41" s="229">
        <v>90501</v>
      </c>
      <c r="B41" s="229" t="s">
        <v>764</v>
      </c>
      <c r="C41" s="105">
        <v>786568.7</v>
      </c>
      <c r="F41" s="62"/>
      <c r="M41" s="348"/>
    </row>
    <row r="42" spans="1:13">
      <c r="A42" s="229">
        <v>90507</v>
      </c>
      <c r="B42" s="229" t="s">
        <v>34</v>
      </c>
      <c r="C42" s="105">
        <v>9157.0400000000009</v>
      </c>
      <c r="F42" s="62"/>
      <c r="M42" s="348"/>
    </row>
    <row r="43" spans="1:13">
      <c r="A43" s="229">
        <v>90511</v>
      </c>
      <c r="B43" s="229" t="s">
        <v>765</v>
      </c>
      <c r="C43" s="105">
        <v>60485.5</v>
      </c>
      <c r="F43" s="62"/>
      <c r="M43" s="348"/>
    </row>
    <row r="44" spans="1:13">
      <c r="A44" s="229">
        <v>90521</v>
      </c>
      <c r="B44" s="229" t="s">
        <v>766</v>
      </c>
      <c r="C44" s="105">
        <v>60331.17</v>
      </c>
      <c r="F44" s="62"/>
      <c r="M44" s="348"/>
    </row>
    <row r="45" spans="1:13">
      <c r="A45" s="229">
        <v>90601</v>
      </c>
      <c r="B45" s="229" t="s">
        <v>767</v>
      </c>
      <c r="C45" s="105">
        <v>625366.18999999994</v>
      </c>
      <c r="F45" s="62"/>
      <c r="M45" s="348"/>
    </row>
    <row r="46" spans="1:13">
      <c r="A46" s="229">
        <v>90602</v>
      </c>
      <c r="B46" s="229" t="s">
        <v>259</v>
      </c>
      <c r="C46" s="105">
        <v>55243.47</v>
      </c>
      <c r="F46" s="62"/>
      <c r="M46" s="348"/>
    </row>
    <row r="47" spans="1:13">
      <c r="A47" s="229">
        <v>90605</v>
      </c>
      <c r="B47" s="229" t="s">
        <v>768</v>
      </c>
      <c r="C47" s="105">
        <v>28705.34</v>
      </c>
      <c r="F47" s="62"/>
      <c r="M47" s="348"/>
    </row>
    <row r="48" spans="1:13">
      <c r="A48" s="229">
        <v>90611</v>
      </c>
      <c r="B48" s="229" t="s">
        <v>769</v>
      </c>
      <c r="C48" s="105">
        <v>73545.320000000007</v>
      </c>
      <c r="F48" s="62"/>
      <c r="M48" s="348"/>
    </row>
    <row r="49" spans="1:13">
      <c r="A49" s="229">
        <v>90617</v>
      </c>
      <c r="B49" s="229" t="s">
        <v>770</v>
      </c>
      <c r="C49" s="105">
        <v>16833.349999999999</v>
      </c>
      <c r="F49" s="62"/>
      <c r="M49" s="348"/>
    </row>
    <row r="50" spans="1:13">
      <c r="A50" s="229">
        <v>90621</v>
      </c>
      <c r="B50" s="229" t="s">
        <v>771</v>
      </c>
      <c r="C50" s="105">
        <v>35331.75</v>
      </c>
      <c r="F50" s="62"/>
      <c r="M50" s="348"/>
    </row>
    <row r="51" spans="1:13">
      <c r="A51" s="229">
        <v>90631</v>
      </c>
      <c r="B51" s="229" t="s">
        <v>772</v>
      </c>
      <c r="C51" s="105">
        <v>199949.25</v>
      </c>
      <c r="F51" s="62"/>
      <c r="M51" s="348"/>
    </row>
    <row r="52" spans="1:13">
      <c r="A52" s="229">
        <v>90641</v>
      </c>
      <c r="B52" s="229" t="s">
        <v>773</v>
      </c>
      <c r="C52" s="105">
        <v>7645.54</v>
      </c>
      <c r="F52" s="62"/>
      <c r="M52" s="348"/>
    </row>
    <row r="53" spans="1:13">
      <c r="A53" s="229">
        <v>90651</v>
      </c>
      <c r="B53" s="229" t="s">
        <v>1936</v>
      </c>
      <c r="C53" s="105">
        <v>110911.29</v>
      </c>
      <c r="F53" s="62"/>
      <c r="M53" s="348"/>
    </row>
    <row r="54" spans="1:13">
      <c r="A54" s="229">
        <v>90701</v>
      </c>
      <c r="B54" s="229" t="s">
        <v>775</v>
      </c>
      <c r="C54" s="105">
        <v>1289223.42</v>
      </c>
      <c r="F54" s="62"/>
      <c r="M54" s="348"/>
    </row>
    <row r="55" spans="1:13">
      <c r="A55" s="229">
        <v>90704</v>
      </c>
      <c r="B55" s="229" t="s">
        <v>776</v>
      </c>
      <c r="C55" s="105">
        <v>31057.26</v>
      </c>
      <c r="F55" s="62"/>
      <c r="M55" s="348"/>
    </row>
    <row r="56" spans="1:13">
      <c r="A56" s="229">
        <v>90705</v>
      </c>
      <c r="B56" s="229" t="s">
        <v>777</v>
      </c>
      <c r="C56" s="105">
        <v>26090.1</v>
      </c>
      <c r="F56" s="62"/>
      <c r="M56" s="348"/>
    </row>
    <row r="57" spans="1:13">
      <c r="A57" s="229">
        <v>90709</v>
      </c>
      <c r="B57" s="229" t="s">
        <v>778</v>
      </c>
      <c r="C57" s="105">
        <v>81763.95</v>
      </c>
      <c r="F57" s="62"/>
      <c r="M57" s="348"/>
    </row>
    <row r="58" spans="1:13">
      <c r="A58" s="229">
        <v>90711</v>
      </c>
      <c r="B58" s="229" t="s">
        <v>779</v>
      </c>
      <c r="C58" s="105">
        <v>820543.64</v>
      </c>
      <c r="F58" s="62"/>
      <c r="M58" s="348"/>
    </row>
    <row r="59" spans="1:13">
      <c r="A59" s="229">
        <v>90721</v>
      </c>
      <c r="B59" s="229" t="s">
        <v>780</v>
      </c>
      <c r="C59" s="105">
        <v>13312.1</v>
      </c>
      <c r="F59" s="62"/>
      <c r="M59" s="348"/>
    </row>
    <row r="60" spans="1:13">
      <c r="A60" s="229">
        <v>90731</v>
      </c>
      <c r="B60" s="229" t="s">
        <v>781</v>
      </c>
      <c r="C60" s="105">
        <v>83710.77</v>
      </c>
      <c r="F60" s="62"/>
      <c r="M60" s="348"/>
    </row>
    <row r="61" spans="1:13">
      <c r="A61" s="229">
        <v>90741</v>
      </c>
      <c r="B61" s="229" t="s">
        <v>782</v>
      </c>
      <c r="C61" s="105">
        <v>7545.18</v>
      </c>
      <c r="F61" s="62"/>
      <c r="M61" s="348"/>
    </row>
    <row r="62" spans="1:13">
      <c r="A62" s="229">
        <v>90751</v>
      </c>
      <c r="B62" s="229" t="s">
        <v>783</v>
      </c>
      <c r="C62" s="105">
        <v>30362.59</v>
      </c>
      <c r="F62" s="62"/>
      <c r="M62" s="348"/>
    </row>
    <row r="63" spans="1:13">
      <c r="A63" s="229">
        <v>90801</v>
      </c>
      <c r="B63" s="229" t="s">
        <v>784</v>
      </c>
      <c r="C63" s="105">
        <v>602531.56000000006</v>
      </c>
      <c r="F63" s="62"/>
      <c r="M63" s="348"/>
    </row>
    <row r="64" spans="1:13">
      <c r="A64" s="229">
        <v>90804</v>
      </c>
      <c r="B64" s="229" t="s">
        <v>785</v>
      </c>
      <c r="C64" s="105">
        <v>2986.02</v>
      </c>
      <c r="F64" s="62"/>
      <c r="M64" s="348"/>
    </row>
    <row r="65" spans="1:13">
      <c r="A65" s="229">
        <v>90805</v>
      </c>
      <c r="B65" s="229" t="s">
        <v>786</v>
      </c>
      <c r="C65" s="105">
        <v>44785.26</v>
      </c>
      <c r="F65" s="62"/>
      <c r="M65" s="348"/>
    </row>
    <row r="66" spans="1:13">
      <c r="A66" s="229">
        <v>90808</v>
      </c>
      <c r="B66" s="229" t="s">
        <v>787</v>
      </c>
      <c r="C66" s="105">
        <v>80247.5</v>
      </c>
      <c r="F66" s="62"/>
      <c r="M66" s="348"/>
    </row>
    <row r="67" spans="1:13">
      <c r="A67" s="229">
        <v>90811</v>
      </c>
      <c r="B67" s="229" t="s">
        <v>788</v>
      </c>
      <c r="C67" s="105">
        <v>15156.78</v>
      </c>
      <c r="F67" s="62"/>
      <c r="M67" s="348"/>
    </row>
    <row r="68" spans="1:13">
      <c r="A68" s="229">
        <v>90812</v>
      </c>
      <c r="B68" s="229" t="s">
        <v>789</v>
      </c>
      <c r="C68" s="105">
        <v>114046.68</v>
      </c>
      <c r="F68" s="62"/>
      <c r="M68" s="348"/>
    </row>
    <row r="69" spans="1:13">
      <c r="A69" s="229">
        <v>90813</v>
      </c>
      <c r="B69" s="229" t="s">
        <v>790</v>
      </c>
      <c r="C69" s="105">
        <v>2274.73</v>
      </c>
      <c r="F69" s="62"/>
      <c r="M69" s="348"/>
    </row>
    <row r="70" spans="1:13">
      <c r="A70" s="229">
        <v>90861</v>
      </c>
      <c r="B70" s="229" t="s">
        <v>791</v>
      </c>
      <c r="C70" s="105">
        <v>7984.29</v>
      </c>
      <c r="F70" s="62"/>
      <c r="M70" s="348"/>
    </row>
    <row r="71" spans="1:13">
      <c r="A71" s="229">
        <v>90901</v>
      </c>
      <c r="B71" s="229" t="s">
        <v>792</v>
      </c>
      <c r="C71" s="105">
        <v>1170638.6100000001</v>
      </c>
      <c r="F71" s="62"/>
      <c r="M71" s="348"/>
    </row>
    <row r="72" spans="1:13">
      <c r="A72" s="229">
        <v>90911</v>
      </c>
      <c r="B72" s="229" t="s">
        <v>793</v>
      </c>
      <c r="C72" s="105">
        <v>183906.7</v>
      </c>
      <c r="F72" s="62"/>
      <c r="M72" s="348"/>
    </row>
    <row r="73" spans="1:13">
      <c r="A73" s="229">
        <v>90917</v>
      </c>
      <c r="B73" s="229" t="s">
        <v>794</v>
      </c>
      <c r="C73" s="105">
        <v>5624.28</v>
      </c>
      <c r="F73" s="62"/>
      <c r="M73" s="348"/>
    </row>
    <row r="74" spans="1:13">
      <c r="A74" s="229">
        <v>90918</v>
      </c>
      <c r="B74" s="229" t="s">
        <v>795</v>
      </c>
      <c r="C74" s="105">
        <v>5360.4</v>
      </c>
      <c r="F74" s="62"/>
      <c r="M74" s="348"/>
    </row>
    <row r="75" spans="1:13">
      <c r="A75" s="229">
        <v>90921</v>
      </c>
      <c r="B75" s="229" t="s">
        <v>796</v>
      </c>
      <c r="C75" s="105">
        <v>69213.990000000005</v>
      </c>
      <c r="F75" s="62"/>
      <c r="M75" s="348"/>
    </row>
    <row r="76" spans="1:13">
      <c r="A76" s="229">
        <v>90931</v>
      </c>
      <c r="B76" s="229" t="s">
        <v>797</v>
      </c>
      <c r="C76" s="105">
        <v>17293.41</v>
      </c>
      <c r="F76" s="62"/>
      <c r="M76" s="348"/>
    </row>
    <row r="77" spans="1:13">
      <c r="A77" s="229">
        <v>90941</v>
      </c>
      <c r="B77" s="229" t="s">
        <v>798</v>
      </c>
      <c r="C77" s="105">
        <v>41268.82</v>
      </c>
      <c r="F77" s="62"/>
      <c r="M77" s="348"/>
    </row>
    <row r="78" spans="1:13">
      <c r="A78" s="229">
        <v>91001</v>
      </c>
      <c r="B78" s="229" t="s">
        <v>799</v>
      </c>
      <c r="C78" s="105">
        <v>3599383.6</v>
      </c>
      <c r="F78" s="62"/>
      <c r="M78" s="348"/>
    </row>
    <row r="79" spans="1:13">
      <c r="A79" s="229">
        <v>91002</v>
      </c>
      <c r="B79" s="229" t="s">
        <v>800</v>
      </c>
      <c r="C79" s="105">
        <v>540811.48</v>
      </c>
      <c r="F79" s="62"/>
      <c r="M79" s="348"/>
    </row>
    <row r="80" spans="1:13">
      <c r="A80" s="229">
        <v>91003</v>
      </c>
      <c r="B80" s="229" t="s">
        <v>801</v>
      </c>
      <c r="C80" s="105">
        <v>311787.37</v>
      </c>
      <c r="F80" s="62"/>
      <c r="M80" s="348"/>
    </row>
    <row r="81" spans="1:13">
      <c r="A81" s="229">
        <v>91004</v>
      </c>
      <c r="B81" s="229" t="s">
        <v>802</v>
      </c>
      <c r="C81" s="105">
        <v>16893.27</v>
      </c>
      <c r="F81" s="62"/>
      <c r="M81" s="348"/>
    </row>
    <row r="82" spans="1:13">
      <c r="A82" s="229">
        <v>91006</v>
      </c>
      <c r="B82" s="229" t="s">
        <v>803</v>
      </c>
      <c r="C82" s="105">
        <v>516576.22</v>
      </c>
      <c r="F82" s="62"/>
      <c r="M82" s="348"/>
    </row>
    <row r="83" spans="1:13">
      <c r="A83" s="229">
        <v>91007</v>
      </c>
      <c r="B83" s="229" t="s">
        <v>804</v>
      </c>
      <c r="C83" s="105">
        <v>5931.51</v>
      </c>
      <c r="F83" s="62"/>
      <c r="M83" s="348"/>
    </row>
    <row r="84" spans="1:13">
      <c r="A84" s="229">
        <v>91008</v>
      </c>
      <c r="B84" s="229" t="s">
        <v>805</v>
      </c>
      <c r="C84" s="105">
        <v>83066.720000000001</v>
      </c>
      <c r="F84" s="62"/>
      <c r="M84" s="348"/>
    </row>
    <row r="85" spans="1:13">
      <c r="A85" s="229">
        <v>91009</v>
      </c>
      <c r="B85" s="229" t="s">
        <v>806</v>
      </c>
      <c r="C85" s="105">
        <v>11664.57</v>
      </c>
      <c r="F85" s="62"/>
      <c r="M85" s="348"/>
    </row>
    <row r="86" spans="1:13">
      <c r="A86" s="229">
        <v>91010</v>
      </c>
      <c r="B86" s="229" t="s">
        <v>807</v>
      </c>
      <c r="C86" s="105">
        <v>31940.04</v>
      </c>
      <c r="F86" s="62"/>
      <c r="M86" s="348"/>
    </row>
    <row r="87" spans="1:13">
      <c r="A87" s="229">
        <v>91011</v>
      </c>
      <c r="B87" s="229" t="s">
        <v>808</v>
      </c>
      <c r="C87" s="105">
        <v>185354.96</v>
      </c>
      <c r="F87" s="62"/>
      <c r="M87" s="348"/>
    </row>
    <row r="88" spans="1:13">
      <c r="A88" s="229">
        <v>91012</v>
      </c>
      <c r="B88" s="229" t="s">
        <v>809</v>
      </c>
      <c r="C88" s="105">
        <v>9806.56</v>
      </c>
      <c r="F88" s="62"/>
      <c r="M88" s="348"/>
    </row>
    <row r="89" spans="1:13">
      <c r="A89" s="229">
        <v>91013</v>
      </c>
      <c r="B89" s="229" t="s">
        <v>810</v>
      </c>
      <c r="C89" s="105">
        <v>31452.44</v>
      </c>
      <c r="F89" s="62"/>
      <c r="M89" s="348"/>
    </row>
    <row r="90" spans="1:13">
      <c r="A90" s="229">
        <v>91014</v>
      </c>
      <c r="B90" s="229" t="s">
        <v>811</v>
      </c>
      <c r="C90" s="105">
        <v>103119.86</v>
      </c>
      <c r="F90" s="62"/>
      <c r="M90" s="348"/>
    </row>
    <row r="91" spans="1:13">
      <c r="A91" s="229">
        <v>91015</v>
      </c>
      <c r="B91" s="229" t="s">
        <v>1640</v>
      </c>
      <c r="C91" s="105">
        <v>19093.82</v>
      </c>
      <c r="F91" s="62"/>
      <c r="M91" s="348"/>
    </row>
    <row r="92" spans="1:13">
      <c r="A92" s="229">
        <v>91017</v>
      </c>
      <c r="B92" s="229" t="s">
        <v>812</v>
      </c>
      <c r="C92" s="105">
        <v>14504.34</v>
      </c>
      <c r="F92" s="62"/>
      <c r="M92" s="348"/>
    </row>
    <row r="93" spans="1:13">
      <c r="A93" s="229">
        <v>91020</v>
      </c>
      <c r="B93" s="229" t="s">
        <v>813</v>
      </c>
      <c r="C93" s="105">
        <v>11759.15</v>
      </c>
      <c r="F93" s="62"/>
      <c r="M93" s="348"/>
    </row>
    <row r="94" spans="1:13">
      <c r="A94" s="229">
        <v>91021</v>
      </c>
      <c r="B94" s="229" t="s">
        <v>814</v>
      </c>
      <c r="C94" s="105">
        <v>495808.35</v>
      </c>
      <c r="F94" s="62"/>
      <c r="M94" s="348"/>
    </row>
    <row r="95" spans="1:13">
      <c r="A95" s="229">
        <v>91024</v>
      </c>
      <c r="B95" s="229" t="s">
        <v>815</v>
      </c>
      <c r="C95" s="105">
        <v>55900.43</v>
      </c>
      <c r="F95" s="62"/>
      <c r="M95" s="348"/>
    </row>
    <row r="96" spans="1:13">
      <c r="A96" s="229">
        <v>91026</v>
      </c>
      <c r="B96" s="229" t="s">
        <v>43</v>
      </c>
      <c r="C96" s="105">
        <v>42355.97</v>
      </c>
      <c r="F96" s="62"/>
      <c r="M96" s="348"/>
    </row>
    <row r="97" spans="1:13">
      <c r="A97" s="229">
        <v>91027</v>
      </c>
      <c r="B97" s="229" t="s">
        <v>816</v>
      </c>
      <c r="C97" s="105">
        <v>15229.15</v>
      </c>
      <c r="F97" s="62"/>
      <c r="M97" s="348"/>
    </row>
    <row r="98" spans="1:13">
      <c r="A98" s="229">
        <v>91032</v>
      </c>
      <c r="B98" s="229" t="s">
        <v>817</v>
      </c>
      <c r="C98" s="105">
        <v>20379.63</v>
      </c>
      <c r="F98" s="62"/>
      <c r="M98" s="348"/>
    </row>
    <row r="99" spans="1:13">
      <c r="A99" s="229">
        <v>91041</v>
      </c>
      <c r="B99" s="229" t="s">
        <v>818</v>
      </c>
      <c r="C99" s="105">
        <v>202620.59</v>
      </c>
      <c r="F99" s="62"/>
      <c r="M99" s="348"/>
    </row>
    <row r="100" spans="1:13">
      <c r="A100" s="229">
        <v>91042</v>
      </c>
      <c r="B100" s="229" t="s">
        <v>819</v>
      </c>
      <c r="C100" s="105">
        <v>126574.18</v>
      </c>
      <c r="F100" s="62"/>
      <c r="M100" s="348"/>
    </row>
    <row r="101" spans="1:13">
      <c r="A101" s="229">
        <v>91047</v>
      </c>
      <c r="B101" s="229" t="s">
        <v>820</v>
      </c>
      <c r="C101" s="105">
        <v>18916.89</v>
      </c>
      <c r="F101" s="62"/>
      <c r="M101" s="348"/>
    </row>
    <row r="102" spans="1:13">
      <c r="A102" s="229">
        <v>91051</v>
      </c>
      <c r="B102" s="229" t="s">
        <v>821</v>
      </c>
      <c r="C102" s="105">
        <v>37336.839999999997</v>
      </c>
      <c r="F102" s="62"/>
      <c r="M102" s="348"/>
    </row>
    <row r="103" spans="1:13">
      <c r="A103" s="229">
        <v>91057</v>
      </c>
      <c r="B103" s="229" t="s">
        <v>822</v>
      </c>
      <c r="C103" s="105">
        <v>12550.04</v>
      </c>
      <c r="F103" s="62"/>
      <c r="M103" s="348"/>
    </row>
    <row r="104" spans="1:13">
      <c r="A104" s="229">
        <v>91061</v>
      </c>
      <c r="B104" s="229" t="s">
        <v>823</v>
      </c>
      <c r="C104" s="105">
        <v>190362.02</v>
      </c>
      <c r="F104" s="62"/>
      <c r="M104" s="348"/>
    </row>
    <row r="105" spans="1:13">
      <c r="A105" s="229">
        <v>91067</v>
      </c>
      <c r="B105" s="229" t="s">
        <v>824</v>
      </c>
      <c r="C105" s="105">
        <v>9898.82</v>
      </c>
      <c r="F105" s="62"/>
      <c r="M105" s="348"/>
    </row>
    <row r="106" spans="1:13">
      <c r="A106" s="229">
        <v>91071</v>
      </c>
      <c r="B106" s="229" t="s">
        <v>825</v>
      </c>
      <c r="C106" s="105">
        <v>117012.39</v>
      </c>
      <c r="F106" s="62"/>
      <c r="M106" s="348"/>
    </row>
    <row r="107" spans="1:13">
      <c r="A107" s="229">
        <v>91077</v>
      </c>
      <c r="B107" s="229" t="s">
        <v>826</v>
      </c>
      <c r="C107" s="105">
        <v>3114.97</v>
      </c>
      <c r="F107" s="62"/>
      <c r="M107" s="348"/>
    </row>
    <row r="108" spans="1:13">
      <c r="A108" s="229">
        <v>91081</v>
      </c>
      <c r="B108" s="229" t="s">
        <v>827</v>
      </c>
      <c r="C108" s="105">
        <v>203994.04</v>
      </c>
      <c r="F108" s="62"/>
      <c r="M108" s="348"/>
    </row>
    <row r="109" spans="1:13">
      <c r="A109" s="229">
        <v>91091</v>
      </c>
      <c r="B109" s="229" t="s">
        <v>828</v>
      </c>
      <c r="C109" s="105">
        <v>277328.65000000002</v>
      </c>
      <c r="F109" s="62"/>
      <c r="M109" s="348"/>
    </row>
    <row r="110" spans="1:13">
      <c r="A110" s="229">
        <v>91101</v>
      </c>
      <c r="B110" s="229" t="s">
        <v>829</v>
      </c>
      <c r="C110" s="105">
        <v>6681835.1600000001</v>
      </c>
      <c r="F110" s="62"/>
      <c r="M110" s="348"/>
    </row>
    <row r="111" spans="1:13">
      <c r="A111" s="229">
        <v>91102</v>
      </c>
      <c r="B111" s="229" t="s">
        <v>830</v>
      </c>
      <c r="C111" s="105">
        <v>170492.43</v>
      </c>
      <c r="F111" s="62"/>
      <c r="M111" s="348"/>
    </row>
    <row r="112" spans="1:13">
      <c r="A112" s="229">
        <v>91104</v>
      </c>
      <c r="B112" s="229" t="s">
        <v>831</v>
      </c>
      <c r="C112" s="105">
        <v>11960.62</v>
      </c>
      <c r="F112" s="62"/>
      <c r="M112" s="348"/>
    </row>
    <row r="113" spans="1:13">
      <c r="A113" s="229">
        <v>91107</v>
      </c>
      <c r="B113" s="229" t="s">
        <v>832</v>
      </c>
      <c r="C113" s="105">
        <v>44039.77</v>
      </c>
      <c r="F113" s="62"/>
      <c r="M113" s="348"/>
    </row>
    <row r="114" spans="1:13">
      <c r="A114" s="229">
        <v>91108</v>
      </c>
      <c r="B114" s="229" t="s">
        <v>833</v>
      </c>
      <c r="C114" s="105">
        <v>697770.01</v>
      </c>
      <c r="F114" s="62"/>
      <c r="M114" s="348"/>
    </row>
    <row r="115" spans="1:13">
      <c r="A115" s="229">
        <v>91109</v>
      </c>
      <c r="B115" s="229" t="s">
        <v>834</v>
      </c>
      <c r="C115" s="105">
        <v>54714.07</v>
      </c>
      <c r="F115" s="62"/>
      <c r="M115" s="348"/>
    </row>
    <row r="116" spans="1:13">
      <c r="A116" s="229">
        <v>91111</v>
      </c>
      <c r="B116" s="229" t="s">
        <v>835</v>
      </c>
      <c r="C116" s="105">
        <v>120216.67</v>
      </c>
      <c r="F116" s="62"/>
      <c r="M116" s="348"/>
    </row>
    <row r="117" spans="1:13">
      <c r="A117" s="229">
        <v>91120</v>
      </c>
      <c r="B117" s="229" t="s">
        <v>836</v>
      </c>
      <c r="C117" s="105">
        <v>81787.649999999994</v>
      </c>
      <c r="F117" s="62"/>
      <c r="M117" s="348"/>
    </row>
    <row r="118" spans="1:13">
      <c r="A118" s="229">
        <v>91121</v>
      </c>
      <c r="B118" s="229" t="s">
        <v>837</v>
      </c>
      <c r="C118" s="105">
        <v>5084445.32</v>
      </c>
      <c r="F118" s="62"/>
      <c r="M118" s="348"/>
    </row>
    <row r="119" spans="1:13">
      <c r="A119" s="229">
        <v>91127</v>
      </c>
      <c r="B119" s="229" t="s">
        <v>838</v>
      </c>
      <c r="C119" s="105">
        <v>171480.43</v>
      </c>
      <c r="F119" s="62"/>
      <c r="M119" s="348"/>
    </row>
    <row r="120" spans="1:13">
      <c r="A120" s="229">
        <v>91128</v>
      </c>
      <c r="B120" s="229" t="s">
        <v>839</v>
      </c>
      <c r="C120" s="105">
        <v>264000</v>
      </c>
      <c r="F120" s="62"/>
      <c r="M120" s="348"/>
    </row>
    <row r="121" spans="1:13">
      <c r="A121" s="229">
        <v>91138</v>
      </c>
      <c r="B121" s="229" t="s">
        <v>840</v>
      </c>
      <c r="C121" s="105">
        <v>221760.66</v>
      </c>
      <c r="F121" s="62"/>
      <c r="M121" s="348"/>
    </row>
    <row r="122" spans="1:13">
      <c r="A122" s="229">
        <v>91141</v>
      </c>
      <c r="B122" s="229" t="s">
        <v>841</v>
      </c>
      <c r="C122" s="105">
        <v>293398.83</v>
      </c>
      <c r="F122" s="62"/>
      <c r="M122" s="348"/>
    </row>
    <row r="123" spans="1:13">
      <c r="A123" s="229">
        <v>91147</v>
      </c>
      <c r="B123" s="229" t="s">
        <v>842</v>
      </c>
      <c r="C123" s="105">
        <v>16252.57</v>
      </c>
      <c r="F123" s="62"/>
      <c r="M123" s="348"/>
    </row>
    <row r="124" spans="1:13">
      <c r="A124" s="229">
        <v>91151</v>
      </c>
      <c r="B124" s="229" t="s">
        <v>843</v>
      </c>
      <c r="C124" s="105">
        <v>282767.11</v>
      </c>
      <c r="F124" s="62"/>
      <c r="M124" s="348"/>
    </row>
    <row r="125" spans="1:13">
      <c r="A125" s="229">
        <v>91154</v>
      </c>
      <c r="B125" s="229" t="s">
        <v>844</v>
      </c>
      <c r="C125" s="105">
        <v>9739.98</v>
      </c>
      <c r="F125" s="62"/>
      <c r="M125" s="348"/>
    </row>
    <row r="126" spans="1:13">
      <c r="A126" s="229">
        <v>91161</v>
      </c>
      <c r="B126" s="229" t="s">
        <v>845</v>
      </c>
      <c r="C126" s="105">
        <v>42773.66</v>
      </c>
      <c r="F126" s="62"/>
      <c r="M126" s="348"/>
    </row>
    <row r="127" spans="1:13">
      <c r="A127" s="229">
        <v>91171</v>
      </c>
      <c r="B127" s="229" t="s">
        <v>846</v>
      </c>
      <c r="C127" s="105">
        <v>120474.56</v>
      </c>
      <c r="F127" s="62"/>
      <c r="M127" s="348"/>
    </row>
    <row r="128" spans="1:13">
      <c r="A128" s="229">
        <v>91201</v>
      </c>
      <c r="B128" s="229" t="s">
        <v>847</v>
      </c>
      <c r="C128" s="105">
        <v>1140236.78</v>
      </c>
      <c r="F128" s="62"/>
      <c r="M128" s="348"/>
    </row>
    <row r="129" spans="1:13">
      <c r="A129" s="229">
        <v>91202</v>
      </c>
      <c r="B129" s="229" t="s">
        <v>848</v>
      </c>
      <c r="C129" s="105">
        <v>93531.29</v>
      </c>
      <c r="F129" s="62"/>
      <c r="M129" s="348"/>
    </row>
    <row r="130" spans="1:13">
      <c r="A130" s="229">
        <v>91203</v>
      </c>
      <c r="B130" s="229" t="s">
        <v>849</v>
      </c>
      <c r="C130" s="105">
        <v>140746.18</v>
      </c>
      <c r="F130" s="62"/>
      <c r="M130" s="348"/>
    </row>
    <row r="131" spans="1:13">
      <c r="A131" s="229">
        <v>91206</v>
      </c>
      <c r="B131" s="229" t="s">
        <v>850</v>
      </c>
      <c r="C131" s="105">
        <v>486171.91</v>
      </c>
      <c r="F131" s="62"/>
      <c r="M131" s="348"/>
    </row>
    <row r="132" spans="1:13">
      <c r="A132" s="229">
        <v>91208</v>
      </c>
      <c r="B132" s="229" t="s">
        <v>851</v>
      </c>
      <c r="C132" s="105">
        <v>10067.58</v>
      </c>
      <c r="F132" s="62"/>
      <c r="M132" s="348"/>
    </row>
    <row r="133" spans="1:13">
      <c r="A133" s="229">
        <v>91211</v>
      </c>
      <c r="B133" s="229" t="s">
        <v>852</v>
      </c>
      <c r="C133" s="105">
        <v>216785.86</v>
      </c>
      <c r="F133" s="62"/>
      <c r="M133" s="348"/>
    </row>
    <row r="134" spans="1:13">
      <c r="A134" s="229">
        <v>91213</v>
      </c>
      <c r="B134" s="229" t="s">
        <v>853</v>
      </c>
      <c r="C134" s="105">
        <v>13869.39</v>
      </c>
      <c r="F134" s="62"/>
      <c r="M134" s="348"/>
    </row>
    <row r="135" spans="1:13">
      <c r="A135" s="229">
        <v>91214</v>
      </c>
      <c r="B135" s="229" t="s">
        <v>854</v>
      </c>
      <c r="C135" s="105">
        <v>14049.48</v>
      </c>
      <c r="F135" s="62"/>
      <c r="M135" s="348"/>
    </row>
    <row r="136" spans="1:13">
      <c r="A136" s="229">
        <v>91217</v>
      </c>
      <c r="B136" s="229" t="s">
        <v>855</v>
      </c>
      <c r="C136" s="105">
        <v>17716.47</v>
      </c>
      <c r="F136" s="62"/>
      <c r="M136" s="348"/>
    </row>
    <row r="137" spans="1:13">
      <c r="A137" s="229">
        <v>91221</v>
      </c>
      <c r="B137" s="229" t="s">
        <v>856</v>
      </c>
      <c r="C137" s="105">
        <v>57689.2</v>
      </c>
      <c r="F137" s="62"/>
      <c r="M137" s="348"/>
    </row>
    <row r="138" spans="1:13">
      <c r="A138" s="229">
        <v>91231</v>
      </c>
      <c r="B138" s="229" t="s">
        <v>857</v>
      </c>
      <c r="C138" s="105">
        <v>990888.77</v>
      </c>
      <c r="F138" s="62"/>
      <c r="M138" s="348"/>
    </row>
    <row r="139" spans="1:13">
      <c r="A139" s="229">
        <v>91233</v>
      </c>
      <c r="B139" s="229" t="s">
        <v>858</v>
      </c>
      <c r="C139" s="105">
        <v>30147.15</v>
      </c>
      <c r="F139" s="62"/>
      <c r="M139" s="348"/>
    </row>
    <row r="140" spans="1:13">
      <c r="A140" s="229">
        <v>91241</v>
      </c>
      <c r="B140" s="229" t="s">
        <v>859</v>
      </c>
      <c r="C140" s="105">
        <v>19589.04</v>
      </c>
      <c r="F140" s="62"/>
      <c r="M140" s="348"/>
    </row>
    <row r="141" spans="1:13">
      <c r="A141" s="229">
        <v>91251</v>
      </c>
      <c r="B141" s="229" t="s">
        <v>860</v>
      </c>
      <c r="C141" s="105">
        <v>11627</v>
      </c>
      <c r="F141" s="62"/>
      <c r="M141" s="348"/>
    </row>
    <row r="142" spans="1:13">
      <c r="A142" s="229">
        <v>91261</v>
      </c>
      <c r="B142" s="229" t="s">
        <v>861</v>
      </c>
      <c r="C142" s="105">
        <v>3996.03</v>
      </c>
      <c r="F142" s="62"/>
      <c r="M142" s="348"/>
    </row>
    <row r="143" spans="1:13">
      <c r="A143" s="229">
        <v>91301</v>
      </c>
      <c r="B143" s="229" t="s">
        <v>862</v>
      </c>
      <c r="C143" s="105">
        <v>4058843.46</v>
      </c>
      <c r="F143" s="62"/>
      <c r="M143" s="348"/>
    </row>
    <row r="144" spans="1:13">
      <c r="A144" s="229">
        <v>91302</v>
      </c>
      <c r="B144" s="229" t="s">
        <v>863</v>
      </c>
      <c r="C144" s="105">
        <v>280327.90999999997</v>
      </c>
      <c r="F144" s="62"/>
      <c r="M144" s="348"/>
    </row>
    <row r="145" spans="1:13">
      <c r="A145" s="229">
        <v>91306</v>
      </c>
      <c r="B145" s="229" t="s">
        <v>864</v>
      </c>
      <c r="C145" s="105">
        <v>968202.18</v>
      </c>
      <c r="F145" s="62"/>
      <c r="M145" s="348"/>
    </row>
    <row r="146" spans="1:13">
      <c r="A146" s="229">
        <v>91308</v>
      </c>
      <c r="B146" s="229" t="s">
        <v>865</v>
      </c>
      <c r="C146" s="105">
        <v>89774.06</v>
      </c>
      <c r="F146" s="62"/>
      <c r="M146" s="348"/>
    </row>
    <row r="147" spans="1:13">
      <c r="A147" s="229">
        <v>91311</v>
      </c>
      <c r="B147" s="229" t="s">
        <v>866</v>
      </c>
      <c r="C147" s="105">
        <v>4083525.78</v>
      </c>
      <c r="F147" s="62"/>
      <c r="M147" s="348"/>
    </row>
    <row r="148" spans="1:13">
      <c r="A148" s="229">
        <v>91317</v>
      </c>
      <c r="B148" s="229" t="s">
        <v>867</v>
      </c>
      <c r="C148" s="105">
        <v>64698.080000000002</v>
      </c>
      <c r="F148" s="62"/>
      <c r="M148" s="348"/>
    </row>
    <row r="149" spans="1:13">
      <c r="A149" s="229">
        <v>91321</v>
      </c>
      <c r="B149" s="229" t="s">
        <v>868</v>
      </c>
      <c r="C149" s="105">
        <v>50002.73</v>
      </c>
      <c r="F149" s="62"/>
      <c r="M149" s="348"/>
    </row>
    <row r="150" spans="1:13">
      <c r="A150" s="229">
        <v>91327</v>
      </c>
      <c r="B150" s="229" t="s">
        <v>869</v>
      </c>
      <c r="C150" s="105">
        <v>5813.44</v>
      </c>
      <c r="F150" s="62"/>
      <c r="M150" s="348"/>
    </row>
    <row r="151" spans="1:13">
      <c r="A151" s="229">
        <v>91331</v>
      </c>
      <c r="B151" s="229" t="s">
        <v>870</v>
      </c>
      <c r="C151" s="105">
        <v>1420948.35</v>
      </c>
      <c r="F151" s="62"/>
      <c r="M151" s="348"/>
    </row>
    <row r="152" spans="1:13">
      <c r="A152" s="229">
        <v>91341</v>
      </c>
      <c r="B152" s="229" t="s">
        <v>871</v>
      </c>
      <c r="C152" s="105">
        <v>17049.3</v>
      </c>
      <c r="F152" s="62"/>
      <c r="M152" s="348"/>
    </row>
    <row r="153" spans="1:13">
      <c r="A153" s="229">
        <v>91401</v>
      </c>
      <c r="B153" s="229" t="s">
        <v>872</v>
      </c>
      <c r="C153" s="105">
        <v>1845497.32</v>
      </c>
      <c r="F153" s="62"/>
      <c r="M153" s="348"/>
    </row>
    <row r="154" spans="1:13">
      <c r="A154" s="229">
        <v>91411</v>
      </c>
      <c r="B154" s="229" t="s">
        <v>873</v>
      </c>
      <c r="C154" s="105">
        <v>198816.85</v>
      </c>
      <c r="F154" s="62"/>
      <c r="M154" s="348"/>
    </row>
    <row r="155" spans="1:13">
      <c r="A155" s="214">
        <v>91414</v>
      </c>
      <c r="B155" s="214" t="s">
        <v>3636</v>
      </c>
      <c r="C155" s="348">
        <v>9397.24</v>
      </c>
      <c r="F155" s="62"/>
      <c r="M155" s="348"/>
    </row>
    <row r="156" spans="1:13">
      <c r="A156" s="229">
        <v>91417</v>
      </c>
      <c r="B156" s="229" t="s">
        <v>874</v>
      </c>
      <c r="C156" s="105">
        <v>6068.11</v>
      </c>
      <c r="F156" s="62"/>
      <c r="M156" s="348"/>
    </row>
    <row r="157" spans="1:13">
      <c r="A157" s="229">
        <v>91421</v>
      </c>
      <c r="B157" s="229" t="s">
        <v>875</v>
      </c>
      <c r="C157" s="105">
        <v>40352.5</v>
      </c>
      <c r="F157" s="62"/>
      <c r="M157" s="348"/>
    </row>
    <row r="158" spans="1:13">
      <c r="A158" s="229">
        <v>91423</v>
      </c>
      <c r="B158" s="229" t="s">
        <v>876</v>
      </c>
      <c r="C158" s="105">
        <v>24726.67</v>
      </c>
      <c r="F158" s="62"/>
      <c r="M158" s="348"/>
    </row>
    <row r="159" spans="1:13">
      <c r="A159" s="229">
        <v>91431</v>
      </c>
      <c r="B159" s="229" t="s">
        <v>877</v>
      </c>
      <c r="C159" s="105">
        <v>97752.53</v>
      </c>
      <c r="F159" s="62"/>
      <c r="M159" s="348"/>
    </row>
    <row r="160" spans="1:13">
      <c r="A160" s="229">
        <v>91441</v>
      </c>
      <c r="B160" s="229" t="s">
        <v>878</v>
      </c>
      <c r="C160" s="105">
        <v>390490.98</v>
      </c>
      <c r="F160" s="62"/>
      <c r="M160" s="348"/>
    </row>
    <row r="161" spans="1:13">
      <c r="A161" s="229">
        <v>91451</v>
      </c>
      <c r="B161" s="229" t="s">
        <v>879</v>
      </c>
      <c r="C161" s="105">
        <v>787423.33</v>
      </c>
      <c r="F161" s="62"/>
      <c r="M161" s="348"/>
    </row>
    <row r="162" spans="1:13">
      <c r="A162" s="229">
        <v>91457</v>
      </c>
      <c r="B162" s="229" t="s">
        <v>880</v>
      </c>
      <c r="C162" s="105">
        <v>30830.720000000001</v>
      </c>
      <c r="F162" s="62"/>
      <c r="M162" s="348"/>
    </row>
    <row r="163" spans="1:13">
      <c r="A163" s="229">
        <v>91461</v>
      </c>
      <c r="B163" s="229" t="s">
        <v>881</v>
      </c>
      <c r="C163" s="105">
        <v>3334.67</v>
      </c>
      <c r="F163" s="62"/>
      <c r="M163" s="348"/>
    </row>
    <row r="164" spans="1:13">
      <c r="A164" s="229">
        <v>91501</v>
      </c>
      <c r="B164" s="229" t="s">
        <v>882</v>
      </c>
      <c r="C164" s="105">
        <v>257328.54</v>
      </c>
      <c r="F164" s="62"/>
      <c r="M164" s="348"/>
    </row>
    <row r="165" spans="1:13">
      <c r="A165" s="229">
        <v>91504</v>
      </c>
      <c r="B165" s="229" t="s">
        <v>883</v>
      </c>
      <c r="C165" s="105">
        <v>7298.46</v>
      </c>
      <c r="F165" s="62"/>
      <c r="M165" s="348"/>
    </row>
    <row r="166" spans="1:13">
      <c r="A166" s="229">
        <v>91601</v>
      </c>
      <c r="B166" s="229" t="s">
        <v>884</v>
      </c>
      <c r="C166" s="105">
        <v>1614794.34</v>
      </c>
      <c r="F166" s="62"/>
      <c r="M166" s="348"/>
    </row>
    <row r="167" spans="1:13">
      <c r="A167" s="229">
        <v>91604</v>
      </c>
      <c r="B167" s="229" t="s">
        <v>885</v>
      </c>
      <c r="C167" s="105">
        <v>61385.89</v>
      </c>
      <c r="F167" s="62"/>
      <c r="M167" s="348"/>
    </row>
    <row r="168" spans="1:13">
      <c r="A168" s="229">
        <v>91608</v>
      </c>
      <c r="B168" s="229" t="s">
        <v>886</v>
      </c>
      <c r="C168" s="105">
        <v>58326.21</v>
      </c>
      <c r="F168" s="62"/>
      <c r="M168" s="348"/>
    </row>
    <row r="169" spans="1:13">
      <c r="A169" s="229">
        <v>91611</v>
      </c>
      <c r="B169" s="229" t="s">
        <v>887</v>
      </c>
      <c r="C169" s="105">
        <v>679728.61</v>
      </c>
      <c r="F169" s="62"/>
      <c r="M169" s="348"/>
    </row>
    <row r="170" spans="1:13">
      <c r="A170" s="229">
        <v>91621</v>
      </c>
      <c r="B170" s="229" t="s">
        <v>888</v>
      </c>
      <c r="C170" s="105">
        <v>134331.6</v>
      </c>
      <c r="F170" s="62"/>
      <c r="M170" s="348"/>
    </row>
    <row r="171" spans="1:13">
      <c r="A171" s="229">
        <v>91631</v>
      </c>
      <c r="B171" s="229" t="s">
        <v>889</v>
      </c>
      <c r="C171" s="105">
        <v>283340.06</v>
      </c>
      <c r="F171" s="62"/>
      <c r="M171" s="348"/>
    </row>
    <row r="172" spans="1:13">
      <c r="A172" s="229">
        <v>91633</v>
      </c>
      <c r="B172" s="229" t="s">
        <v>890</v>
      </c>
      <c r="C172" s="105">
        <v>13682.34</v>
      </c>
      <c r="F172" s="62"/>
      <c r="M172" s="348"/>
    </row>
    <row r="173" spans="1:13">
      <c r="A173" s="229">
        <v>91641</v>
      </c>
      <c r="B173" s="229" t="s">
        <v>891</v>
      </c>
      <c r="C173" s="105">
        <v>131410.69</v>
      </c>
      <c r="F173" s="62"/>
      <c r="M173" s="348"/>
    </row>
    <row r="174" spans="1:13">
      <c r="A174" s="229">
        <v>91651</v>
      </c>
      <c r="B174" s="229" t="s">
        <v>892</v>
      </c>
      <c r="C174" s="105">
        <v>279577.11</v>
      </c>
      <c r="F174" s="62"/>
      <c r="M174" s="348"/>
    </row>
    <row r="175" spans="1:13">
      <c r="A175" s="229">
        <v>91661</v>
      </c>
      <c r="B175" s="229" t="s">
        <v>893</v>
      </c>
      <c r="C175" s="105">
        <v>76004.77</v>
      </c>
      <c r="F175" s="62"/>
      <c r="M175" s="348"/>
    </row>
    <row r="176" spans="1:13">
      <c r="A176" s="229">
        <v>91671</v>
      </c>
      <c r="B176" s="229" t="s">
        <v>894</v>
      </c>
      <c r="C176" s="105">
        <v>46142.85</v>
      </c>
      <c r="F176" s="62"/>
      <c r="M176" s="348"/>
    </row>
    <row r="177" spans="1:13">
      <c r="A177" s="229">
        <v>91681</v>
      </c>
      <c r="B177" s="229" t="s">
        <v>895</v>
      </c>
      <c r="C177" s="105">
        <v>420625.88</v>
      </c>
      <c r="F177" s="62"/>
      <c r="M177" s="348"/>
    </row>
    <row r="178" spans="1:13">
      <c r="A178" s="229">
        <v>91691</v>
      </c>
      <c r="B178" s="229" t="s">
        <v>896</v>
      </c>
      <c r="C178" s="105">
        <v>14332.32</v>
      </c>
      <c r="F178" s="62"/>
      <c r="M178" s="348"/>
    </row>
    <row r="179" spans="1:13">
      <c r="A179" s="229">
        <v>91701</v>
      </c>
      <c r="B179" s="229" t="s">
        <v>897</v>
      </c>
      <c r="C179" s="105">
        <v>582513.18000000005</v>
      </c>
      <c r="F179" s="62"/>
      <c r="M179" s="348"/>
    </row>
    <row r="180" spans="1:13">
      <c r="A180" s="229">
        <v>91704</v>
      </c>
      <c r="B180" s="229" t="s">
        <v>898</v>
      </c>
      <c r="C180" s="105">
        <v>9702.58</v>
      </c>
      <c r="F180" s="62"/>
      <c r="M180" s="348"/>
    </row>
    <row r="181" spans="1:13">
      <c r="A181" s="229">
        <v>91706</v>
      </c>
      <c r="B181" s="229" t="s">
        <v>899</v>
      </c>
      <c r="C181" s="105">
        <v>137653</v>
      </c>
      <c r="F181" s="62"/>
      <c r="M181" s="348"/>
    </row>
    <row r="182" spans="1:13">
      <c r="A182" s="229">
        <v>91719</v>
      </c>
      <c r="B182" s="229" t="s">
        <v>900</v>
      </c>
      <c r="C182" s="105">
        <v>23258.15</v>
      </c>
      <c r="F182" s="62"/>
      <c r="M182" s="348"/>
    </row>
    <row r="183" spans="1:13">
      <c r="A183" s="229">
        <v>91801</v>
      </c>
      <c r="B183" s="229" t="s">
        <v>901</v>
      </c>
      <c r="C183" s="105">
        <v>4066001.47</v>
      </c>
      <c r="F183" s="62"/>
      <c r="M183" s="348"/>
    </row>
    <row r="184" spans="1:13">
      <c r="A184" s="229">
        <v>91804</v>
      </c>
      <c r="B184" s="229" t="s">
        <v>902</v>
      </c>
      <c r="C184" s="105">
        <v>105747.53</v>
      </c>
      <c r="F184" s="62"/>
      <c r="M184" s="348"/>
    </row>
    <row r="185" spans="1:13">
      <c r="A185" s="229">
        <v>91811</v>
      </c>
      <c r="B185" s="229" t="s">
        <v>903</v>
      </c>
      <c r="C185" s="105">
        <v>2212364.4300000002</v>
      </c>
      <c r="F185" s="62"/>
      <c r="M185" s="348"/>
    </row>
    <row r="186" spans="1:13">
      <c r="A186" s="229">
        <v>91812</v>
      </c>
      <c r="B186" s="229" t="s">
        <v>904</v>
      </c>
      <c r="C186" s="105">
        <v>29488.98</v>
      </c>
      <c r="F186" s="62"/>
      <c r="M186" s="348"/>
    </row>
    <row r="187" spans="1:13">
      <c r="A187" s="229">
        <v>91813</v>
      </c>
      <c r="B187" s="229" t="s">
        <v>905</v>
      </c>
      <c r="C187" s="105">
        <v>40206.25</v>
      </c>
      <c r="F187" s="62"/>
      <c r="M187" s="348"/>
    </row>
    <row r="188" spans="1:13">
      <c r="A188" s="229">
        <v>91818</v>
      </c>
      <c r="B188" s="229" t="s">
        <v>906</v>
      </c>
      <c r="C188" s="105">
        <v>229803.71</v>
      </c>
      <c r="F188" s="62"/>
      <c r="M188" s="348"/>
    </row>
    <row r="189" spans="1:13">
      <c r="A189" s="229">
        <v>91819</v>
      </c>
      <c r="B189" s="229" t="s">
        <v>907</v>
      </c>
      <c r="C189" s="105">
        <v>181272.71</v>
      </c>
      <c r="F189" s="62"/>
      <c r="M189" s="348"/>
    </row>
    <row r="190" spans="1:13">
      <c r="A190" s="229">
        <v>91821</v>
      </c>
      <c r="B190" s="229" t="s">
        <v>908</v>
      </c>
      <c r="C190" s="105">
        <v>85967.16</v>
      </c>
      <c r="F190" s="62"/>
      <c r="M190" s="348"/>
    </row>
    <row r="191" spans="1:13">
      <c r="A191" s="229">
        <v>91831</v>
      </c>
      <c r="B191" s="229" t="s">
        <v>909</v>
      </c>
      <c r="C191" s="105">
        <v>195579.38</v>
      </c>
      <c r="F191" s="62"/>
      <c r="M191" s="348"/>
    </row>
    <row r="192" spans="1:13">
      <c r="A192" s="229">
        <v>91841</v>
      </c>
      <c r="B192" s="229" t="s">
        <v>910</v>
      </c>
      <c r="C192" s="105">
        <v>138048.41</v>
      </c>
      <c r="F192" s="62"/>
      <c r="M192" s="348"/>
    </row>
    <row r="193" spans="1:13">
      <c r="A193" s="229">
        <v>91851</v>
      </c>
      <c r="B193" s="229" t="s">
        <v>911</v>
      </c>
      <c r="C193" s="105">
        <v>379290.56</v>
      </c>
      <c r="F193" s="62"/>
      <c r="M193" s="348"/>
    </row>
    <row r="194" spans="1:13">
      <c r="A194" s="229">
        <v>91861</v>
      </c>
      <c r="B194" s="229" t="s">
        <v>912</v>
      </c>
      <c r="C194" s="105">
        <v>3719.82</v>
      </c>
      <c r="F194" s="62"/>
      <c r="M194" s="348"/>
    </row>
    <row r="195" spans="1:13">
      <c r="A195" s="229">
        <v>91871</v>
      </c>
      <c r="B195" s="229" t="s">
        <v>913</v>
      </c>
      <c r="C195" s="105">
        <v>683244.37</v>
      </c>
      <c r="F195" s="62"/>
      <c r="M195" s="348"/>
    </row>
    <row r="196" spans="1:13">
      <c r="A196" s="229">
        <v>91881</v>
      </c>
      <c r="B196" s="229" t="s">
        <v>914</v>
      </c>
      <c r="C196" s="105">
        <v>8550.19</v>
      </c>
      <c r="F196" s="62"/>
      <c r="M196" s="348"/>
    </row>
    <row r="197" spans="1:13">
      <c r="A197" s="229">
        <v>91901</v>
      </c>
      <c r="B197" s="229" t="s">
        <v>915</v>
      </c>
      <c r="C197" s="105">
        <v>1892443.88</v>
      </c>
      <c r="F197" s="62"/>
      <c r="M197" s="348"/>
    </row>
    <row r="198" spans="1:13">
      <c r="A198" s="229">
        <v>91903</v>
      </c>
      <c r="B198" s="229" t="s">
        <v>916</v>
      </c>
      <c r="C198" s="105">
        <v>6755.16</v>
      </c>
      <c r="F198" s="62"/>
      <c r="M198" s="348"/>
    </row>
    <row r="199" spans="1:13">
      <c r="A199" s="229">
        <v>91904</v>
      </c>
      <c r="B199" s="229" t="s">
        <v>917</v>
      </c>
      <c r="C199" s="105">
        <v>20041.36</v>
      </c>
      <c r="F199" s="62"/>
      <c r="M199" s="348"/>
    </row>
    <row r="200" spans="1:13">
      <c r="A200" s="229">
        <v>91908</v>
      </c>
      <c r="B200" s="229" t="s">
        <v>918</v>
      </c>
      <c r="C200" s="105">
        <v>5525.64</v>
      </c>
      <c r="F200" s="62"/>
      <c r="M200" s="348"/>
    </row>
    <row r="201" spans="1:13">
      <c r="A201" s="229">
        <v>91911</v>
      </c>
      <c r="B201" s="229" t="s">
        <v>919</v>
      </c>
      <c r="C201" s="105">
        <v>238722.17</v>
      </c>
      <c r="F201" s="62"/>
      <c r="M201" s="348"/>
    </row>
    <row r="202" spans="1:13">
      <c r="A202" s="229">
        <v>91917</v>
      </c>
      <c r="B202" s="229" t="s">
        <v>920</v>
      </c>
      <c r="C202" s="105">
        <v>7857.52</v>
      </c>
      <c r="F202" s="62"/>
      <c r="M202" s="348"/>
    </row>
    <row r="203" spans="1:13">
      <c r="A203" s="229">
        <v>91921</v>
      </c>
      <c r="B203" s="229" t="s">
        <v>921</v>
      </c>
      <c r="C203" s="105">
        <v>190506.58</v>
      </c>
      <c r="F203" s="62"/>
      <c r="M203" s="348"/>
    </row>
    <row r="204" spans="1:13">
      <c r="A204" s="229">
        <v>92001</v>
      </c>
      <c r="B204" s="229" t="s">
        <v>922</v>
      </c>
      <c r="C204" s="105">
        <v>931122.95</v>
      </c>
      <c r="F204" s="62"/>
      <c r="M204" s="348"/>
    </row>
    <row r="205" spans="1:13">
      <c r="A205" s="229">
        <v>92005</v>
      </c>
      <c r="B205" s="229" t="s">
        <v>923</v>
      </c>
      <c r="C205" s="105">
        <v>23193.23</v>
      </c>
      <c r="F205" s="62"/>
      <c r="M205" s="348"/>
    </row>
    <row r="206" spans="1:13">
      <c r="A206" s="229">
        <v>92011</v>
      </c>
      <c r="B206" s="229" t="s">
        <v>924</v>
      </c>
      <c r="C206" s="105">
        <v>95059.520000000004</v>
      </c>
      <c r="F206" s="62"/>
      <c r="M206" s="348"/>
    </row>
    <row r="207" spans="1:13">
      <c r="A207" s="229">
        <v>92017</v>
      </c>
      <c r="B207" s="229" t="s">
        <v>925</v>
      </c>
      <c r="C207" s="105">
        <v>19823.349999999999</v>
      </c>
      <c r="F207" s="62"/>
      <c r="M207" s="348"/>
    </row>
    <row r="208" spans="1:13">
      <c r="A208" s="229">
        <v>92021</v>
      </c>
      <c r="B208" s="229" t="s">
        <v>926</v>
      </c>
      <c r="C208" s="105">
        <v>53295.42</v>
      </c>
      <c r="F208" s="62"/>
      <c r="M208" s="348"/>
    </row>
    <row r="209" spans="1:13">
      <c r="A209" s="229">
        <v>92101</v>
      </c>
      <c r="B209" s="229" t="s">
        <v>927</v>
      </c>
      <c r="C209" s="105">
        <v>404383.2</v>
      </c>
      <c r="F209" s="62"/>
      <c r="M209" s="348"/>
    </row>
    <row r="210" spans="1:13">
      <c r="A210" s="229">
        <v>92104</v>
      </c>
      <c r="B210" s="229" t="s">
        <v>928</v>
      </c>
      <c r="C210" s="105">
        <v>5700.74</v>
      </c>
      <c r="F210" s="62"/>
      <c r="M210" s="348"/>
    </row>
    <row r="211" spans="1:13">
      <c r="A211" s="229">
        <v>92109</v>
      </c>
      <c r="B211" s="229" t="s">
        <v>929</v>
      </c>
      <c r="C211" s="105">
        <v>87268.86</v>
      </c>
      <c r="F211" s="62"/>
      <c r="M211" s="348"/>
    </row>
    <row r="212" spans="1:13">
      <c r="A212" s="229">
        <v>92111</v>
      </c>
      <c r="B212" s="229" t="s">
        <v>930</v>
      </c>
      <c r="C212" s="105">
        <v>256369.32</v>
      </c>
      <c r="F212" s="62"/>
      <c r="M212" s="348"/>
    </row>
    <row r="213" spans="1:13">
      <c r="A213" s="229">
        <v>92113</v>
      </c>
      <c r="B213" s="229" t="s">
        <v>931</v>
      </c>
      <c r="C213" s="105">
        <v>13944.88</v>
      </c>
      <c r="F213" s="62"/>
      <c r="M213" s="348"/>
    </row>
    <row r="214" spans="1:13">
      <c r="A214" s="229">
        <v>92201</v>
      </c>
      <c r="B214" s="229" t="s">
        <v>932</v>
      </c>
      <c r="C214" s="105">
        <v>472315.86</v>
      </c>
      <c r="F214" s="62"/>
      <c r="M214" s="348"/>
    </row>
    <row r="215" spans="1:13">
      <c r="A215" s="229">
        <v>92214</v>
      </c>
      <c r="B215" s="229" t="s">
        <v>1931</v>
      </c>
      <c r="C215" s="105">
        <v>10286.44</v>
      </c>
      <c r="F215" s="62"/>
      <c r="M215" s="348"/>
    </row>
    <row r="216" spans="1:13">
      <c r="A216" s="229">
        <v>92301</v>
      </c>
      <c r="B216" s="229" t="s">
        <v>933</v>
      </c>
      <c r="C216" s="105">
        <v>2653029.66</v>
      </c>
      <c r="F216" s="62"/>
      <c r="M216" s="348"/>
    </row>
    <row r="217" spans="1:13">
      <c r="A217" s="229">
        <v>92302</v>
      </c>
      <c r="B217" s="229" t="s">
        <v>934</v>
      </c>
      <c r="C217" s="105">
        <v>151867.91</v>
      </c>
      <c r="F217" s="62"/>
      <c r="M217" s="348"/>
    </row>
    <row r="218" spans="1:13">
      <c r="A218" s="229">
        <v>92311</v>
      </c>
      <c r="B218" s="229" t="s">
        <v>935</v>
      </c>
      <c r="C218" s="105">
        <v>1165521.82</v>
      </c>
      <c r="F218" s="62"/>
      <c r="M218" s="348"/>
    </row>
    <row r="219" spans="1:13">
      <c r="A219" s="229">
        <v>92317</v>
      </c>
      <c r="B219" s="229" t="s">
        <v>936</v>
      </c>
      <c r="C219" s="105">
        <v>24439.37</v>
      </c>
      <c r="F219" s="62"/>
      <c r="M219" s="348"/>
    </row>
    <row r="220" spans="1:13">
      <c r="A220" s="229">
        <v>92321</v>
      </c>
      <c r="B220" s="229" t="s">
        <v>937</v>
      </c>
      <c r="C220" s="105">
        <v>656427.5</v>
      </c>
      <c r="F220" s="62"/>
      <c r="M220" s="348"/>
    </row>
    <row r="221" spans="1:13">
      <c r="A221" s="229">
        <v>92327</v>
      </c>
      <c r="B221" s="229" t="s">
        <v>938</v>
      </c>
      <c r="C221" s="105">
        <v>7418.43</v>
      </c>
      <c r="F221" s="62"/>
      <c r="M221" s="348"/>
    </row>
    <row r="222" spans="1:13">
      <c r="A222" s="229">
        <v>92331</v>
      </c>
      <c r="B222" s="229" t="s">
        <v>939</v>
      </c>
      <c r="C222" s="105">
        <v>76059.83</v>
      </c>
      <c r="F222" s="62"/>
      <c r="M222" s="348"/>
    </row>
    <row r="223" spans="1:13">
      <c r="A223" s="229">
        <v>92341</v>
      </c>
      <c r="B223" s="229" t="s">
        <v>940</v>
      </c>
      <c r="C223" s="105">
        <v>3394.65</v>
      </c>
      <c r="F223" s="62"/>
      <c r="M223" s="348"/>
    </row>
    <row r="224" spans="1:13">
      <c r="A224" s="229">
        <v>92351</v>
      </c>
      <c r="B224" s="229" t="s">
        <v>941</v>
      </c>
      <c r="C224" s="105">
        <v>10362.44</v>
      </c>
      <c r="F224" s="62"/>
      <c r="M224" s="348"/>
    </row>
    <row r="225" spans="1:13">
      <c r="A225" s="229">
        <v>92401</v>
      </c>
      <c r="B225" s="229" t="s">
        <v>942</v>
      </c>
      <c r="C225" s="105">
        <v>1500671.12</v>
      </c>
      <c r="F225" s="62"/>
      <c r="M225" s="348"/>
    </row>
    <row r="226" spans="1:13">
      <c r="A226" s="229">
        <v>92403</v>
      </c>
      <c r="B226" s="229" t="s">
        <v>943</v>
      </c>
      <c r="C226" s="105">
        <v>6780.76</v>
      </c>
      <c r="F226" s="62"/>
      <c r="M226" s="348"/>
    </row>
    <row r="227" spans="1:13">
      <c r="A227" s="229">
        <v>92411</v>
      </c>
      <c r="B227" s="229" t="s">
        <v>944</v>
      </c>
      <c r="C227" s="105">
        <v>239607.87</v>
      </c>
      <c r="F227" s="62"/>
      <c r="M227" s="348"/>
    </row>
    <row r="228" spans="1:13">
      <c r="A228" s="229">
        <v>92417</v>
      </c>
      <c r="B228" s="229" t="s">
        <v>945</v>
      </c>
      <c r="C228" s="105">
        <v>6047.18</v>
      </c>
      <c r="F228" s="62"/>
      <c r="M228" s="348"/>
    </row>
    <row r="229" spans="1:13">
      <c r="A229" s="229">
        <v>92421</v>
      </c>
      <c r="B229" s="229" t="s">
        <v>946</v>
      </c>
      <c r="C229" s="105">
        <v>8159.51</v>
      </c>
      <c r="F229" s="62"/>
      <c r="M229" s="348"/>
    </row>
    <row r="230" spans="1:13">
      <c r="A230" s="229">
        <v>92427</v>
      </c>
      <c r="B230" s="229" t="s">
        <v>947</v>
      </c>
      <c r="C230" s="105">
        <v>1795.8</v>
      </c>
      <c r="F230" s="62"/>
      <c r="M230" s="348"/>
    </row>
    <row r="231" spans="1:13">
      <c r="A231" s="229">
        <v>92431</v>
      </c>
      <c r="B231" s="229" t="s">
        <v>948</v>
      </c>
      <c r="C231" s="105">
        <v>18033.13</v>
      </c>
      <c r="F231" s="62"/>
      <c r="M231" s="348"/>
    </row>
    <row r="232" spans="1:13">
      <c r="A232" s="229">
        <v>92441</v>
      </c>
      <c r="B232" s="229" t="s">
        <v>949</v>
      </c>
      <c r="C232" s="105">
        <v>44251.38</v>
      </c>
      <c r="F232" s="62"/>
      <c r="M232" s="348"/>
    </row>
    <row r="233" spans="1:13">
      <c r="A233" s="229">
        <v>92444</v>
      </c>
      <c r="B233" s="229" t="s">
        <v>950</v>
      </c>
      <c r="C233" s="105">
        <v>4223.66</v>
      </c>
      <c r="F233" s="62"/>
      <c r="M233" s="348"/>
    </row>
    <row r="234" spans="1:13">
      <c r="A234" s="229">
        <v>92451</v>
      </c>
      <c r="B234" s="229" t="s">
        <v>951</v>
      </c>
      <c r="C234" s="105">
        <v>84987.63</v>
      </c>
      <c r="F234" s="62"/>
      <c r="M234" s="348"/>
    </row>
    <row r="235" spans="1:13">
      <c r="A235" s="229">
        <v>92461</v>
      </c>
      <c r="B235" s="229" t="s">
        <v>952</v>
      </c>
      <c r="C235" s="105">
        <v>42433.85</v>
      </c>
      <c r="F235" s="62"/>
      <c r="M235" s="348"/>
    </row>
    <row r="236" spans="1:13">
      <c r="A236" s="229">
        <v>92501</v>
      </c>
      <c r="B236" s="229" t="s">
        <v>953</v>
      </c>
      <c r="C236" s="105">
        <v>2146475.44</v>
      </c>
      <c r="F236" s="62"/>
      <c r="M236" s="348"/>
    </row>
    <row r="237" spans="1:13">
      <c r="A237" s="229">
        <v>92502</v>
      </c>
      <c r="B237" s="229" t="s">
        <v>954</v>
      </c>
      <c r="C237" s="105">
        <v>16386.57</v>
      </c>
      <c r="F237" s="62"/>
      <c r="M237" s="348"/>
    </row>
    <row r="238" spans="1:13">
      <c r="A238" s="229">
        <v>92504</v>
      </c>
      <c r="B238" s="229" t="s">
        <v>955</v>
      </c>
      <c r="C238" s="105">
        <v>55299.13</v>
      </c>
      <c r="F238" s="62"/>
      <c r="M238" s="348"/>
    </row>
    <row r="239" spans="1:13">
      <c r="A239" s="229">
        <v>92505</v>
      </c>
      <c r="B239" s="229" t="s">
        <v>956</v>
      </c>
      <c r="C239" s="105">
        <v>135467.60999999999</v>
      </c>
      <c r="F239" s="62"/>
      <c r="M239" s="348"/>
    </row>
    <row r="240" spans="1:13">
      <c r="A240" s="229">
        <v>92506</v>
      </c>
      <c r="B240" s="229" t="s">
        <v>957</v>
      </c>
      <c r="C240" s="105">
        <v>33883.61</v>
      </c>
      <c r="F240" s="62"/>
      <c r="M240" s="348"/>
    </row>
    <row r="241" spans="1:13">
      <c r="A241" s="229">
        <v>92507</v>
      </c>
      <c r="B241" s="229" t="s">
        <v>958</v>
      </c>
      <c r="C241" s="105">
        <v>46922.79</v>
      </c>
      <c r="F241" s="62"/>
      <c r="M241" s="348"/>
    </row>
    <row r="242" spans="1:13">
      <c r="A242" s="229">
        <v>92508</v>
      </c>
      <c r="B242" s="229" t="s">
        <v>959</v>
      </c>
      <c r="C242" s="105">
        <v>198359.12</v>
      </c>
      <c r="F242" s="62"/>
      <c r="M242" s="348"/>
    </row>
    <row r="243" spans="1:13">
      <c r="A243" s="229">
        <v>92511</v>
      </c>
      <c r="B243" s="229" t="s">
        <v>960</v>
      </c>
      <c r="C243" s="105">
        <v>1842811.88</v>
      </c>
      <c r="F243" s="62"/>
      <c r="M243" s="348"/>
    </row>
    <row r="244" spans="1:13">
      <c r="A244" s="229">
        <v>92513</v>
      </c>
      <c r="B244" s="229" t="s">
        <v>961</v>
      </c>
      <c r="C244" s="105">
        <v>1930138.27</v>
      </c>
      <c r="F244" s="62"/>
      <c r="M244" s="348"/>
    </row>
    <row r="245" spans="1:13">
      <c r="A245" s="229">
        <v>92521</v>
      </c>
      <c r="B245" s="229" t="s">
        <v>962</v>
      </c>
      <c r="C245" s="105">
        <v>42170.84</v>
      </c>
      <c r="F245" s="62"/>
      <c r="M245" s="348"/>
    </row>
    <row r="246" spans="1:13">
      <c r="A246" s="229">
        <v>92531</v>
      </c>
      <c r="B246" s="229" t="s">
        <v>963</v>
      </c>
      <c r="C246" s="105">
        <v>406480.1</v>
      </c>
      <c r="F246" s="62"/>
      <c r="M246" s="348"/>
    </row>
    <row r="247" spans="1:13">
      <c r="A247" s="229">
        <v>92541</v>
      </c>
      <c r="B247" s="229" t="s">
        <v>964</v>
      </c>
      <c r="C247" s="105">
        <v>72187.839999999997</v>
      </c>
      <c r="F247" s="62"/>
      <c r="M247" s="348"/>
    </row>
    <row r="248" spans="1:13">
      <c r="A248" s="229">
        <v>92551</v>
      </c>
      <c r="B248" s="229" t="s">
        <v>965</v>
      </c>
      <c r="C248" s="105">
        <v>24611.03</v>
      </c>
      <c r="F248" s="62"/>
      <c r="M248" s="348"/>
    </row>
    <row r="249" spans="1:13">
      <c r="A249" s="229">
        <v>92561</v>
      </c>
      <c r="B249" s="229" t="s">
        <v>966</v>
      </c>
      <c r="C249" s="105">
        <v>10163.27</v>
      </c>
      <c r="F249" s="62"/>
      <c r="M249" s="348"/>
    </row>
    <row r="250" spans="1:13">
      <c r="A250" s="229">
        <v>92571</v>
      </c>
      <c r="B250" s="229" t="s">
        <v>967</v>
      </c>
      <c r="C250" s="105">
        <v>4473.1099999999997</v>
      </c>
      <c r="F250" s="62"/>
      <c r="M250" s="348"/>
    </row>
    <row r="251" spans="1:13">
      <c r="A251" s="229">
        <v>92601</v>
      </c>
      <c r="B251" s="229" t="s">
        <v>968</v>
      </c>
      <c r="C251" s="105">
        <v>7178367.8200000003</v>
      </c>
      <c r="F251" s="62"/>
      <c r="M251" s="348"/>
    </row>
    <row r="252" spans="1:13">
      <c r="A252" s="229">
        <v>92602</v>
      </c>
      <c r="B252" s="229" t="s">
        <v>969</v>
      </c>
      <c r="C252" s="105">
        <v>1757.57</v>
      </c>
      <c r="F252" s="62"/>
      <c r="M252" s="348"/>
    </row>
    <row r="253" spans="1:13">
      <c r="A253" s="229">
        <v>92604</v>
      </c>
      <c r="B253" s="229" t="s">
        <v>970</v>
      </c>
      <c r="C253" s="105">
        <v>214142.14</v>
      </c>
      <c r="F253" s="62"/>
      <c r="M253" s="348"/>
    </row>
    <row r="254" spans="1:13">
      <c r="A254" s="229">
        <v>92607</v>
      </c>
      <c r="B254" s="229" t="s">
        <v>971</v>
      </c>
      <c r="C254" s="105">
        <v>34326.629999999997</v>
      </c>
      <c r="F254" s="62"/>
      <c r="M254" s="348"/>
    </row>
    <row r="255" spans="1:13">
      <c r="A255" s="229">
        <v>92611</v>
      </c>
      <c r="B255" s="229" t="s">
        <v>973</v>
      </c>
      <c r="C255" s="105">
        <v>6167512.8799999999</v>
      </c>
      <c r="F255" s="62"/>
      <c r="M255" s="348"/>
    </row>
    <row r="256" spans="1:13">
      <c r="A256" s="229">
        <v>92613</v>
      </c>
      <c r="B256" s="229" t="s">
        <v>974</v>
      </c>
      <c r="C256" s="105">
        <v>136275.84</v>
      </c>
      <c r="F256" s="62"/>
      <c r="M256" s="348"/>
    </row>
    <row r="257" spans="1:13">
      <c r="A257" s="229">
        <v>92614</v>
      </c>
      <c r="B257" s="229" t="s">
        <v>975</v>
      </c>
      <c r="C257" s="105">
        <v>5457746.2199999997</v>
      </c>
      <c r="F257" s="62"/>
      <c r="M257" s="348"/>
    </row>
    <row r="258" spans="1:13">
      <c r="A258" s="229">
        <v>92621</v>
      </c>
      <c r="B258" s="229" t="s">
        <v>976</v>
      </c>
      <c r="C258" s="105">
        <v>14902.76</v>
      </c>
      <c r="F258" s="62"/>
      <c r="M258" s="348"/>
    </row>
    <row r="259" spans="1:13">
      <c r="A259" s="229">
        <v>92631</v>
      </c>
      <c r="B259" s="229" t="s">
        <v>977</v>
      </c>
      <c r="C259" s="105">
        <v>454395</v>
      </c>
      <c r="F259" s="62"/>
      <c r="M259" s="348"/>
    </row>
    <row r="260" spans="1:13">
      <c r="A260" s="229">
        <v>92641</v>
      </c>
      <c r="B260" s="229" t="s">
        <v>978</v>
      </c>
      <c r="C260" s="105">
        <v>8058.08</v>
      </c>
      <c r="F260" s="62"/>
      <c r="M260" s="348"/>
    </row>
    <row r="261" spans="1:13">
      <c r="A261" s="229">
        <v>92651</v>
      </c>
      <c r="B261" s="229" t="s">
        <v>979</v>
      </c>
      <c r="C261" s="105">
        <v>2707.48</v>
      </c>
      <c r="F261" s="62"/>
      <c r="M261" s="348"/>
    </row>
    <row r="262" spans="1:13">
      <c r="A262" s="229">
        <v>92661</v>
      </c>
      <c r="B262" s="229" t="s">
        <v>980</v>
      </c>
      <c r="C262" s="105">
        <v>570542.14</v>
      </c>
      <c r="F262" s="62"/>
      <c r="M262" s="348"/>
    </row>
    <row r="263" spans="1:13">
      <c r="A263" s="229">
        <v>92671</v>
      </c>
      <c r="B263" s="229" t="s">
        <v>981</v>
      </c>
      <c r="C263" s="105">
        <v>5567.28</v>
      </c>
      <c r="F263" s="62"/>
      <c r="M263" s="348"/>
    </row>
    <row r="264" spans="1:13">
      <c r="A264" s="229">
        <v>92681</v>
      </c>
      <c r="B264" s="229" t="s">
        <v>982</v>
      </c>
      <c r="C264" s="105">
        <v>9049.08</v>
      </c>
      <c r="F264" s="62"/>
      <c r="M264" s="348"/>
    </row>
    <row r="265" spans="1:13">
      <c r="A265" s="229">
        <v>92701</v>
      </c>
      <c r="B265" s="229" t="s">
        <v>983</v>
      </c>
      <c r="C265" s="105">
        <v>1554456.54</v>
      </c>
      <c r="F265" s="62"/>
      <c r="M265" s="348"/>
    </row>
    <row r="266" spans="1:13">
      <c r="A266" s="229">
        <v>92704</v>
      </c>
      <c r="B266" s="229" t="s">
        <v>984</v>
      </c>
      <c r="C266" s="105">
        <v>20231.41</v>
      </c>
      <c r="F266" s="62"/>
      <c r="M266" s="348"/>
    </row>
    <row r="267" spans="1:13">
      <c r="A267" s="229">
        <v>92801</v>
      </c>
      <c r="B267" s="229" t="s">
        <v>985</v>
      </c>
      <c r="C267" s="105">
        <v>2947668.95</v>
      </c>
      <c r="F267" s="62"/>
      <c r="M267" s="348"/>
    </row>
    <row r="268" spans="1:13">
      <c r="A268" s="229">
        <v>92802</v>
      </c>
      <c r="B268" s="229" t="s">
        <v>986</v>
      </c>
      <c r="C268" s="105">
        <v>59756.03</v>
      </c>
      <c r="F268" s="62"/>
      <c r="M268" s="348"/>
    </row>
    <row r="269" spans="1:13">
      <c r="A269" s="229">
        <v>92804</v>
      </c>
      <c r="B269" s="229" t="s">
        <v>987</v>
      </c>
      <c r="C269" s="105">
        <v>70943.360000000001</v>
      </c>
      <c r="F269" s="62"/>
      <c r="M269" s="348"/>
    </row>
    <row r="270" spans="1:13">
      <c r="A270" s="229">
        <v>92811</v>
      </c>
      <c r="B270" s="229" t="s">
        <v>988</v>
      </c>
      <c r="C270" s="105">
        <v>502097.06</v>
      </c>
      <c r="F270" s="62"/>
      <c r="M270" s="348"/>
    </row>
    <row r="271" spans="1:13">
      <c r="A271" s="229">
        <v>92821</v>
      </c>
      <c r="B271" s="229" t="s">
        <v>989</v>
      </c>
      <c r="C271" s="105">
        <v>542419.52</v>
      </c>
      <c r="F271" s="62"/>
      <c r="M271" s="348"/>
    </row>
    <row r="272" spans="1:13">
      <c r="A272" s="229">
        <v>92831</v>
      </c>
      <c r="B272" s="229" t="s">
        <v>990</v>
      </c>
      <c r="C272" s="105">
        <v>146906.98000000001</v>
      </c>
      <c r="F272" s="62"/>
      <c r="M272" s="348"/>
    </row>
    <row r="273" spans="1:13">
      <c r="A273" s="229">
        <v>92841</v>
      </c>
      <c r="B273" s="229" t="s">
        <v>991</v>
      </c>
      <c r="C273" s="105">
        <v>134012.69</v>
      </c>
      <c r="F273" s="62"/>
      <c r="M273" s="348"/>
    </row>
    <row r="274" spans="1:13">
      <c r="A274" s="229">
        <v>92851</v>
      </c>
      <c r="B274" s="229" t="s">
        <v>992</v>
      </c>
      <c r="C274" s="105">
        <v>201341.28</v>
      </c>
      <c r="F274" s="62"/>
      <c r="M274" s="348"/>
    </row>
    <row r="275" spans="1:13">
      <c r="A275" s="229">
        <v>92861</v>
      </c>
      <c r="B275" s="229" t="s">
        <v>993</v>
      </c>
      <c r="C275" s="105">
        <v>163355.29999999999</v>
      </c>
      <c r="F275" s="62"/>
      <c r="M275" s="348"/>
    </row>
    <row r="276" spans="1:13">
      <c r="A276" s="229">
        <v>92901</v>
      </c>
      <c r="B276" s="229" t="s">
        <v>994</v>
      </c>
      <c r="C276" s="105">
        <v>2911769.34</v>
      </c>
      <c r="F276" s="62"/>
      <c r="M276" s="348"/>
    </row>
    <row r="277" spans="1:13">
      <c r="A277" s="229">
        <v>92911</v>
      </c>
      <c r="B277" s="229" t="s">
        <v>995</v>
      </c>
      <c r="C277" s="105">
        <v>1069188.3799999999</v>
      </c>
      <c r="F277" s="62"/>
      <c r="M277" s="348"/>
    </row>
    <row r="278" spans="1:13">
      <c r="A278" s="229">
        <v>92913</v>
      </c>
      <c r="B278" s="229" t="s">
        <v>996</v>
      </c>
      <c r="C278" s="105">
        <v>64321.72</v>
      </c>
      <c r="F278" s="62"/>
      <c r="M278" s="348"/>
    </row>
    <row r="279" spans="1:13">
      <c r="A279" s="229">
        <v>92914</v>
      </c>
      <c r="B279" s="229" t="s">
        <v>997</v>
      </c>
      <c r="C279" s="105">
        <v>14864.82</v>
      </c>
      <c r="F279" s="62"/>
      <c r="M279" s="348"/>
    </row>
    <row r="280" spans="1:13">
      <c r="A280" s="229">
        <v>92917</v>
      </c>
      <c r="B280" s="229" t="s">
        <v>998</v>
      </c>
      <c r="C280" s="105">
        <v>15957.8</v>
      </c>
      <c r="F280" s="62"/>
      <c r="M280" s="348"/>
    </row>
    <row r="281" spans="1:13">
      <c r="A281" s="229">
        <v>92921</v>
      </c>
      <c r="B281" s="229" t="s">
        <v>999</v>
      </c>
      <c r="C281" s="105">
        <v>58694.86</v>
      </c>
      <c r="F281" s="62"/>
      <c r="M281" s="348"/>
    </row>
    <row r="282" spans="1:13">
      <c r="A282" s="229">
        <v>92931</v>
      </c>
      <c r="B282" s="229" t="s">
        <v>1000</v>
      </c>
      <c r="C282" s="105">
        <v>1173063.23</v>
      </c>
      <c r="F282" s="62"/>
      <c r="M282" s="348"/>
    </row>
    <row r="283" spans="1:13">
      <c r="A283" s="229">
        <v>92941</v>
      </c>
      <c r="B283" s="229" t="s">
        <v>81</v>
      </c>
      <c r="C283" s="105">
        <v>3668.61</v>
      </c>
      <c r="F283" s="62"/>
      <c r="M283" s="348"/>
    </row>
    <row r="284" spans="1:13">
      <c r="A284" s="229">
        <v>93001</v>
      </c>
      <c r="B284" s="229" t="s">
        <v>1001</v>
      </c>
      <c r="C284" s="105">
        <v>1157133.98</v>
      </c>
      <c r="F284" s="62"/>
      <c r="M284" s="348"/>
    </row>
    <row r="285" spans="1:13">
      <c r="A285" s="229">
        <v>93009</v>
      </c>
      <c r="B285" s="229" t="s">
        <v>1002</v>
      </c>
      <c r="C285" s="105">
        <v>5485.76</v>
      </c>
      <c r="F285" s="62"/>
      <c r="M285" s="348"/>
    </row>
    <row r="286" spans="1:13">
      <c r="A286" s="229">
        <v>93011</v>
      </c>
      <c r="B286" s="229" t="s">
        <v>1003</v>
      </c>
      <c r="C286" s="105">
        <v>161395.35</v>
      </c>
      <c r="F286" s="62"/>
      <c r="M286" s="348"/>
    </row>
    <row r="287" spans="1:13">
      <c r="A287" s="229">
        <v>93021</v>
      </c>
      <c r="B287" s="229" t="s">
        <v>1004</v>
      </c>
      <c r="C287" s="105">
        <v>14982.44</v>
      </c>
      <c r="F287" s="62"/>
      <c r="M287" s="348"/>
    </row>
    <row r="288" spans="1:13">
      <c r="A288" s="229">
        <v>93027</v>
      </c>
      <c r="B288" s="214" t="s">
        <v>3637</v>
      </c>
      <c r="C288" s="105">
        <v>4619.82</v>
      </c>
      <c r="F288" s="62"/>
      <c r="M288" s="348"/>
    </row>
    <row r="289" spans="1:13">
      <c r="A289" s="229">
        <v>93031</v>
      </c>
      <c r="B289" s="229" t="s">
        <v>1006</v>
      </c>
      <c r="C289" s="105">
        <v>10966.06</v>
      </c>
      <c r="F289" s="62"/>
      <c r="M289" s="348"/>
    </row>
    <row r="290" spans="1:13">
      <c r="A290" s="229">
        <v>93101</v>
      </c>
      <c r="B290" s="229" t="s">
        <v>1007</v>
      </c>
      <c r="C290" s="105">
        <v>1606115.76</v>
      </c>
      <c r="F290" s="62"/>
      <c r="M290" s="348"/>
    </row>
    <row r="291" spans="1:13">
      <c r="A291" s="229">
        <v>93103</v>
      </c>
      <c r="B291" s="229" t="s">
        <v>260</v>
      </c>
      <c r="C291" s="105">
        <v>6272.57</v>
      </c>
      <c r="F291" s="62"/>
      <c r="M291" s="348"/>
    </row>
    <row r="292" spans="1:13">
      <c r="A292" s="229">
        <v>93108</v>
      </c>
      <c r="B292" s="229" t="s">
        <v>1008</v>
      </c>
      <c r="C292" s="105">
        <v>1216604.81</v>
      </c>
      <c r="F292" s="62"/>
      <c r="M292" s="348"/>
    </row>
    <row r="293" spans="1:13">
      <c r="A293" s="229">
        <v>93111</v>
      </c>
      <c r="B293" s="229" t="s">
        <v>1009</v>
      </c>
      <c r="C293" s="105">
        <v>29490.03</v>
      </c>
      <c r="F293" s="62"/>
      <c r="M293" s="348"/>
    </row>
    <row r="294" spans="1:13">
      <c r="A294" s="229">
        <v>93121</v>
      </c>
      <c r="B294" s="229" t="s">
        <v>1010</v>
      </c>
      <c r="C294" s="105">
        <v>34376.699999999997</v>
      </c>
      <c r="F294" s="62"/>
      <c r="M294" s="348"/>
    </row>
    <row r="295" spans="1:13">
      <c r="A295" s="229">
        <v>93127</v>
      </c>
      <c r="B295" s="229" t="s">
        <v>1011</v>
      </c>
      <c r="C295" s="105">
        <v>3063.77</v>
      </c>
      <c r="F295" s="62"/>
      <c r="M295" s="348"/>
    </row>
    <row r="296" spans="1:13">
      <c r="A296" s="229">
        <v>93131</v>
      </c>
      <c r="B296" s="229" t="s">
        <v>1012</v>
      </c>
      <c r="C296" s="105">
        <v>99350.17</v>
      </c>
      <c r="F296" s="62"/>
      <c r="M296" s="348"/>
    </row>
    <row r="297" spans="1:13">
      <c r="A297" s="229">
        <v>93137</v>
      </c>
      <c r="B297" s="229" t="s">
        <v>1013</v>
      </c>
      <c r="C297" s="105">
        <v>3215.07</v>
      </c>
      <c r="F297" s="62"/>
      <c r="M297" s="348"/>
    </row>
    <row r="298" spans="1:13">
      <c r="A298" s="229">
        <v>93141</v>
      </c>
      <c r="B298" s="229" t="s">
        <v>1014</v>
      </c>
      <c r="C298" s="105">
        <v>18666</v>
      </c>
      <c r="F298" s="62"/>
      <c r="M298" s="348"/>
    </row>
    <row r="299" spans="1:13">
      <c r="A299" s="229">
        <v>93151</v>
      </c>
      <c r="B299" s="229" t="s">
        <v>1015</v>
      </c>
      <c r="C299" s="105">
        <v>168668.45</v>
      </c>
      <c r="F299" s="62"/>
      <c r="M299" s="348"/>
    </row>
    <row r="300" spans="1:13">
      <c r="A300" s="229">
        <v>93157</v>
      </c>
      <c r="B300" s="229" t="s">
        <v>1016</v>
      </c>
      <c r="C300" s="105">
        <v>6856.04</v>
      </c>
      <c r="F300" s="62"/>
      <c r="M300" s="348"/>
    </row>
    <row r="301" spans="1:13">
      <c r="A301" s="229">
        <v>93161</v>
      </c>
      <c r="B301" s="229" t="s">
        <v>1017</v>
      </c>
      <c r="C301" s="105">
        <v>57378.37</v>
      </c>
      <c r="F301" s="62"/>
      <c r="M301" s="348"/>
    </row>
    <row r="302" spans="1:13">
      <c r="A302" s="229">
        <v>93171</v>
      </c>
      <c r="B302" s="229" t="s">
        <v>1018</v>
      </c>
      <c r="C302" s="105">
        <v>5049.51</v>
      </c>
      <c r="F302" s="62"/>
      <c r="M302" s="348"/>
    </row>
    <row r="303" spans="1:13">
      <c r="A303" s="229">
        <v>93181</v>
      </c>
      <c r="B303" s="229" t="s">
        <v>1019</v>
      </c>
      <c r="C303" s="105">
        <v>6285.27</v>
      </c>
      <c r="F303" s="62"/>
      <c r="M303" s="348"/>
    </row>
    <row r="304" spans="1:13">
      <c r="A304" s="229">
        <v>93191</v>
      </c>
      <c r="B304" s="229" t="s">
        <v>1020</v>
      </c>
      <c r="C304" s="105">
        <v>17982.41</v>
      </c>
      <c r="F304" s="62"/>
      <c r="M304" s="348"/>
    </row>
    <row r="305" spans="1:13">
      <c r="A305" s="229">
        <v>93201</v>
      </c>
      <c r="B305" s="229" t="s">
        <v>1021</v>
      </c>
      <c r="C305" s="105">
        <v>8195205.0199999996</v>
      </c>
      <c r="F305" s="62"/>
      <c r="M305" s="348"/>
    </row>
    <row r="306" spans="1:13">
      <c r="A306" s="229">
        <v>93204</v>
      </c>
      <c r="B306" s="229" t="s">
        <v>1023</v>
      </c>
      <c r="C306" s="105">
        <v>178972.2</v>
      </c>
      <c r="F306" s="62"/>
      <c r="M306" s="348"/>
    </row>
    <row r="307" spans="1:13">
      <c r="A307" s="229">
        <v>93209</v>
      </c>
      <c r="B307" s="229" t="s">
        <v>1024</v>
      </c>
      <c r="C307" s="105">
        <v>2614374.9900000002</v>
      </c>
      <c r="F307" s="62"/>
      <c r="M307" s="348"/>
    </row>
    <row r="308" spans="1:13">
      <c r="A308" s="229">
        <v>93211</v>
      </c>
      <c r="B308" s="229" t="s">
        <v>1025</v>
      </c>
      <c r="C308" s="105">
        <v>11446327.32</v>
      </c>
      <c r="F308" s="62"/>
      <c r="M308" s="348"/>
    </row>
    <row r="309" spans="1:13">
      <c r="A309" s="229">
        <v>93212</v>
      </c>
      <c r="B309" s="229" t="s">
        <v>1026</v>
      </c>
      <c r="C309" s="105">
        <v>239714.07</v>
      </c>
      <c r="F309" s="62"/>
      <c r="M309" s="348"/>
    </row>
    <row r="310" spans="1:13">
      <c r="A310" s="229">
        <v>93219</v>
      </c>
      <c r="B310" s="229" t="s">
        <v>1027</v>
      </c>
      <c r="C310" s="105">
        <v>148151.73000000001</v>
      </c>
      <c r="F310" s="62"/>
      <c r="M310" s="348"/>
    </row>
    <row r="311" spans="1:13">
      <c r="A311" s="229">
        <v>93301</v>
      </c>
      <c r="B311" s="229" t="s">
        <v>1028</v>
      </c>
      <c r="C311" s="105">
        <v>1217879.82</v>
      </c>
      <c r="F311" s="62"/>
      <c r="M311" s="348"/>
    </row>
    <row r="312" spans="1:13">
      <c r="A312" s="229">
        <v>93304</v>
      </c>
      <c r="B312" s="229" t="s">
        <v>1029</v>
      </c>
      <c r="C312" s="105">
        <v>23575.84</v>
      </c>
      <c r="F312" s="62"/>
      <c r="M312" s="348"/>
    </row>
    <row r="313" spans="1:13">
      <c r="A313" s="229">
        <v>93305</v>
      </c>
      <c r="B313" s="229" t="s">
        <v>1030</v>
      </c>
      <c r="C313" s="105">
        <v>21160.73</v>
      </c>
      <c r="F313" s="62"/>
      <c r="M313" s="348"/>
    </row>
    <row r="314" spans="1:13">
      <c r="A314" s="229">
        <v>93309</v>
      </c>
      <c r="B314" s="229" t="s">
        <v>1031</v>
      </c>
      <c r="C314" s="105">
        <v>102326.45</v>
      </c>
      <c r="F314" s="62"/>
      <c r="M314" s="348"/>
    </row>
    <row r="315" spans="1:13">
      <c r="A315" s="229">
        <v>93311</v>
      </c>
      <c r="B315" s="229" t="s">
        <v>1032</v>
      </c>
      <c r="C315" s="105">
        <v>587024.14</v>
      </c>
      <c r="F315" s="62"/>
      <c r="M315" s="348"/>
    </row>
    <row r="316" spans="1:13">
      <c r="A316" s="229">
        <v>93317</v>
      </c>
      <c r="B316" s="229" t="s">
        <v>1033</v>
      </c>
      <c r="C316" s="105">
        <v>24153.43</v>
      </c>
      <c r="F316" s="62"/>
      <c r="M316" s="348"/>
    </row>
    <row r="317" spans="1:13">
      <c r="A317" s="229">
        <v>93321</v>
      </c>
      <c r="B317" s="229" t="s">
        <v>1034</v>
      </c>
      <c r="C317" s="105">
        <v>3551024.55</v>
      </c>
      <c r="F317" s="62"/>
      <c r="M317" s="348"/>
    </row>
    <row r="318" spans="1:13">
      <c r="A318" s="229">
        <v>93323</v>
      </c>
      <c r="B318" s="229" t="s">
        <v>1035</v>
      </c>
      <c r="C318" s="105">
        <v>8939.7000000000007</v>
      </c>
      <c r="F318" s="62"/>
      <c r="M318" s="348"/>
    </row>
    <row r="319" spans="1:13">
      <c r="A319" s="229">
        <v>93331</v>
      </c>
      <c r="B319" s="229" t="s">
        <v>1036</v>
      </c>
      <c r="C319" s="105">
        <v>59492.94</v>
      </c>
      <c r="F319" s="62"/>
      <c r="M319" s="348"/>
    </row>
    <row r="320" spans="1:13">
      <c r="A320" s="229">
        <v>93333</v>
      </c>
      <c r="B320" s="229" t="s">
        <v>1037</v>
      </c>
      <c r="C320" s="105">
        <v>128244.78</v>
      </c>
      <c r="F320" s="62"/>
      <c r="M320" s="348"/>
    </row>
    <row r="321" spans="1:13">
      <c r="A321" s="229">
        <v>93341</v>
      </c>
      <c r="B321" s="229" t="s">
        <v>1038</v>
      </c>
      <c r="C321" s="105">
        <v>16069</v>
      </c>
      <c r="F321" s="62"/>
      <c r="M321" s="348"/>
    </row>
    <row r="322" spans="1:13">
      <c r="A322" s="229">
        <v>93351</v>
      </c>
      <c r="B322" s="229" t="s">
        <v>1039</v>
      </c>
      <c r="C322" s="105">
        <v>9853.19</v>
      </c>
      <c r="F322" s="62"/>
      <c r="M322" s="348"/>
    </row>
    <row r="323" spans="1:13">
      <c r="A323" s="229">
        <v>93401</v>
      </c>
      <c r="B323" s="229" t="s">
        <v>1040</v>
      </c>
      <c r="C323" s="105">
        <v>7243217.04</v>
      </c>
      <c r="F323" s="62"/>
      <c r="M323" s="348"/>
    </row>
    <row r="324" spans="1:13">
      <c r="A324" s="229">
        <v>93402</v>
      </c>
      <c r="B324" s="229" t="s">
        <v>1041</v>
      </c>
      <c r="C324" s="105">
        <v>21492.240000000002</v>
      </c>
      <c r="F324" s="62"/>
      <c r="M324" s="348"/>
    </row>
    <row r="325" spans="1:13">
      <c r="A325" s="229">
        <v>93406</v>
      </c>
      <c r="B325" s="229" t="s">
        <v>1042</v>
      </c>
      <c r="C325" s="105">
        <v>280895.17</v>
      </c>
      <c r="F325" s="62"/>
      <c r="M325" s="348"/>
    </row>
    <row r="326" spans="1:13">
      <c r="A326" s="229">
        <v>93411</v>
      </c>
      <c r="B326" s="229" t="s">
        <v>1044</v>
      </c>
      <c r="C326" s="105">
        <v>9444604.1300000008</v>
      </c>
      <c r="F326" s="62"/>
      <c r="M326" s="348"/>
    </row>
    <row r="327" spans="1:13">
      <c r="A327" s="229">
        <v>93413</v>
      </c>
      <c r="B327" s="229" t="s">
        <v>1045</v>
      </c>
      <c r="C327" s="105">
        <v>395125.02</v>
      </c>
      <c r="F327" s="62"/>
      <c r="M327" s="348"/>
    </row>
    <row r="328" spans="1:13">
      <c r="A328" s="229">
        <v>93417</v>
      </c>
      <c r="B328" s="229" t="s">
        <v>1046</v>
      </c>
      <c r="C328" s="105">
        <v>191519.15</v>
      </c>
      <c r="F328" s="62"/>
      <c r="M328" s="348"/>
    </row>
    <row r="329" spans="1:13">
      <c r="A329" s="229">
        <v>93421</v>
      </c>
      <c r="B329" s="229" t="s">
        <v>1047</v>
      </c>
      <c r="C329" s="105">
        <v>1010882.32</v>
      </c>
      <c r="F329" s="62"/>
      <c r="M329" s="348"/>
    </row>
    <row r="330" spans="1:13">
      <c r="A330" s="229">
        <v>93431</v>
      </c>
      <c r="B330" s="229" t="s">
        <v>1048</v>
      </c>
      <c r="C330" s="105">
        <v>73539.02</v>
      </c>
      <c r="F330" s="62"/>
      <c r="M330" s="348"/>
    </row>
    <row r="331" spans="1:13">
      <c r="A331" s="229">
        <v>93441</v>
      </c>
      <c r="B331" s="229" t="s">
        <v>1049</v>
      </c>
      <c r="C331" s="105">
        <v>81856.039999999994</v>
      </c>
      <c r="F331" s="62"/>
      <c r="M331" s="348"/>
    </row>
    <row r="332" spans="1:13">
      <c r="A332" s="229">
        <v>93442</v>
      </c>
      <c r="B332" s="229" t="s">
        <v>1050</v>
      </c>
      <c r="C332" s="105">
        <v>70393.5</v>
      </c>
      <c r="F332" s="62"/>
      <c r="M332" s="348"/>
    </row>
    <row r="333" spans="1:13">
      <c r="A333" s="229">
        <v>93451</v>
      </c>
      <c r="B333" s="229" t="s">
        <v>1051</v>
      </c>
      <c r="C333" s="105">
        <v>47773.23</v>
      </c>
      <c r="F333" s="62"/>
      <c r="M333" s="348"/>
    </row>
    <row r="334" spans="1:13">
      <c r="A334" s="229">
        <v>93461</v>
      </c>
      <c r="B334" s="229" t="s">
        <v>1052</v>
      </c>
      <c r="C334" s="105">
        <v>8560.68</v>
      </c>
      <c r="F334" s="62"/>
      <c r="M334" s="348"/>
    </row>
    <row r="335" spans="1:13">
      <c r="A335" s="229">
        <v>93471</v>
      </c>
      <c r="B335" s="229" t="s">
        <v>1053</v>
      </c>
      <c r="C335" s="105">
        <v>9132.39</v>
      </c>
      <c r="F335" s="62"/>
      <c r="M335" s="348"/>
    </row>
    <row r="336" spans="1:13">
      <c r="A336" s="229">
        <v>93501</v>
      </c>
      <c r="B336" s="229" t="s">
        <v>1054</v>
      </c>
      <c r="C336" s="105">
        <v>1961932.46</v>
      </c>
      <c r="F336" s="62"/>
      <c r="M336" s="348"/>
    </row>
    <row r="337" spans="1:13">
      <c r="A337" s="229">
        <v>93511</v>
      </c>
      <c r="B337" s="229" t="s">
        <v>1055</v>
      </c>
      <c r="C337" s="105">
        <v>54732.4</v>
      </c>
      <c r="F337" s="62"/>
      <c r="M337" s="348"/>
    </row>
    <row r="338" spans="1:13">
      <c r="A338" s="229">
        <v>93517</v>
      </c>
      <c r="B338" s="229" t="s">
        <v>1056</v>
      </c>
      <c r="C338" s="105">
        <v>4924.68</v>
      </c>
      <c r="F338" s="62"/>
      <c r="M338" s="348"/>
    </row>
    <row r="339" spans="1:13">
      <c r="A339" s="229">
        <v>93521</v>
      </c>
      <c r="B339" s="229" t="s">
        <v>1057</v>
      </c>
      <c r="C339" s="105">
        <v>254897.06</v>
      </c>
      <c r="F339" s="62"/>
      <c r="M339" s="348"/>
    </row>
    <row r="340" spans="1:13">
      <c r="A340" s="229">
        <v>93527</v>
      </c>
      <c r="B340" s="229" t="s">
        <v>1058</v>
      </c>
      <c r="C340" s="105">
        <v>9872.25</v>
      </c>
      <c r="F340" s="62"/>
      <c r="M340" s="348"/>
    </row>
    <row r="341" spans="1:13">
      <c r="A341" s="229">
        <v>93531</v>
      </c>
      <c r="B341" s="229" t="s">
        <v>1059</v>
      </c>
      <c r="C341" s="105">
        <v>13068.48</v>
      </c>
      <c r="F341" s="62"/>
      <c r="M341" s="348"/>
    </row>
    <row r="342" spans="1:13">
      <c r="A342" s="229">
        <v>93537</v>
      </c>
      <c r="B342" s="229" t="s">
        <v>1060</v>
      </c>
      <c r="C342" s="105">
        <v>4533.1000000000004</v>
      </c>
      <c r="F342" s="62"/>
      <c r="M342" s="348"/>
    </row>
    <row r="343" spans="1:13">
      <c r="A343" s="229">
        <v>93541</v>
      </c>
      <c r="B343" s="229" t="s">
        <v>1061</v>
      </c>
      <c r="C343" s="105">
        <v>53968.15</v>
      </c>
      <c r="F343" s="62"/>
      <c r="M343" s="348"/>
    </row>
    <row r="344" spans="1:13">
      <c r="A344" s="229">
        <v>93601</v>
      </c>
      <c r="B344" s="229" t="s">
        <v>1062</v>
      </c>
      <c r="C344" s="105">
        <v>5992723.9199999999</v>
      </c>
      <c r="F344" s="62"/>
      <c r="M344" s="348"/>
    </row>
    <row r="345" spans="1:13">
      <c r="A345" s="229">
        <v>93602</v>
      </c>
      <c r="B345" s="229" t="s">
        <v>1063</v>
      </c>
      <c r="C345" s="105">
        <v>108807.1</v>
      </c>
      <c r="F345" s="62"/>
      <c r="M345" s="348"/>
    </row>
    <row r="346" spans="1:13">
      <c r="A346" s="229">
        <v>93604</v>
      </c>
      <c r="B346" s="229" t="s">
        <v>1932</v>
      </c>
      <c r="C346" s="105">
        <v>16339.22</v>
      </c>
      <c r="F346" s="62"/>
      <c r="M346" s="348"/>
    </row>
    <row r="347" spans="1:13">
      <c r="A347" s="229">
        <v>93609</v>
      </c>
      <c r="B347" s="229" t="s">
        <v>1064</v>
      </c>
      <c r="C347" s="105">
        <v>1968207.82</v>
      </c>
      <c r="F347" s="62"/>
      <c r="M347" s="348"/>
    </row>
    <row r="348" spans="1:13">
      <c r="A348" s="229">
        <v>93610</v>
      </c>
      <c r="B348" s="229" t="s">
        <v>1065</v>
      </c>
      <c r="C348" s="105">
        <v>7152.4</v>
      </c>
      <c r="F348" s="62"/>
      <c r="M348" s="348"/>
    </row>
    <row r="349" spans="1:13">
      <c r="A349" s="229">
        <v>93611</v>
      </c>
      <c r="B349" s="229" t="s">
        <v>1066</v>
      </c>
      <c r="C349" s="105">
        <v>3643954.74</v>
      </c>
      <c r="F349" s="62"/>
      <c r="M349" s="348"/>
    </row>
    <row r="350" spans="1:13">
      <c r="A350" s="229">
        <v>93617</v>
      </c>
      <c r="B350" s="229" t="s">
        <v>1067</v>
      </c>
      <c r="C350" s="105">
        <v>57791.91</v>
      </c>
      <c r="F350" s="62"/>
      <c r="M350" s="348"/>
    </row>
    <row r="351" spans="1:13">
      <c r="A351" s="229">
        <v>93618</v>
      </c>
      <c r="B351" s="229" t="s">
        <v>1068</v>
      </c>
      <c r="C351" s="105">
        <v>26457.360000000001</v>
      </c>
      <c r="F351" s="62"/>
      <c r="M351" s="348"/>
    </row>
    <row r="352" spans="1:13">
      <c r="A352" s="229">
        <v>93621</v>
      </c>
      <c r="B352" s="229" t="s">
        <v>1069</v>
      </c>
      <c r="C352" s="105">
        <v>518880.93</v>
      </c>
      <c r="F352" s="62"/>
      <c r="M352" s="348"/>
    </row>
    <row r="353" spans="1:13">
      <c r="A353" s="229">
        <v>93623</v>
      </c>
      <c r="B353" s="229" t="s">
        <v>1070</v>
      </c>
      <c r="C353" s="105">
        <v>6913.62</v>
      </c>
      <c r="F353" s="62"/>
      <c r="M353" s="348"/>
    </row>
    <row r="354" spans="1:13">
      <c r="A354" s="229">
        <v>93631</v>
      </c>
      <c r="B354" s="229" t="s">
        <v>1071</v>
      </c>
      <c r="C354" s="105">
        <v>116246.94</v>
      </c>
      <c r="F354" s="62"/>
      <c r="M354" s="348"/>
    </row>
    <row r="355" spans="1:13">
      <c r="A355" s="229">
        <v>93641</v>
      </c>
      <c r="B355" s="229" t="s">
        <v>1072</v>
      </c>
      <c r="C355" s="105">
        <v>227358.34</v>
      </c>
      <c r="F355" s="62"/>
      <c r="M355" s="348"/>
    </row>
    <row r="356" spans="1:13">
      <c r="A356" s="229">
        <v>93647</v>
      </c>
      <c r="B356" s="229" t="s">
        <v>1073</v>
      </c>
      <c r="C356" s="105">
        <v>10194.91</v>
      </c>
      <c r="F356" s="62"/>
      <c r="M356" s="348"/>
    </row>
    <row r="357" spans="1:13">
      <c r="A357" s="229">
        <v>93651</v>
      </c>
      <c r="B357" s="229" t="s">
        <v>1074</v>
      </c>
      <c r="C357" s="105">
        <v>216921.48</v>
      </c>
      <c r="F357" s="62"/>
      <c r="M357" s="348"/>
    </row>
    <row r="358" spans="1:13">
      <c r="A358" s="229">
        <v>93661</v>
      </c>
      <c r="B358" s="229" t="s">
        <v>1075</v>
      </c>
      <c r="C358" s="105">
        <v>73068.05</v>
      </c>
      <c r="F358" s="62"/>
      <c r="M358" s="348"/>
    </row>
    <row r="359" spans="1:13">
      <c r="A359" s="229">
        <v>93671</v>
      </c>
      <c r="B359" s="229" t="s">
        <v>1076</v>
      </c>
      <c r="C359" s="105">
        <v>199416.52</v>
      </c>
      <c r="F359" s="62"/>
      <c r="M359" s="348"/>
    </row>
    <row r="360" spans="1:13">
      <c r="A360" s="229">
        <v>93681</v>
      </c>
      <c r="B360" s="229" t="s">
        <v>1077</v>
      </c>
      <c r="C360" s="105">
        <v>62533.82</v>
      </c>
      <c r="F360" s="62"/>
      <c r="M360" s="348"/>
    </row>
    <row r="361" spans="1:13">
      <c r="A361" s="229">
        <v>93691</v>
      </c>
      <c r="B361" s="229" t="s">
        <v>1078</v>
      </c>
      <c r="C361" s="105">
        <v>547057.78</v>
      </c>
      <c r="F361" s="62"/>
      <c r="M361" s="348"/>
    </row>
    <row r="362" spans="1:13">
      <c r="A362" s="229">
        <v>93701</v>
      </c>
      <c r="B362" s="229" t="s">
        <v>1079</v>
      </c>
      <c r="C362" s="105">
        <v>230165.51</v>
      </c>
      <c r="F362" s="62"/>
      <c r="M362" s="348"/>
    </row>
    <row r="363" spans="1:13">
      <c r="A363" s="229">
        <v>93704</v>
      </c>
      <c r="B363" s="229" t="s">
        <v>1080</v>
      </c>
      <c r="C363" s="105">
        <v>2097.84</v>
      </c>
      <c r="F363" s="62"/>
      <c r="M363" s="348"/>
    </row>
    <row r="364" spans="1:13">
      <c r="A364" s="229">
        <v>93801</v>
      </c>
      <c r="B364" s="229" t="s">
        <v>1081</v>
      </c>
      <c r="C364" s="105">
        <v>230712.81</v>
      </c>
      <c r="F364" s="62"/>
      <c r="M364" s="348"/>
    </row>
    <row r="365" spans="1:13">
      <c r="A365" s="229">
        <v>93803</v>
      </c>
      <c r="B365" s="229" t="s">
        <v>1082</v>
      </c>
      <c r="C365" s="105">
        <v>48348.65</v>
      </c>
      <c r="F365" s="62"/>
      <c r="M365" s="348"/>
    </row>
    <row r="366" spans="1:13">
      <c r="A366" s="229">
        <v>93806</v>
      </c>
      <c r="B366" s="229" t="s">
        <v>1083</v>
      </c>
      <c r="C366" s="105">
        <v>40415.230000000003</v>
      </c>
      <c r="F366" s="62"/>
      <c r="M366" s="348"/>
    </row>
    <row r="367" spans="1:13">
      <c r="A367" s="229">
        <v>93821</v>
      </c>
      <c r="B367" s="229" t="s">
        <v>1084</v>
      </c>
      <c r="C367" s="105">
        <v>34266.559999999998</v>
      </c>
      <c r="F367" s="62"/>
      <c r="M367" s="348"/>
    </row>
    <row r="368" spans="1:13">
      <c r="A368" s="229">
        <v>93901</v>
      </c>
      <c r="B368" s="229" t="s">
        <v>1085</v>
      </c>
      <c r="C368" s="105">
        <v>1059410.22</v>
      </c>
      <c r="F368" s="62"/>
      <c r="M368" s="348"/>
    </row>
    <row r="369" spans="1:13">
      <c r="A369" s="229">
        <v>93904</v>
      </c>
      <c r="B369" s="229" t="s">
        <v>1086</v>
      </c>
      <c r="C369" s="105">
        <v>23658.09</v>
      </c>
      <c r="F369" s="62"/>
      <c r="M369" s="348"/>
    </row>
    <row r="370" spans="1:13">
      <c r="A370" s="229">
        <v>93906</v>
      </c>
      <c r="B370" s="229" t="s">
        <v>1087</v>
      </c>
      <c r="C370" s="105">
        <v>1598215.31</v>
      </c>
      <c r="F370" s="62"/>
      <c r="M370" s="348"/>
    </row>
    <row r="371" spans="1:13">
      <c r="A371" s="229">
        <v>93908</v>
      </c>
      <c r="B371" s="229" t="s">
        <v>1088</v>
      </c>
      <c r="C371" s="105">
        <v>255757.96</v>
      </c>
      <c r="F371" s="62"/>
      <c r="M371" s="348"/>
    </row>
    <row r="372" spans="1:13">
      <c r="A372" s="229">
        <v>93910</v>
      </c>
      <c r="B372" s="229" t="s">
        <v>1089</v>
      </c>
      <c r="C372" s="105">
        <v>128757.39</v>
      </c>
      <c r="F372" s="62"/>
      <c r="M372" s="348"/>
    </row>
    <row r="373" spans="1:13">
      <c r="A373" s="229">
        <v>93911</v>
      </c>
      <c r="B373" s="229" t="s">
        <v>1090</v>
      </c>
      <c r="C373" s="105">
        <v>344208.25</v>
      </c>
      <c r="F373" s="62"/>
      <c r="M373" s="348"/>
    </row>
    <row r="374" spans="1:13">
      <c r="A374" s="229">
        <v>93913</v>
      </c>
      <c r="B374" s="229" t="s">
        <v>1091</v>
      </c>
      <c r="C374" s="105">
        <v>33212.26</v>
      </c>
      <c r="F374" s="62"/>
      <c r="M374" s="348"/>
    </row>
    <row r="375" spans="1:13">
      <c r="A375" s="229">
        <v>93914</v>
      </c>
      <c r="B375" s="229" t="s">
        <v>1092</v>
      </c>
      <c r="C375" s="105">
        <v>6747.15</v>
      </c>
      <c r="F375" s="62"/>
      <c r="M375" s="348"/>
    </row>
    <row r="376" spans="1:13">
      <c r="A376" s="229">
        <v>93921</v>
      </c>
      <c r="B376" s="229" t="s">
        <v>1093</v>
      </c>
      <c r="C376" s="105">
        <v>134011.79999999999</v>
      </c>
      <c r="F376" s="62"/>
      <c r="M376" s="348"/>
    </row>
    <row r="377" spans="1:13">
      <c r="A377" s="229">
        <v>93931</v>
      </c>
      <c r="B377" s="229" t="s">
        <v>1094</v>
      </c>
      <c r="C377" s="105">
        <v>251850.67</v>
      </c>
      <c r="F377" s="62"/>
      <c r="M377" s="348"/>
    </row>
    <row r="378" spans="1:13">
      <c r="A378" s="229">
        <v>94001</v>
      </c>
      <c r="B378" s="229" t="s">
        <v>1095</v>
      </c>
      <c r="C378" s="105">
        <v>513110.87</v>
      </c>
      <c r="F378" s="62"/>
      <c r="M378" s="348"/>
    </row>
    <row r="379" spans="1:13">
      <c r="A379" s="229">
        <v>94002</v>
      </c>
      <c r="B379" s="229" t="s">
        <v>1096</v>
      </c>
      <c r="C379" s="105">
        <v>5071.04</v>
      </c>
      <c r="F379" s="62"/>
      <c r="M379" s="348"/>
    </row>
    <row r="380" spans="1:13">
      <c r="A380" s="229">
        <v>94004</v>
      </c>
      <c r="B380" s="229" t="s">
        <v>1097</v>
      </c>
      <c r="C380" s="105">
        <v>4962.3599999999997</v>
      </c>
      <c r="F380" s="62"/>
      <c r="M380" s="348"/>
    </row>
    <row r="381" spans="1:13">
      <c r="A381" s="229">
        <v>94005</v>
      </c>
      <c r="B381" s="229" t="s">
        <v>1098</v>
      </c>
      <c r="C381" s="105">
        <v>2273.25</v>
      </c>
      <c r="F381" s="62"/>
      <c r="M381" s="348"/>
    </row>
    <row r="382" spans="1:13">
      <c r="A382" s="229">
        <v>94011</v>
      </c>
      <c r="B382" s="229" t="s">
        <v>1099</v>
      </c>
      <c r="C382" s="105">
        <v>12786.57</v>
      </c>
      <c r="F382" s="62"/>
      <c r="M382" s="348"/>
    </row>
    <row r="383" spans="1:13">
      <c r="A383" s="229">
        <v>94021</v>
      </c>
      <c r="B383" s="229" t="s">
        <v>1100</v>
      </c>
      <c r="C383" s="105">
        <v>55111.8</v>
      </c>
      <c r="F383" s="62"/>
      <c r="M383" s="348"/>
    </row>
    <row r="384" spans="1:13">
      <c r="A384" s="229">
        <v>94031</v>
      </c>
      <c r="B384" s="229" t="s">
        <v>1101</v>
      </c>
      <c r="C384" s="105">
        <v>7792.36</v>
      </c>
      <c r="F384" s="62"/>
      <c r="M384" s="348"/>
    </row>
    <row r="385" spans="1:13">
      <c r="A385" s="229">
        <v>94101</v>
      </c>
      <c r="B385" s="229" t="s">
        <v>1102</v>
      </c>
      <c r="C385" s="105">
        <v>9599201.9600000009</v>
      </c>
      <c r="F385" s="62"/>
      <c r="M385" s="348"/>
    </row>
    <row r="386" spans="1:13">
      <c r="A386" s="229">
        <v>94102</v>
      </c>
      <c r="B386" s="229" t="s">
        <v>1103</v>
      </c>
      <c r="C386" s="105">
        <v>137042.84</v>
      </c>
      <c r="F386" s="62"/>
      <c r="M386" s="348"/>
    </row>
    <row r="387" spans="1:13">
      <c r="A387" s="229">
        <v>94108</v>
      </c>
      <c r="B387" s="229" t="s">
        <v>1104</v>
      </c>
      <c r="C387" s="105">
        <v>151392.94</v>
      </c>
      <c r="F387" s="62"/>
      <c r="M387" s="348"/>
    </row>
    <row r="388" spans="1:13">
      <c r="A388" s="229">
        <v>94109</v>
      </c>
      <c r="B388" s="229" t="s">
        <v>1105</v>
      </c>
      <c r="C388" s="105">
        <v>40200.71</v>
      </c>
      <c r="F388" s="62"/>
      <c r="M388" s="348"/>
    </row>
    <row r="389" spans="1:13">
      <c r="A389" s="229">
        <v>94111</v>
      </c>
      <c r="B389" s="229" t="s">
        <v>1106</v>
      </c>
      <c r="C389" s="105">
        <v>12978769.220000001</v>
      </c>
      <c r="F389" s="62"/>
      <c r="M389" s="348"/>
    </row>
    <row r="390" spans="1:13">
      <c r="A390" s="229">
        <v>94112</v>
      </c>
      <c r="B390" s="229" t="s">
        <v>1107</v>
      </c>
      <c r="C390" s="105">
        <v>82758.67</v>
      </c>
      <c r="F390" s="62"/>
      <c r="M390" s="348"/>
    </row>
    <row r="391" spans="1:13">
      <c r="A391" s="229">
        <v>94117</v>
      </c>
      <c r="B391" s="229" t="s">
        <v>1108</v>
      </c>
      <c r="C391" s="105">
        <v>194383.9</v>
      </c>
      <c r="F391" s="62"/>
      <c r="M391" s="348"/>
    </row>
    <row r="392" spans="1:13">
      <c r="A392" s="229">
        <v>94118</v>
      </c>
      <c r="B392" s="229" t="s">
        <v>1109</v>
      </c>
      <c r="C392" s="105">
        <v>68053.460000000006</v>
      </c>
      <c r="F392" s="62"/>
      <c r="M392" s="348"/>
    </row>
    <row r="393" spans="1:13">
      <c r="A393" s="229">
        <v>94121</v>
      </c>
      <c r="B393" s="229" t="s">
        <v>1110</v>
      </c>
      <c r="C393" s="105">
        <v>6095981.1100000003</v>
      </c>
      <c r="F393" s="62"/>
      <c r="M393" s="348"/>
    </row>
    <row r="394" spans="1:13">
      <c r="A394" s="229">
        <v>94127</v>
      </c>
      <c r="B394" s="229" t="s">
        <v>1111</v>
      </c>
      <c r="C394" s="105">
        <v>78842.539999999994</v>
      </c>
      <c r="F394" s="62"/>
      <c r="M394" s="348"/>
    </row>
    <row r="395" spans="1:13">
      <c r="A395" s="229">
        <v>94131</v>
      </c>
      <c r="B395" s="229" t="s">
        <v>1112</v>
      </c>
      <c r="C395" s="105">
        <v>111105.76</v>
      </c>
      <c r="F395" s="62"/>
      <c r="M395" s="348"/>
    </row>
    <row r="396" spans="1:13">
      <c r="A396" s="229">
        <v>94151</v>
      </c>
      <c r="B396" s="229" t="s">
        <v>1113</v>
      </c>
      <c r="C396" s="105">
        <v>221139.94</v>
      </c>
      <c r="F396" s="62"/>
      <c r="M396" s="348"/>
    </row>
    <row r="397" spans="1:13">
      <c r="A397" s="229">
        <v>94157</v>
      </c>
      <c r="B397" s="229" t="s">
        <v>1114</v>
      </c>
      <c r="C397" s="105">
        <v>6177.25</v>
      </c>
      <c r="F397" s="62"/>
      <c r="M397" s="348"/>
    </row>
    <row r="398" spans="1:13">
      <c r="A398" s="229">
        <v>94161</v>
      </c>
      <c r="B398" s="229" t="s">
        <v>1115</v>
      </c>
      <c r="C398" s="105">
        <v>27374.38</v>
      </c>
      <c r="F398" s="62"/>
      <c r="M398" s="348"/>
    </row>
    <row r="399" spans="1:13">
      <c r="A399" s="229">
        <v>94168</v>
      </c>
      <c r="B399" s="229" t="s">
        <v>1116</v>
      </c>
      <c r="C399" s="105">
        <v>26467.71</v>
      </c>
      <c r="F399" s="62"/>
      <c r="M399" s="348"/>
    </row>
    <row r="400" spans="1:13">
      <c r="A400" s="229">
        <v>94171</v>
      </c>
      <c r="B400" s="229" t="s">
        <v>1117</v>
      </c>
      <c r="C400" s="105">
        <v>31059.79</v>
      </c>
      <c r="F400" s="62"/>
      <c r="M400" s="348"/>
    </row>
    <row r="401" spans="1:13">
      <c r="A401" s="229">
        <v>94172</v>
      </c>
      <c r="B401" s="229" t="s">
        <v>1118</v>
      </c>
      <c r="C401" s="105">
        <v>115972.98</v>
      </c>
      <c r="F401" s="62"/>
      <c r="M401" s="348"/>
    </row>
    <row r="402" spans="1:13">
      <c r="A402" s="229">
        <v>94201</v>
      </c>
      <c r="B402" s="229" t="s">
        <v>1119</v>
      </c>
      <c r="C402" s="105">
        <v>1773966.15</v>
      </c>
      <c r="F402" s="62"/>
      <c r="M402" s="348"/>
    </row>
    <row r="403" spans="1:13">
      <c r="A403" s="229">
        <v>94204</v>
      </c>
      <c r="B403" s="229" t="s">
        <v>1120</v>
      </c>
      <c r="C403" s="105">
        <v>18440.93</v>
      </c>
      <c r="F403" s="62"/>
      <c r="M403" s="348"/>
    </row>
    <row r="404" spans="1:13">
      <c r="A404" s="229">
        <v>94205</v>
      </c>
      <c r="B404" s="229" t="s">
        <v>1121</v>
      </c>
      <c r="C404" s="105">
        <v>12212.83</v>
      </c>
      <c r="F404" s="62"/>
      <c r="M404" s="348"/>
    </row>
    <row r="405" spans="1:13">
      <c r="A405" s="229">
        <v>94209</v>
      </c>
      <c r="B405" s="229" t="s">
        <v>1122</v>
      </c>
      <c r="C405" s="105">
        <v>171999.81</v>
      </c>
      <c r="F405" s="62"/>
      <c r="M405" s="348"/>
    </row>
    <row r="406" spans="1:13">
      <c r="A406" s="229">
        <v>94211</v>
      </c>
      <c r="B406" s="229" t="s">
        <v>1123</v>
      </c>
      <c r="C406" s="105">
        <v>80589.19</v>
      </c>
      <c r="F406" s="62"/>
      <c r="M406" s="348"/>
    </row>
    <row r="407" spans="1:13">
      <c r="A407" s="229">
        <v>94221</v>
      </c>
      <c r="B407" s="229" t="s">
        <v>1124</v>
      </c>
      <c r="C407" s="105">
        <v>500342.06</v>
      </c>
      <c r="F407" s="62"/>
      <c r="M407" s="348"/>
    </row>
    <row r="408" spans="1:13">
      <c r="A408" s="229">
        <v>94231</v>
      </c>
      <c r="B408" s="229" t="s">
        <v>1125</v>
      </c>
      <c r="C408" s="105">
        <v>84160.17</v>
      </c>
      <c r="F408" s="62"/>
      <c r="M408" s="348"/>
    </row>
    <row r="409" spans="1:13">
      <c r="A409" s="229">
        <v>94241</v>
      </c>
      <c r="B409" s="229" t="s">
        <v>1126</v>
      </c>
      <c r="C409" s="105">
        <v>59958.92</v>
      </c>
      <c r="F409" s="62"/>
      <c r="M409" s="348"/>
    </row>
    <row r="410" spans="1:13">
      <c r="A410" s="229">
        <v>94251</v>
      </c>
      <c r="B410" s="229" t="s">
        <v>1127</v>
      </c>
      <c r="C410" s="105">
        <v>9463.89</v>
      </c>
      <c r="F410" s="62"/>
      <c r="M410" s="348"/>
    </row>
    <row r="411" spans="1:13">
      <c r="A411" s="229">
        <v>94261</v>
      </c>
      <c r="B411" s="229" t="s">
        <v>1128</v>
      </c>
      <c r="C411" s="105">
        <v>22035.81</v>
      </c>
      <c r="F411" s="62"/>
      <c r="M411" s="348"/>
    </row>
    <row r="412" spans="1:13">
      <c r="A412" s="229">
        <v>94301</v>
      </c>
      <c r="B412" s="229" t="s">
        <v>1129</v>
      </c>
      <c r="C412" s="105">
        <v>3239941.57</v>
      </c>
      <c r="F412" s="62"/>
      <c r="M412" s="348"/>
    </row>
    <row r="413" spans="1:13">
      <c r="A413" s="229">
        <v>94311</v>
      </c>
      <c r="B413" s="229" t="s">
        <v>1130</v>
      </c>
      <c r="C413" s="105">
        <v>419427.19</v>
      </c>
      <c r="F413" s="62"/>
      <c r="M413" s="348"/>
    </row>
    <row r="414" spans="1:13">
      <c r="A414" s="229">
        <v>94313</v>
      </c>
      <c r="B414" s="229" t="s">
        <v>1131</v>
      </c>
      <c r="C414" s="105">
        <v>14861.95</v>
      </c>
      <c r="F414" s="62"/>
      <c r="M414" s="348"/>
    </row>
    <row r="415" spans="1:13">
      <c r="A415" s="229">
        <v>94317</v>
      </c>
      <c r="B415" s="229" t="s">
        <v>1132</v>
      </c>
      <c r="C415" s="105">
        <v>11140.83</v>
      </c>
      <c r="F415" s="62"/>
      <c r="M415" s="348"/>
    </row>
    <row r="416" spans="1:13">
      <c r="A416" s="229">
        <v>94321</v>
      </c>
      <c r="B416" s="229" t="s">
        <v>1133</v>
      </c>
      <c r="C416" s="105">
        <v>145358.07999999999</v>
      </c>
      <c r="F416" s="62"/>
      <c r="M416" s="348"/>
    </row>
    <row r="417" spans="1:13">
      <c r="A417" s="229">
        <v>94331</v>
      </c>
      <c r="B417" s="229" t="s">
        <v>1134</v>
      </c>
      <c r="C417" s="105">
        <v>80679.83</v>
      </c>
      <c r="F417" s="62"/>
      <c r="M417" s="348"/>
    </row>
    <row r="418" spans="1:13">
      <c r="A418" s="229">
        <v>94341</v>
      </c>
      <c r="B418" s="229" t="s">
        <v>1135</v>
      </c>
      <c r="C418" s="105">
        <v>43965.35</v>
      </c>
      <c r="F418" s="62"/>
      <c r="M418" s="348"/>
    </row>
    <row r="419" spans="1:13">
      <c r="A419" s="229">
        <v>94347</v>
      </c>
      <c r="B419" s="229" t="s">
        <v>1136</v>
      </c>
      <c r="C419" s="105">
        <v>9634.7199999999993</v>
      </c>
      <c r="F419" s="62"/>
      <c r="M419" s="348"/>
    </row>
    <row r="420" spans="1:13">
      <c r="A420" s="229">
        <v>94351</v>
      </c>
      <c r="B420" s="229" t="s">
        <v>1137</v>
      </c>
      <c r="C420" s="105">
        <v>121230.09</v>
      </c>
      <c r="F420" s="62"/>
      <c r="M420" s="348"/>
    </row>
    <row r="421" spans="1:13">
      <c r="A421" s="229">
        <v>94401</v>
      </c>
      <c r="B421" s="229" t="s">
        <v>1138</v>
      </c>
      <c r="C421" s="105">
        <v>1750399.96</v>
      </c>
      <c r="F421" s="62"/>
      <c r="M421" s="348"/>
    </row>
    <row r="422" spans="1:13">
      <c r="A422" s="229">
        <v>94403</v>
      </c>
      <c r="B422" s="229" t="s">
        <v>1140</v>
      </c>
      <c r="C422" s="105">
        <v>19099.13</v>
      </c>
      <c r="F422" s="62"/>
      <c r="M422" s="348"/>
    </row>
    <row r="423" spans="1:13">
      <c r="A423" s="229">
        <v>94408</v>
      </c>
      <c r="B423" s="229" t="s">
        <v>1141</v>
      </c>
      <c r="C423" s="105">
        <v>26973.09</v>
      </c>
      <c r="F423" s="62"/>
      <c r="M423" s="348"/>
    </row>
    <row r="424" spans="1:13">
      <c r="A424" s="229">
        <v>94411</v>
      </c>
      <c r="B424" s="229" t="s">
        <v>1142</v>
      </c>
      <c r="C424" s="105">
        <v>632538.21</v>
      </c>
      <c r="F424" s="62"/>
      <c r="M424" s="348"/>
    </row>
    <row r="425" spans="1:13">
      <c r="A425" s="229">
        <v>94412</v>
      </c>
      <c r="B425" s="229" t="s">
        <v>1143</v>
      </c>
      <c r="C425" s="105">
        <v>14756.76</v>
      </c>
      <c r="F425" s="62"/>
      <c r="M425" s="348"/>
    </row>
    <row r="426" spans="1:13">
      <c r="A426" s="229">
        <v>94421</v>
      </c>
      <c r="B426" s="229" t="s">
        <v>1144</v>
      </c>
      <c r="C426" s="105">
        <v>84715.51</v>
      </c>
      <c r="F426" s="62"/>
      <c r="M426" s="348"/>
    </row>
    <row r="427" spans="1:13">
      <c r="A427" s="229">
        <v>94427</v>
      </c>
      <c r="B427" s="229" t="s">
        <v>1145</v>
      </c>
      <c r="C427" s="105">
        <v>16735.419999999998</v>
      </c>
      <c r="F427" s="62"/>
      <c r="M427" s="348"/>
    </row>
    <row r="428" spans="1:13">
      <c r="A428" s="229">
        <v>94428</v>
      </c>
      <c r="B428" s="229" t="s">
        <v>1146</v>
      </c>
      <c r="C428" s="105">
        <v>39816.58</v>
      </c>
      <c r="F428" s="62"/>
      <c r="M428" s="348"/>
    </row>
    <row r="429" spans="1:13">
      <c r="A429" s="229">
        <v>94431</v>
      </c>
      <c r="B429" s="229" t="s">
        <v>1147</v>
      </c>
      <c r="C429" s="105">
        <v>325914.23999999999</v>
      </c>
      <c r="F429" s="62"/>
      <c r="M429" s="348"/>
    </row>
    <row r="430" spans="1:13">
      <c r="A430" s="229">
        <v>94437</v>
      </c>
      <c r="B430" s="229" t="s">
        <v>1148</v>
      </c>
      <c r="C430" s="105">
        <v>13614.41</v>
      </c>
      <c r="F430" s="62"/>
      <c r="M430" s="348"/>
    </row>
    <row r="431" spans="1:13">
      <c r="A431" s="229">
        <v>94501</v>
      </c>
      <c r="B431" s="214" t="s">
        <v>2025</v>
      </c>
      <c r="C431" s="105">
        <v>3126089.6</v>
      </c>
      <c r="F431" s="62"/>
      <c r="M431" s="348"/>
    </row>
    <row r="432" spans="1:13">
      <c r="A432" s="229">
        <v>94511</v>
      </c>
      <c r="B432" s="229" t="s">
        <v>1150</v>
      </c>
      <c r="C432" s="105">
        <v>976940.66</v>
      </c>
      <c r="F432" s="62"/>
      <c r="M432" s="348"/>
    </row>
    <row r="433" spans="1:13">
      <c r="A433" s="229">
        <v>94517</v>
      </c>
      <c r="B433" s="229" t="s">
        <v>1152</v>
      </c>
      <c r="C433" s="105">
        <v>39314.54</v>
      </c>
      <c r="F433" s="62"/>
      <c r="M433" s="348"/>
    </row>
    <row r="434" spans="1:13">
      <c r="A434" s="229">
        <v>94521</v>
      </c>
      <c r="B434" s="229" t="s">
        <v>1153</v>
      </c>
      <c r="C434" s="105">
        <v>65267.58</v>
      </c>
      <c r="F434" s="62"/>
      <c r="M434" s="348"/>
    </row>
    <row r="435" spans="1:13">
      <c r="A435" s="229">
        <v>94527</v>
      </c>
      <c r="B435" s="229" t="s">
        <v>1154</v>
      </c>
      <c r="C435" s="105">
        <v>3414.86</v>
      </c>
      <c r="F435" s="62"/>
      <c r="M435" s="348"/>
    </row>
    <row r="436" spans="1:13">
      <c r="A436" s="229">
        <v>94531</v>
      </c>
      <c r="B436" s="229" t="s">
        <v>1155</v>
      </c>
      <c r="C436" s="105">
        <v>15948.37</v>
      </c>
      <c r="F436" s="62"/>
      <c r="M436" s="348"/>
    </row>
    <row r="437" spans="1:13">
      <c r="A437" s="229">
        <v>94532</v>
      </c>
      <c r="B437" s="229" t="s">
        <v>1156</v>
      </c>
      <c r="C437" s="105">
        <v>56192.27</v>
      </c>
      <c r="F437" s="62"/>
      <c r="M437" s="348"/>
    </row>
    <row r="438" spans="1:13">
      <c r="A438" s="229">
        <v>94541</v>
      </c>
      <c r="B438" s="229" t="s">
        <v>1157</v>
      </c>
      <c r="C438" s="105">
        <v>139679.82999999999</v>
      </c>
      <c r="F438" s="62"/>
      <c r="M438" s="348"/>
    </row>
    <row r="439" spans="1:13">
      <c r="A439" s="229">
        <v>94547</v>
      </c>
      <c r="B439" s="229" t="s">
        <v>1158</v>
      </c>
      <c r="C439" s="105">
        <v>11084.4</v>
      </c>
      <c r="F439" s="62"/>
      <c r="M439" s="348"/>
    </row>
    <row r="440" spans="1:13">
      <c r="A440" s="229">
        <v>94551</v>
      </c>
      <c r="B440" s="229" t="s">
        <v>1159</v>
      </c>
      <c r="C440" s="105">
        <v>27954.14</v>
      </c>
      <c r="F440" s="62"/>
      <c r="M440" s="348"/>
    </row>
    <row r="441" spans="1:13">
      <c r="A441" s="229">
        <v>94601</v>
      </c>
      <c r="B441" s="229" t="s">
        <v>1160</v>
      </c>
      <c r="C441" s="105">
        <v>517654.13</v>
      </c>
      <c r="F441" s="62"/>
      <c r="M441" s="348"/>
    </row>
    <row r="442" spans="1:13">
      <c r="A442" s="229">
        <v>94604</v>
      </c>
      <c r="B442" s="229" t="s">
        <v>1161</v>
      </c>
      <c r="C442" s="105">
        <v>15507.61</v>
      </c>
      <c r="F442" s="62"/>
      <c r="M442" s="348"/>
    </row>
    <row r="443" spans="1:13">
      <c r="A443" s="229">
        <v>94606</v>
      </c>
      <c r="B443" s="229" t="s">
        <v>1162</v>
      </c>
      <c r="F443" s="62"/>
      <c r="M443" s="348"/>
    </row>
    <row r="444" spans="1:13">
      <c r="A444" s="229">
        <v>94611</v>
      </c>
      <c r="B444" s="229" t="s">
        <v>1163</v>
      </c>
      <c r="C444" s="105">
        <v>182000.53</v>
      </c>
      <c r="F444" s="62"/>
      <c r="M444" s="348"/>
    </row>
    <row r="445" spans="1:13">
      <c r="A445" s="229">
        <v>94621</v>
      </c>
      <c r="B445" s="229" t="s">
        <v>1164</v>
      </c>
      <c r="C445" s="105">
        <v>72451.59</v>
      </c>
      <c r="F445" s="62"/>
      <c r="M445" s="348"/>
    </row>
    <row r="446" spans="1:13">
      <c r="A446" s="229">
        <v>94631</v>
      </c>
      <c r="B446" s="229" t="s">
        <v>1165</v>
      </c>
      <c r="C446" s="105">
        <v>22253.85</v>
      </c>
      <c r="F446" s="62"/>
      <c r="M446" s="348"/>
    </row>
    <row r="447" spans="1:13">
      <c r="A447" s="229">
        <v>94641</v>
      </c>
      <c r="B447" s="229" t="s">
        <v>1166</v>
      </c>
      <c r="C447" s="105">
        <v>8021.25</v>
      </c>
      <c r="F447" s="62"/>
      <c r="M447" s="348"/>
    </row>
    <row r="448" spans="1:13">
      <c r="A448" s="229">
        <v>94701</v>
      </c>
      <c r="B448" s="229" t="s">
        <v>1167</v>
      </c>
      <c r="C448" s="105">
        <v>1308817.07</v>
      </c>
      <c r="F448" s="62"/>
      <c r="M448" s="348"/>
    </row>
    <row r="449" spans="1:13">
      <c r="A449" s="229">
        <v>94704</v>
      </c>
      <c r="B449" s="229" t="s">
        <v>1168</v>
      </c>
      <c r="C449" s="105">
        <v>9096.06</v>
      </c>
      <c r="F449" s="62"/>
      <c r="M449" s="348"/>
    </row>
    <row r="450" spans="1:13">
      <c r="A450" s="229">
        <v>94711</v>
      </c>
      <c r="B450" s="229" t="s">
        <v>1169</v>
      </c>
      <c r="C450" s="105">
        <v>187247.17</v>
      </c>
      <c r="F450" s="62"/>
      <c r="M450" s="348"/>
    </row>
    <row r="451" spans="1:13">
      <c r="A451" s="229">
        <v>94801</v>
      </c>
      <c r="B451" s="229" t="s">
        <v>1170</v>
      </c>
      <c r="C451" s="105">
        <v>366548.61</v>
      </c>
      <c r="F451" s="62"/>
      <c r="M451" s="348"/>
    </row>
    <row r="452" spans="1:13">
      <c r="A452" s="229">
        <v>94804</v>
      </c>
      <c r="B452" s="229" t="s">
        <v>1171</v>
      </c>
      <c r="C452" s="105">
        <v>3162.67</v>
      </c>
      <c r="F452" s="62"/>
      <c r="M452" s="348"/>
    </row>
    <row r="453" spans="1:13">
      <c r="A453" s="229">
        <v>94812</v>
      </c>
      <c r="B453" s="229" t="s">
        <v>1172</v>
      </c>
      <c r="C453" s="105">
        <v>21880.21</v>
      </c>
      <c r="F453" s="62"/>
      <c r="M453" s="348"/>
    </row>
    <row r="454" spans="1:13">
      <c r="A454" s="229">
        <v>94901</v>
      </c>
      <c r="B454" s="229" t="s">
        <v>1173</v>
      </c>
      <c r="C454" s="105">
        <v>3778993.09</v>
      </c>
      <c r="F454" s="62"/>
      <c r="M454" s="348"/>
    </row>
    <row r="455" spans="1:13">
      <c r="A455" s="229">
        <v>94908</v>
      </c>
      <c r="B455" s="214" t="s">
        <v>3638</v>
      </c>
      <c r="C455" s="105">
        <v>16141.53</v>
      </c>
      <c r="F455" s="62"/>
      <c r="M455" s="348"/>
    </row>
    <row r="456" spans="1:13">
      <c r="A456" s="229">
        <v>94911</v>
      </c>
      <c r="B456" s="229" t="s">
        <v>1175</v>
      </c>
      <c r="C456" s="105">
        <v>1525735.3</v>
      </c>
      <c r="F456" s="62"/>
      <c r="M456" s="348"/>
    </row>
    <row r="457" spans="1:13">
      <c r="A457" s="229">
        <v>94917</v>
      </c>
      <c r="B457" s="229" t="s">
        <v>1176</v>
      </c>
      <c r="C457" s="105">
        <v>30511.35</v>
      </c>
      <c r="F457" s="62"/>
      <c r="M457" s="348"/>
    </row>
    <row r="458" spans="1:13">
      <c r="A458" s="229">
        <v>94921</v>
      </c>
      <c r="B458" s="229" t="s">
        <v>1177</v>
      </c>
      <c r="C458" s="105">
        <v>1918754.97</v>
      </c>
      <c r="F458" s="62"/>
      <c r="M458" s="348"/>
    </row>
    <row r="459" spans="1:13">
      <c r="A459" s="229">
        <v>94923</v>
      </c>
      <c r="B459" s="229" t="s">
        <v>1178</v>
      </c>
      <c r="C459" s="105">
        <v>17339.73</v>
      </c>
      <c r="F459" s="62"/>
      <c r="M459" s="348"/>
    </row>
    <row r="460" spans="1:13">
      <c r="A460" s="229">
        <v>94927</v>
      </c>
      <c r="B460" s="229" t="s">
        <v>1179</v>
      </c>
      <c r="C460" s="105">
        <v>22103.27</v>
      </c>
      <c r="F460" s="62"/>
      <c r="M460" s="348"/>
    </row>
    <row r="461" spans="1:13">
      <c r="A461" s="229">
        <v>94931</v>
      </c>
      <c r="B461" s="229" t="s">
        <v>1180</v>
      </c>
      <c r="C461" s="105">
        <v>114081.33</v>
      </c>
      <c r="F461" s="62"/>
      <c r="M461" s="348"/>
    </row>
    <row r="462" spans="1:13">
      <c r="A462" s="229">
        <v>94937</v>
      </c>
      <c r="B462" s="229" t="s">
        <v>1933</v>
      </c>
      <c r="C462" s="105">
        <v>3727.86</v>
      </c>
      <c r="F462" s="62"/>
      <c r="M462" s="348"/>
    </row>
    <row r="463" spans="1:13">
      <c r="A463" s="229">
        <v>94941</v>
      </c>
      <c r="B463" s="229" t="s">
        <v>1181</v>
      </c>
      <c r="C463" s="105">
        <v>281477.42</v>
      </c>
      <c r="F463" s="62"/>
      <c r="M463" s="348"/>
    </row>
    <row r="464" spans="1:13">
      <c r="A464" s="229">
        <v>94947</v>
      </c>
      <c r="B464" s="229" t="s">
        <v>1934</v>
      </c>
      <c r="C464" s="105">
        <v>4724.1499999999996</v>
      </c>
      <c r="F464" s="62"/>
      <c r="M464" s="348"/>
    </row>
    <row r="465" spans="1:13">
      <c r="A465" s="229">
        <v>95001</v>
      </c>
      <c r="B465" s="229" t="s">
        <v>1182</v>
      </c>
      <c r="C465" s="105">
        <v>1334062.3400000001</v>
      </c>
      <c r="F465" s="62"/>
      <c r="M465" s="348"/>
    </row>
    <row r="466" spans="1:13">
      <c r="A466" s="229">
        <v>95002</v>
      </c>
      <c r="B466" s="229" t="s">
        <v>1183</v>
      </c>
      <c r="C466" s="105">
        <v>119638.08</v>
      </c>
      <c r="F466" s="62"/>
      <c r="M466" s="348"/>
    </row>
    <row r="467" spans="1:13">
      <c r="A467" s="229">
        <v>95005</v>
      </c>
      <c r="B467" s="229" t="s">
        <v>1184</v>
      </c>
      <c r="C467" s="105">
        <v>116417.87</v>
      </c>
      <c r="F467" s="62"/>
      <c r="M467" s="348"/>
    </row>
    <row r="468" spans="1:13">
      <c r="A468" s="229">
        <v>95008</v>
      </c>
      <c r="B468" s="229" t="s">
        <v>1185</v>
      </c>
      <c r="C468" s="105">
        <v>72497.58</v>
      </c>
      <c r="F468" s="62"/>
      <c r="M468" s="348"/>
    </row>
    <row r="469" spans="1:13">
      <c r="A469" s="229">
        <v>95009</v>
      </c>
      <c r="B469" s="229" t="s">
        <v>1186</v>
      </c>
      <c r="C469" s="105">
        <v>2029833.13</v>
      </c>
      <c r="F469" s="62"/>
      <c r="M469" s="348"/>
    </row>
    <row r="470" spans="1:13">
      <c r="A470" s="229">
        <v>95011</v>
      </c>
      <c r="B470" s="229" t="s">
        <v>1187</v>
      </c>
      <c r="C470" s="105">
        <v>97915.11</v>
      </c>
      <c r="F470" s="62"/>
      <c r="M470" s="348"/>
    </row>
    <row r="471" spans="1:13">
      <c r="A471" s="229">
        <v>95017</v>
      </c>
      <c r="B471" s="229" t="s">
        <v>1188</v>
      </c>
      <c r="C471" s="105">
        <v>21114.34</v>
      </c>
      <c r="F471" s="62"/>
      <c r="M471" s="348"/>
    </row>
    <row r="472" spans="1:13">
      <c r="A472" s="229">
        <v>95101</v>
      </c>
      <c r="B472" s="229" t="s">
        <v>1189</v>
      </c>
      <c r="C472" s="105">
        <v>4367964.8600000003</v>
      </c>
      <c r="F472" s="62"/>
      <c r="M472" s="348"/>
    </row>
    <row r="473" spans="1:13">
      <c r="A473" s="229">
        <v>95103</v>
      </c>
      <c r="B473" s="229" t="s">
        <v>1190</v>
      </c>
      <c r="C473" s="105">
        <v>35618.67</v>
      </c>
      <c r="F473" s="62"/>
      <c r="M473" s="348"/>
    </row>
    <row r="474" spans="1:13">
      <c r="A474" s="229">
        <v>95104</v>
      </c>
      <c r="B474" s="229" t="s">
        <v>1191</v>
      </c>
      <c r="C474" s="105">
        <v>78150.95</v>
      </c>
      <c r="F474" s="62"/>
      <c r="M474" s="348"/>
    </row>
    <row r="475" spans="1:13">
      <c r="A475" s="229">
        <v>95105</v>
      </c>
      <c r="B475" s="229" t="s">
        <v>1192</v>
      </c>
      <c r="C475" s="105">
        <v>39688.6</v>
      </c>
      <c r="F475" s="62"/>
      <c r="M475" s="348"/>
    </row>
    <row r="476" spans="1:13">
      <c r="A476" s="229">
        <v>95106</v>
      </c>
      <c r="B476" s="229" t="s">
        <v>1193</v>
      </c>
      <c r="C476" s="105">
        <v>8990.35</v>
      </c>
      <c r="F476" s="62"/>
      <c r="M476" s="348"/>
    </row>
    <row r="477" spans="1:13">
      <c r="A477" s="229">
        <v>95110</v>
      </c>
      <c r="B477" s="229" t="s">
        <v>1194</v>
      </c>
      <c r="C477" s="105">
        <v>1868496.58</v>
      </c>
      <c r="F477" s="62"/>
      <c r="M477" s="348"/>
    </row>
    <row r="478" spans="1:13">
      <c r="A478" s="229">
        <v>95111</v>
      </c>
      <c r="B478" s="229" t="s">
        <v>1195</v>
      </c>
      <c r="C478" s="105">
        <v>529283.68999999994</v>
      </c>
      <c r="F478" s="62"/>
      <c r="M478" s="348"/>
    </row>
    <row r="479" spans="1:13">
      <c r="A479" s="229">
        <v>95113</v>
      </c>
      <c r="B479" s="229" t="s">
        <v>1196</v>
      </c>
      <c r="C479" s="105">
        <v>80547.34</v>
      </c>
      <c r="F479" s="62"/>
      <c r="M479" s="348"/>
    </row>
    <row r="480" spans="1:13">
      <c r="A480" s="229">
        <v>95121</v>
      </c>
      <c r="B480" s="229" t="s">
        <v>1197</v>
      </c>
      <c r="C480" s="105">
        <v>251846.37</v>
      </c>
      <c r="F480" s="62"/>
      <c r="M480" s="348"/>
    </row>
    <row r="481" spans="1:13">
      <c r="A481" s="229">
        <v>95122</v>
      </c>
      <c r="B481" s="229" t="s">
        <v>1198</v>
      </c>
      <c r="C481" s="105">
        <v>9862.3799999999992</v>
      </c>
      <c r="F481" s="62"/>
      <c r="M481" s="348"/>
    </row>
    <row r="482" spans="1:13">
      <c r="A482" s="229">
        <v>95123</v>
      </c>
      <c r="B482" s="229" t="s">
        <v>1199</v>
      </c>
      <c r="C482" s="105">
        <v>29249.16</v>
      </c>
      <c r="F482" s="62"/>
      <c r="M482" s="348"/>
    </row>
    <row r="483" spans="1:13">
      <c r="A483" s="229">
        <v>95131</v>
      </c>
      <c r="B483" s="229" t="s">
        <v>1200</v>
      </c>
      <c r="C483" s="105">
        <v>924241.19</v>
      </c>
      <c r="F483" s="62"/>
      <c r="M483" s="348"/>
    </row>
    <row r="484" spans="1:13">
      <c r="A484" s="229">
        <v>95141</v>
      </c>
      <c r="B484" s="229" t="s">
        <v>1201</v>
      </c>
      <c r="C484" s="105">
        <v>176830.05</v>
      </c>
      <c r="F484" s="62"/>
      <c r="M484" s="348"/>
    </row>
    <row r="485" spans="1:13">
      <c r="A485" s="229">
        <v>95151</v>
      </c>
      <c r="B485" s="229" t="s">
        <v>1202</v>
      </c>
      <c r="C485" s="105">
        <v>56199.7</v>
      </c>
      <c r="F485" s="62"/>
      <c r="M485" s="348"/>
    </row>
    <row r="486" spans="1:13">
      <c r="A486" s="229">
        <v>95161</v>
      </c>
      <c r="B486" s="229" t="s">
        <v>1203</v>
      </c>
      <c r="C486" s="105">
        <v>41952.11</v>
      </c>
      <c r="F486" s="62"/>
      <c r="M486" s="348"/>
    </row>
    <row r="487" spans="1:13">
      <c r="A487" s="229">
        <v>95171</v>
      </c>
      <c r="B487" s="229" t="s">
        <v>1204</v>
      </c>
      <c r="C487" s="105">
        <v>60797.65</v>
      </c>
      <c r="F487" s="62"/>
      <c r="M487" s="348"/>
    </row>
    <row r="488" spans="1:13">
      <c r="A488" s="229">
        <v>95181</v>
      </c>
      <c r="B488" s="229" t="s">
        <v>1205</v>
      </c>
      <c r="C488" s="105">
        <v>35456.300000000003</v>
      </c>
      <c r="F488" s="62"/>
      <c r="M488" s="348"/>
    </row>
    <row r="489" spans="1:13">
      <c r="A489" s="229">
        <v>95191</v>
      </c>
      <c r="B489" s="229" t="s">
        <v>1206</v>
      </c>
      <c r="C489" s="105">
        <v>46287.75</v>
      </c>
      <c r="F489" s="62"/>
      <c r="M489" s="348"/>
    </row>
    <row r="490" spans="1:13">
      <c r="A490" s="229">
        <v>95201</v>
      </c>
      <c r="B490" s="229" t="s">
        <v>1207</v>
      </c>
      <c r="C490" s="105">
        <v>346949.91</v>
      </c>
      <c r="F490" s="62"/>
      <c r="M490" s="348"/>
    </row>
    <row r="491" spans="1:13">
      <c r="A491" s="229">
        <v>95204</v>
      </c>
      <c r="B491" s="229" t="s">
        <v>1208</v>
      </c>
      <c r="C491" s="105">
        <v>5885.4</v>
      </c>
      <c r="F491" s="62"/>
      <c r="M491" s="348"/>
    </row>
    <row r="492" spans="1:13">
      <c r="A492" s="229">
        <v>95205</v>
      </c>
      <c r="B492" s="229" t="s">
        <v>1209</v>
      </c>
      <c r="C492" s="105">
        <v>2624.79</v>
      </c>
      <c r="F492" s="62"/>
      <c r="M492" s="348"/>
    </row>
    <row r="493" spans="1:13">
      <c r="A493" s="229">
        <v>95211</v>
      </c>
      <c r="B493" s="229" t="s">
        <v>1210</v>
      </c>
      <c r="C493" s="105">
        <v>3206.18</v>
      </c>
      <c r="F493" s="62"/>
      <c r="M493" s="348"/>
    </row>
    <row r="494" spans="1:13">
      <c r="A494" s="229">
        <v>95221</v>
      </c>
      <c r="B494" s="229" t="s">
        <v>1211</v>
      </c>
      <c r="C494" s="105">
        <v>23396.71</v>
      </c>
      <c r="F494" s="62"/>
      <c r="M494" s="348"/>
    </row>
    <row r="495" spans="1:13">
      <c r="A495" s="229">
        <v>95301</v>
      </c>
      <c r="B495" s="229" t="s">
        <v>1212</v>
      </c>
      <c r="C495" s="105">
        <v>1223993.3400000001</v>
      </c>
      <c r="F495" s="62"/>
      <c r="M495" s="348"/>
    </row>
    <row r="496" spans="1:13">
      <c r="A496" s="229">
        <v>95311</v>
      </c>
      <c r="B496" s="229" t="s">
        <v>1213</v>
      </c>
      <c r="C496" s="105">
        <v>1417794.66</v>
      </c>
      <c r="F496" s="62"/>
      <c r="M496" s="348"/>
    </row>
    <row r="497" spans="1:13">
      <c r="A497" s="229">
        <v>95317</v>
      </c>
      <c r="B497" s="229" t="s">
        <v>1214</v>
      </c>
      <c r="C497" s="105">
        <v>30162.59</v>
      </c>
      <c r="F497" s="62"/>
      <c r="M497" s="348"/>
    </row>
    <row r="498" spans="1:13">
      <c r="A498" s="229">
        <v>95321</v>
      </c>
      <c r="B498" s="229" t="s">
        <v>1215</v>
      </c>
      <c r="C498" s="105">
        <v>30408.560000000001</v>
      </c>
      <c r="F498" s="62"/>
      <c r="M498" s="348"/>
    </row>
    <row r="499" spans="1:13">
      <c r="A499" s="229">
        <v>95401</v>
      </c>
      <c r="B499" s="229" t="s">
        <v>1216</v>
      </c>
      <c r="C499" s="105">
        <v>1502831.29</v>
      </c>
      <c r="F499" s="62"/>
      <c r="M499" s="348"/>
    </row>
    <row r="500" spans="1:13">
      <c r="A500" s="229">
        <v>95404</v>
      </c>
      <c r="B500" s="229" t="s">
        <v>1217</v>
      </c>
      <c r="C500" s="105">
        <v>24185.22</v>
      </c>
      <c r="F500" s="62"/>
      <c r="M500" s="348"/>
    </row>
    <row r="501" spans="1:13">
      <c r="A501" s="229">
        <v>95405</v>
      </c>
      <c r="B501" s="229" t="s">
        <v>1218</v>
      </c>
      <c r="C501" s="105">
        <v>19182.87</v>
      </c>
      <c r="F501" s="62"/>
      <c r="M501" s="348"/>
    </row>
    <row r="502" spans="1:13">
      <c r="A502" s="229">
        <v>95411</v>
      </c>
      <c r="B502" s="229" t="s">
        <v>1219</v>
      </c>
      <c r="C502" s="105">
        <v>1143335.5900000001</v>
      </c>
      <c r="F502" s="62"/>
      <c r="M502" s="348"/>
    </row>
    <row r="503" spans="1:13">
      <c r="A503" s="229">
        <v>95413</v>
      </c>
      <c r="B503" s="229" t="s">
        <v>1221</v>
      </c>
      <c r="C503" s="105">
        <v>137022.91</v>
      </c>
      <c r="F503" s="62"/>
      <c r="M503" s="348"/>
    </row>
    <row r="504" spans="1:13">
      <c r="A504" s="229">
        <v>95415</v>
      </c>
      <c r="B504" s="229" t="s">
        <v>1222</v>
      </c>
      <c r="C504" s="105">
        <v>32316.3</v>
      </c>
      <c r="F504" s="62"/>
      <c r="M504" s="348"/>
    </row>
    <row r="505" spans="1:13">
      <c r="A505" s="229">
        <v>95421</v>
      </c>
      <c r="B505" s="229" t="s">
        <v>1223</v>
      </c>
      <c r="C505" s="105">
        <v>21571.33</v>
      </c>
      <c r="F505" s="62"/>
      <c r="M505" s="348"/>
    </row>
    <row r="506" spans="1:13">
      <c r="A506" s="229">
        <v>95431</v>
      </c>
      <c r="B506" s="229" t="s">
        <v>1224</v>
      </c>
      <c r="C506" s="105">
        <v>69044.070000000007</v>
      </c>
      <c r="F506" s="62"/>
      <c r="M506" s="348"/>
    </row>
    <row r="507" spans="1:13">
      <c r="A507" s="229">
        <v>95501</v>
      </c>
      <c r="B507" s="229" t="s">
        <v>1225</v>
      </c>
      <c r="C507" s="105">
        <v>2654863.9300000002</v>
      </c>
      <c r="F507" s="62"/>
      <c r="M507" s="348"/>
    </row>
    <row r="508" spans="1:13">
      <c r="A508" s="229">
        <v>95504</v>
      </c>
      <c r="B508" s="229" t="s">
        <v>1226</v>
      </c>
      <c r="C508" s="105">
        <v>15268.96</v>
      </c>
      <c r="F508" s="62"/>
      <c r="M508" s="348"/>
    </row>
    <row r="509" spans="1:13">
      <c r="A509" s="229">
        <v>95511</v>
      </c>
      <c r="B509" s="229" t="s">
        <v>1227</v>
      </c>
      <c r="C509" s="105">
        <v>550402.27</v>
      </c>
      <c r="F509" s="62"/>
      <c r="M509" s="348"/>
    </row>
    <row r="510" spans="1:13">
      <c r="A510" s="229">
        <v>95513</v>
      </c>
      <c r="B510" s="229" t="s">
        <v>1228</v>
      </c>
      <c r="C510" s="105">
        <v>35024.910000000003</v>
      </c>
      <c r="F510" s="62"/>
      <c r="M510" s="348"/>
    </row>
    <row r="511" spans="1:13">
      <c r="A511" s="229">
        <v>95517</v>
      </c>
      <c r="B511" s="229" t="s">
        <v>1229</v>
      </c>
      <c r="C511" s="105">
        <v>10129.99</v>
      </c>
      <c r="F511" s="62"/>
      <c r="M511" s="348"/>
    </row>
    <row r="512" spans="1:13">
      <c r="A512" s="229">
        <v>95601</v>
      </c>
      <c r="B512" s="229" t="s">
        <v>1230</v>
      </c>
      <c r="C512" s="105">
        <v>1296850.42</v>
      </c>
      <c r="F512" s="62"/>
      <c r="M512" s="348"/>
    </row>
    <row r="513" spans="1:13">
      <c r="A513" s="229">
        <v>95611</v>
      </c>
      <c r="B513" s="229" t="s">
        <v>1231</v>
      </c>
      <c r="C513" s="105">
        <v>210213.02</v>
      </c>
      <c r="F513" s="62"/>
      <c r="M513" s="348"/>
    </row>
    <row r="514" spans="1:13">
      <c r="A514" s="229">
        <v>95617</v>
      </c>
      <c r="B514" s="229" t="s">
        <v>1232</v>
      </c>
      <c r="C514" s="105">
        <v>9404.7999999999993</v>
      </c>
      <c r="F514" s="62"/>
      <c r="M514" s="348"/>
    </row>
    <row r="515" spans="1:13">
      <c r="A515" s="229">
        <v>95621</v>
      </c>
      <c r="B515" s="229" t="s">
        <v>1233</v>
      </c>
      <c r="C515" s="105">
        <v>249183.18</v>
      </c>
      <c r="F515" s="62"/>
      <c r="M515" s="348"/>
    </row>
    <row r="516" spans="1:13">
      <c r="A516" s="229">
        <v>95701</v>
      </c>
      <c r="B516" s="229" t="s">
        <v>1234</v>
      </c>
      <c r="C516" s="105">
        <v>621911.68000000005</v>
      </c>
      <c r="F516" s="62"/>
      <c r="M516" s="348"/>
    </row>
    <row r="517" spans="1:13">
      <c r="A517" s="229">
        <v>95711</v>
      </c>
      <c r="B517" s="229" t="s">
        <v>1235</v>
      </c>
      <c r="C517" s="105">
        <v>67222.19</v>
      </c>
      <c r="F517" s="62"/>
      <c r="M517" s="348"/>
    </row>
    <row r="518" spans="1:13">
      <c r="A518" s="229">
        <v>95721</v>
      </c>
      <c r="B518" s="229" t="s">
        <v>1236</v>
      </c>
      <c r="C518" s="105">
        <v>32958.31</v>
      </c>
      <c r="F518" s="62"/>
      <c r="M518" s="348"/>
    </row>
    <row r="519" spans="1:13">
      <c r="A519" s="229">
        <v>95733</v>
      </c>
      <c r="B519" s="229" t="s">
        <v>1237</v>
      </c>
      <c r="C519" s="105">
        <v>7777.11</v>
      </c>
      <c r="F519" s="62"/>
      <c r="M519" s="348"/>
    </row>
    <row r="520" spans="1:13">
      <c r="A520" s="229">
        <v>95801</v>
      </c>
      <c r="B520" s="229" t="s">
        <v>1238</v>
      </c>
      <c r="C520" s="105">
        <v>525070.02</v>
      </c>
      <c r="F520" s="62"/>
      <c r="M520" s="348"/>
    </row>
    <row r="521" spans="1:13">
      <c r="A521" s="229">
        <v>95802</v>
      </c>
      <c r="B521" s="229" t="s">
        <v>1239</v>
      </c>
      <c r="C521" s="105">
        <v>6018.25</v>
      </c>
      <c r="F521" s="62"/>
      <c r="M521" s="348"/>
    </row>
    <row r="522" spans="1:13">
      <c r="A522" s="229">
        <v>95804</v>
      </c>
      <c r="B522" s="229" t="s">
        <v>1240</v>
      </c>
      <c r="C522" s="105">
        <v>10226.129999999999</v>
      </c>
      <c r="F522" s="62"/>
      <c r="M522" s="348"/>
    </row>
    <row r="523" spans="1:13">
      <c r="A523" s="229">
        <v>95811</v>
      </c>
      <c r="B523" s="229" t="s">
        <v>1241</v>
      </c>
      <c r="C523" s="105">
        <v>280162.51</v>
      </c>
      <c r="F523" s="62"/>
      <c r="M523" s="348"/>
    </row>
    <row r="524" spans="1:13">
      <c r="A524" s="229">
        <v>95813</v>
      </c>
      <c r="B524" s="229" t="s">
        <v>1242</v>
      </c>
      <c r="C524" s="105">
        <v>62736.36</v>
      </c>
      <c r="F524" s="62"/>
      <c r="M524" s="348"/>
    </row>
    <row r="525" spans="1:13">
      <c r="A525" s="229">
        <v>95821</v>
      </c>
      <c r="B525" s="229" t="s">
        <v>1243</v>
      </c>
      <c r="C525" s="105">
        <v>2663.96</v>
      </c>
      <c r="F525" s="62"/>
      <c r="M525" s="348"/>
    </row>
    <row r="526" spans="1:13">
      <c r="A526" s="229">
        <v>95831</v>
      </c>
      <c r="B526" s="229" t="s">
        <v>1244</v>
      </c>
      <c r="C526" s="105">
        <v>15426.48</v>
      </c>
      <c r="F526" s="62"/>
      <c r="M526" s="348"/>
    </row>
    <row r="527" spans="1:13">
      <c r="A527" s="229">
        <v>95841</v>
      </c>
      <c r="B527" s="229" t="s">
        <v>1245</v>
      </c>
      <c r="C527" s="105">
        <v>12462.81</v>
      </c>
      <c r="F527" s="62"/>
      <c r="M527" s="348"/>
    </row>
    <row r="528" spans="1:13">
      <c r="A528" s="229">
        <v>95851</v>
      </c>
      <c r="B528" s="229" t="s">
        <v>1246</v>
      </c>
      <c r="C528" s="105">
        <v>140981.32999999999</v>
      </c>
      <c r="F528" s="62"/>
      <c r="M528" s="348"/>
    </row>
    <row r="529" spans="1:13">
      <c r="A529" s="229">
        <v>95853</v>
      </c>
      <c r="B529" s="229" t="s">
        <v>1247</v>
      </c>
      <c r="C529" s="105">
        <v>16338.43</v>
      </c>
      <c r="F529" s="62"/>
      <c r="M529" s="348"/>
    </row>
    <row r="530" spans="1:13">
      <c r="A530" s="229">
        <v>95901</v>
      </c>
      <c r="B530" s="229" t="s">
        <v>1248</v>
      </c>
      <c r="C530" s="105">
        <v>967578.94</v>
      </c>
      <c r="F530" s="62"/>
      <c r="M530" s="348"/>
    </row>
    <row r="531" spans="1:13">
      <c r="A531" s="229">
        <v>95908</v>
      </c>
      <c r="B531" s="229" t="s">
        <v>1249</v>
      </c>
      <c r="C531" s="105">
        <v>29379.15</v>
      </c>
      <c r="F531" s="62"/>
      <c r="M531" s="348"/>
    </row>
    <row r="532" spans="1:13">
      <c r="A532" s="229">
        <v>95911</v>
      </c>
      <c r="B532" s="229" t="s">
        <v>1250</v>
      </c>
      <c r="C532" s="105">
        <v>282029.78000000003</v>
      </c>
      <c r="F532" s="62"/>
      <c r="M532" s="348"/>
    </row>
    <row r="533" spans="1:13">
      <c r="A533" s="229">
        <v>95917</v>
      </c>
      <c r="B533" s="229" t="s">
        <v>1251</v>
      </c>
      <c r="C533" s="105">
        <v>12484.48</v>
      </c>
      <c r="F533" s="62"/>
      <c r="M533" s="348"/>
    </row>
    <row r="534" spans="1:13">
      <c r="A534" s="229">
        <v>95921</v>
      </c>
      <c r="B534" s="229" t="s">
        <v>1252</v>
      </c>
      <c r="C534" s="105">
        <v>29858.92</v>
      </c>
      <c r="F534" s="62"/>
      <c r="M534" s="348"/>
    </row>
    <row r="535" spans="1:13">
      <c r="A535" s="229">
        <v>96001</v>
      </c>
      <c r="B535" s="229" t="s">
        <v>1253</v>
      </c>
      <c r="C535" s="105">
        <v>23157786.77</v>
      </c>
      <c r="F535" s="62"/>
      <c r="M535" s="348"/>
    </row>
    <row r="536" spans="1:13">
      <c r="A536" s="229">
        <v>96003</v>
      </c>
      <c r="B536" s="229" t="s">
        <v>1254</v>
      </c>
      <c r="C536" s="105">
        <v>884055.93</v>
      </c>
      <c r="F536" s="62"/>
      <c r="M536" s="348"/>
    </row>
    <row r="537" spans="1:13">
      <c r="A537" s="229">
        <v>96004</v>
      </c>
      <c r="B537" s="229" t="s">
        <v>1255</v>
      </c>
      <c r="C537" s="105">
        <v>547641.63</v>
      </c>
      <c r="F537" s="62"/>
      <c r="M537" s="348"/>
    </row>
    <row r="538" spans="1:13">
      <c r="A538" s="229">
        <v>96005</v>
      </c>
      <c r="B538" s="229" t="s">
        <v>1256</v>
      </c>
      <c r="C538" s="105">
        <v>1353903.59</v>
      </c>
      <c r="F538" s="62"/>
      <c r="M538" s="348"/>
    </row>
    <row r="539" spans="1:13">
      <c r="A539" s="229">
        <v>96008</v>
      </c>
      <c r="B539" s="229" t="s">
        <v>1257</v>
      </c>
      <c r="C539" s="105">
        <v>2498363.63</v>
      </c>
      <c r="F539" s="62"/>
      <c r="M539" s="348"/>
    </row>
    <row r="540" spans="1:13">
      <c r="A540" s="229">
        <v>96009</v>
      </c>
      <c r="B540" s="229" t="s">
        <v>1258</v>
      </c>
      <c r="C540" s="105">
        <v>212749.71</v>
      </c>
      <c r="F540" s="62"/>
      <c r="M540" s="348"/>
    </row>
    <row r="541" spans="1:13">
      <c r="A541" s="229">
        <v>96011</v>
      </c>
      <c r="B541" s="229" t="s">
        <v>1259</v>
      </c>
      <c r="C541" s="105">
        <v>33715331.130000003</v>
      </c>
      <c r="F541" s="62"/>
      <c r="M541" s="348"/>
    </row>
    <row r="542" spans="1:13">
      <c r="A542" s="229">
        <v>96012</v>
      </c>
      <c r="B542" s="229" t="s">
        <v>1260</v>
      </c>
      <c r="C542" s="105">
        <v>1317958.1000000001</v>
      </c>
      <c r="F542" s="62"/>
      <c r="M542" s="348"/>
    </row>
    <row r="543" spans="1:13">
      <c r="A543" s="229">
        <v>96018</v>
      </c>
      <c r="B543" s="229" t="s">
        <v>1261</v>
      </c>
      <c r="C543" s="105">
        <v>18528.07</v>
      </c>
      <c r="F543" s="62"/>
      <c r="M543" s="348"/>
    </row>
    <row r="544" spans="1:13">
      <c r="A544" s="229">
        <v>96021</v>
      </c>
      <c r="B544" s="229" t="s">
        <v>1262</v>
      </c>
      <c r="C544" s="105">
        <v>379841.01</v>
      </c>
      <c r="F544" s="62"/>
      <c r="M544" s="348"/>
    </row>
    <row r="545" spans="1:13">
      <c r="A545" s="229">
        <v>96031</v>
      </c>
      <c r="B545" s="229" t="s">
        <v>1263</v>
      </c>
      <c r="C545" s="105">
        <v>394183.36</v>
      </c>
      <c r="F545" s="62"/>
      <c r="M545" s="348"/>
    </row>
    <row r="546" spans="1:13">
      <c r="A546" s="229">
        <v>96041</v>
      </c>
      <c r="B546" s="229" t="s">
        <v>1264</v>
      </c>
      <c r="C546" s="105">
        <v>888201.47</v>
      </c>
      <c r="F546" s="62"/>
      <c r="M546" s="348"/>
    </row>
    <row r="547" spans="1:13">
      <c r="A547" s="229">
        <v>96051</v>
      </c>
      <c r="B547" s="229" t="s">
        <v>1265</v>
      </c>
      <c r="C547" s="105">
        <v>472545.74</v>
      </c>
      <c r="F547" s="62"/>
      <c r="M547" s="348"/>
    </row>
    <row r="548" spans="1:13">
      <c r="A548" s="229">
        <v>96061</v>
      </c>
      <c r="B548" s="229" t="s">
        <v>1266</v>
      </c>
      <c r="C548" s="105">
        <v>177363.46</v>
      </c>
      <c r="F548" s="62"/>
      <c r="M548" s="348"/>
    </row>
    <row r="549" spans="1:13">
      <c r="A549" s="229">
        <v>96071</v>
      </c>
      <c r="B549" s="229" t="s">
        <v>1267</v>
      </c>
      <c r="C549" s="105">
        <v>714369.61</v>
      </c>
      <c r="F549" s="62"/>
      <c r="M549" s="348"/>
    </row>
    <row r="550" spans="1:13">
      <c r="A550" s="229">
        <v>96081</v>
      </c>
      <c r="B550" s="229" t="s">
        <v>1268</v>
      </c>
      <c r="C550" s="105">
        <v>270137.93</v>
      </c>
      <c r="F550" s="62"/>
      <c r="M550" s="348"/>
    </row>
    <row r="551" spans="1:13">
      <c r="A551" s="229">
        <v>96101</v>
      </c>
      <c r="B551" s="229" t="s">
        <v>1269</v>
      </c>
      <c r="C551" s="105">
        <v>382092.66</v>
      </c>
      <c r="F551" s="62"/>
      <c r="M551" s="348"/>
    </row>
    <row r="552" spans="1:13">
      <c r="A552" s="229">
        <v>96102</v>
      </c>
      <c r="B552" s="229" t="s">
        <v>1270</v>
      </c>
      <c r="C552" s="105">
        <v>5415.94</v>
      </c>
      <c r="F552" s="62"/>
      <c r="M552" s="348"/>
    </row>
    <row r="553" spans="1:13">
      <c r="A553" s="229">
        <v>96111</v>
      </c>
      <c r="B553" s="229" t="s">
        <v>1271</v>
      </c>
      <c r="C553" s="105">
        <v>94508.97</v>
      </c>
      <c r="F553" s="62"/>
      <c r="M553" s="348"/>
    </row>
    <row r="554" spans="1:13">
      <c r="A554" s="229">
        <v>96121</v>
      </c>
      <c r="B554" s="229" t="s">
        <v>1272</v>
      </c>
      <c r="C554" s="105">
        <v>10535.27</v>
      </c>
      <c r="F554" s="62"/>
      <c r="M554" s="348"/>
    </row>
    <row r="555" spans="1:13">
      <c r="A555" s="229">
        <v>96201</v>
      </c>
      <c r="B555" s="229" t="s">
        <v>1273</v>
      </c>
      <c r="C555" s="105">
        <v>572083.99</v>
      </c>
      <c r="F555" s="62"/>
      <c r="M555" s="348"/>
    </row>
    <row r="556" spans="1:13">
      <c r="A556" s="229">
        <v>96204</v>
      </c>
      <c r="B556" s="229" t="s">
        <v>1274</v>
      </c>
      <c r="C556" s="105">
        <v>10681.13</v>
      </c>
      <c r="F556" s="62"/>
      <c r="M556" s="348"/>
    </row>
    <row r="557" spans="1:13">
      <c r="A557" s="229">
        <v>96211</v>
      </c>
      <c r="B557" s="229" t="s">
        <v>1275</v>
      </c>
      <c r="C557" s="105">
        <v>18137.73</v>
      </c>
      <c r="F557" s="62"/>
      <c r="M557" s="348"/>
    </row>
    <row r="558" spans="1:13">
      <c r="A558" s="229">
        <v>96221</v>
      </c>
      <c r="B558" s="229" t="s">
        <v>1276</v>
      </c>
      <c r="C558" s="105">
        <v>106685.32</v>
      </c>
      <c r="F558" s="62"/>
      <c r="M558" s="348"/>
    </row>
    <row r="559" spans="1:13">
      <c r="A559" s="229">
        <v>96231</v>
      </c>
      <c r="B559" s="229" t="s">
        <v>1277</v>
      </c>
      <c r="C559" s="105">
        <v>52111.32</v>
      </c>
      <c r="F559" s="62"/>
      <c r="M559" s="348"/>
    </row>
    <row r="560" spans="1:13">
      <c r="A560" s="229">
        <v>96241</v>
      </c>
      <c r="B560" s="229" t="s">
        <v>1278</v>
      </c>
      <c r="C560" s="105">
        <v>27329.8</v>
      </c>
      <c r="F560" s="62"/>
      <c r="M560" s="348"/>
    </row>
    <row r="561" spans="1:13">
      <c r="A561" s="229">
        <v>96251</v>
      </c>
      <c r="B561" s="229" t="s">
        <v>1279</v>
      </c>
      <c r="C561" s="105">
        <v>43730.29</v>
      </c>
      <c r="F561" s="62"/>
      <c r="M561" s="348"/>
    </row>
    <row r="562" spans="1:13">
      <c r="A562" s="229">
        <v>96301</v>
      </c>
      <c r="B562" s="229" t="s">
        <v>1280</v>
      </c>
      <c r="C562" s="105">
        <v>2405174.9</v>
      </c>
      <c r="F562" s="62"/>
      <c r="M562" s="348"/>
    </row>
    <row r="563" spans="1:13">
      <c r="A563" s="229">
        <v>96302</v>
      </c>
      <c r="B563" s="229" t="s">
        <v>1281</v>
      </c>
      <c r="C563" s="105">
        <v>14739.66</v>
      </c>
      <c r="F563" s="62"/>
      <c r="M563" s="348"/>
    </row>
    <row r="564" spans="1:13">
      <c r="A564" s="229">
        <v>96304</v>
      </c>
      <c r="B564" s="229" t="s">
        <v>1282</v>
      </c>
      <c r="C564" s="105">
        <v>31357.46</v>
      </c>
      <c r="F564" s="62"/>
      <c r="M564" s="348"/>
    </row>
    <row r="565" spans="1:13">
      <c r="A565" s="229">
        <v>96305</v>
      </c>
      <c r="B565" s="229" t="s">
        <v>1283</v>
      </c>
      <c r="C565" s="105">
        <v>30657.06</v>
      </c>
      <c r="F565" s="62"/>
      <c r="M565" s="348"/>
    </row>
    <row r="566" spans="1:13">
      <c r="A566" s="229">
        <v>96310</v>
      </c>
      <c r="B566" s="229" t="s">
        <v>1284</v>
      </c>
      <c r="C566" s="105">
        <v>28567.53</v>
      </c>
      <c r="F566" s="62"/>
      <c r="M566" s="348"/>
    </row>
    <row r="567" spans="1:13">
      <c r="A567" s="229">
        <v>96311</v>
      </c>
      <c r="B567" s="229" t="s">
        <v>1285</v>
      </c>
      <c r="C567" s="105">
        <v>663857.11</v>
      </c>
      <c r="F567" s="62"/>
      <c r="M567" s="348"/>
    </row>
    <row r="568" spans="1:13">
      <c r="A568" s="229">
        <v>96312</v>
      </c>
      <c r="B568" s="229" t="s">
        <v>1286</v>
      </c>
      <c r="C568" s="105">
        <v>3369.29</v>
      </c>
      <c r="F568" s="62"/>
      <c r="M568" s="348"/>
    </row>
    <row r="569" spans="1:13">
      <c r="A569" s="229">
        <v>96318</v>
      </c>
      <c r="B569" s="229" t="s">
        <v>1287</v>
      </c>
      <c r="C569" s="105">
        <v>1322106.74</v>
      </c>
      <c r="F569" s="62"/>
      <c r="M569" s="348"/>
    </row>
    <row r="570" spans="1:13">
      <c r="A570" s="229">
        <v>96321</v>
      </c>
      <c r="B570" s="229" t="s">
        <v>1288</v>
      </c>
      <c r="C570" s="105">
        <v>20461.060000000001</v>
      </c>
      <c r="F570" s="62"/>
      <c r="M570" s="348"/>
    </row>
    <row r="571" spans="1:13">
      <c r="A571" s="229">
        <v>96331</v>
      </c>
      <c r="B571" s="229" t="s">
        <v>1289</v>
      </c>
      <c r="C571" s="105">
        <v>345366.52</v>
      </c>
      <c r="F571" s="62"/>
      <c r="M571" s="348"/>
    </row>
    <row r="572" spans="1:13">
      <c r="A572" s="229">
        <v>96341</v>
      </c>
      <c r="B572" s="229" t="s">
        <v>1290</v>
      </c>
      <c r="C572" s="105">
        <v>39947.449999999997</v>
      </c>
      <c r="F572" s="62"/>
      <c r="M572" s="348"/>
    </row>
    <row r="573" spans="1:13">
      <c r="A573" s="229">
        <v>96351</v>
      </c>
      <c r="B573" s="229" t="s">
        <v>1291</v>
      </c>
      <c r="C573" s="105">
        <v>542365.87</v>
      </c>
      <c r="F573" s="62"/>
      <c r="M573" s="348"/>
    </row>
    <row r="574" spans="1:13">
      <c r="A574" s="229">
        <v>96361</v>
      </c>
      <c r="B574" s="229" t="s">
        <v>1292</v>
      </c>
      <c r="C574" s="105">
        <v>24978.34</v>
      </c>
      <c r="F574" s="62"/>
      <c r="M574" s="348"/>
    </row>
    <row r="575" spans="1:13">
      <c r="A575" s="229">
        <v>96371</v>
      </c>
      <c r="B575" s="229" t="s">
        <v>1293</v>
      </c>
      <c r="C575" s="105">
        <v>79261.78</v>
      </c>
      <c r="F575" s="62"/>
      <c r="M575" s="348"/>
    </row>
    <row r="576" spans="1:13">
      <c r="A576" s="229">
        <v>96381</v>
      </c>
      <c r="B576" s="229" t="s">
        <v>1294</v>
      </c>
      <c r="C576" s="105">
        <v>17491.009999999998</v>
      </c>
      <c r="F576" s="62"/>
      <c r="M576" s="348"/>
    </row>
    <row r="577" spans="1:13">
      <c r="A577" s="229">
        <v>96391</v>
      </c>
      <c r="B577" s="229" t="s">
        <v>1295</v>
      </c>
      <c r="C577" s="105">
        <v>88368.9</v>
      </c>
      <c r="F577" s="62"/>
      <c r="M577" s="348"/>
    </row>
    <row r="578" spans="1:13">
      <c r="A578" s="229">
        <v>96401</v>
      </c>
      <c r="B578" s="229" t="s">
        <v>1296</v>
      </c>
      <c r="C578" s="105">
        <v>2342959.77</v>
      </c>
      <c r="F578" s="62"/>
      <c r="M578" s="348"/>
    </row>
    <row r="579" spans="1:13">
      <c r="A579" s="229">
        <v>96404</v>
      </c>
      <c r="B579" s="229" t="s">
        <v>1297</v>
      </c>
      <c r="C579" s="105">
        <v>67522.3</v>
      </c>
      <c r="F579" s="62"/>
      <c r="M579" s="348"/>
    </row>
    <row r="580" spans="1:13">
      <c r="A580" s="229">
        <v>96405</v>
      </c>
      <c r="B580" s="229" t="s">
        <v>1298</v>
      </c>
      <c r="C580" s="105">
        <v>94249.49</v>
      </c>
      <c r="F580" s="62"/>
      <c r="M580" s="348"/>
    </row>
    <row r="581" spans="1:13">
      <c r="A581" s="229">
        <v>96411</v>
      </c>
      <c r="B581" s="229" t="s">
        <v>1299</v>
      </c>
      <c r="C581" s="105">
        <v>34708.199999999997</v>
      </c>
      <c r="F581" s="62"/>
      <c r="M581" s="348"/>
    </row>
    <row r="582" spans="1:13">
      <c r="A582" s="229">
        <v>96421</v>
      </c>
      <c r="B582" s="229" t="s">
        <v>1300</v>
      </c>
      <c r="C582" s="105">
        <v>180831.57</v>
      </c>
      <c r="F582" s="62"/>
      <c r="M582" s="348"/>
    </row>
    <row r="583" spans="1:13">
      <c r="A583" s="229">
        <v>96431</v>
      </c>
      <c r="B583" s="229" t="s">
        <v>1301</v>
      </c>
      <c r="C583" s="105">
        <v>24442.02</v>
      </c>
      <c r="F583" s="62"/>
      <c r="M583" s="348"/>
    </row>
    <row r="584" spans="1:13">
      <c r="A584" s="229">
        <v>96441</v>
      </c>
      <c r="B584" s="229" t="s">
        <v>1302</v>
      </c>
      <c r="C584" s="105">
        <v>14878.04</v>
      </c>
      <c r="F584" s="62"/>
      <c r="M584" s="348"/>
    </row>
    <row r="585" spans="1:13">
      <c r="A585" s="229">
        <v>96451</v>
      </c>
      <c r="B585" s="229" t="s">
        <v>1303</v>
      </c>
      <c r="C585" s="105">
        <v>8090.47</v>
      </c>
      <c r="F585" s="62"/>
      <c r="M585" s="348"/>
    </row>
    <row r="586" spans="1:13">
      <c r="A586" s="229">
        <v>96461</v>
      </c>
      <c r="B586" s="229" t="s">
        <v>1304</v>
      </c>
      <c r="C586" s="105">
        <v>64279.5</v>
      </c>
      <c r="F586" s="62"/>
      <c r="M586" s="348"/>
    </row>
    <row r="587" spans="1:13">
      <c r="A587" s="229">
        <v>96501</v>
      </c>
      <c r="B587" s="229" t="s">
        <v>1305</v>
      </c>
      <c r="C587" s="105">
        <v>7712694.7999999998</v>
      </c>
      <c r="F587" s="62"/>
      <c r="M587" s="348"/>
    </row>
    <row r="588" spans="1:13">
      <c r="A588" s="229">
        <v>96502</v>
      </c>
      <c r="B588" s="229" t="s">
        <v>1306</v>
      </c>
      <c r="C588" s="105">
        <v>230207.83</v>
      </c>
      <c r="F588" s="62"/>
      <c r="M588" s="348"/>
    </row>
    <row r="589" spans="1:13">
      <c r="A589" s="229">
        <v>96503</v>
      </c>
      <c r="B589" s="229" t="s">
        <v>1307</v>
      </c>
      <c r="C589" s="105">
        <v>375468.31</v>
      </c>
      <c r="F589" s="62"/>
      <c r="M589" s="348"/>
    </row>
    <row r="590" spans="1:13">
      <c r="A590" s="229">
        <v>96504</v>
      </c>
      <c r="B590" s="229" t="s">
        <v>1308</v>
      </c>
      <c r="C590" s="105">
        <v>226955.75</v>
      </c>
      <c r="F590" s="62"/>
      <c r="M590" s="348"/>
    </row>
    <row r="591" spans="1:13">
      <c r="A591" s="229">
        <v>96507</v>
      </c>
      <c r="B591" s="229" t="s">
        <v>1309</v>
      </c>
      <c r="C591" s="105">
        <v>1259684.01</v>
      </c>
      <c r="F591" s="62"/>
      <c r="M591" s="348"/>
    </row>
    <row r="592" spans="1:13">
      <c r="A592" s="229">
        <v>96508</v>
      </c>
      <c r="B592" s="229" t="s">
        <v>1310</v>
      </c>
      <c r="C592" s="105">
        <v>12428.64</v>
      </c>
      <c r="F592" s="62"/>
      <c r="M592" s="348"/>
    </row>
    <row r="593" spans="1:13">
      <c r="A593" s="229">
        <v>96511</v>
      </c>
      <c r="B593" s="229" t="s">
        <v>1311</v>
      </c>
      <c r="C593" s="105">
        <v>309257.59999999998</v>
      </c>
      <c r="F593" s="62"/>
      <c r="M593" s="348"/>
    </row>
    <row r="594" spans="1:13">
      <c r="A594" s="229">
        <v>96512</v>
      </c>
      <c r="B594" s="229" t="s">
        <v>1312</v>
      </c>
      <c r="C594" s="105">
        <v>85706.67</v>
      </c>
      <c r="F594" s="62"/>
      <c r="M594" s="348"/>
    </row>
    <row r="595" spans="1:13">
      <c r="A595" s="229">
        <v>96521</v>
      </c>
      <c r="B595" s="229" t="s">
        <v>1313</v>
      </c>
      <c r="C595" s="105">
        <v>460571.24</v>
      </c>
      <c r="F595" s="62"/>
      <c r="M595" s="348"/>
    </row>
    <row r="596" spans="1:13">
      <c r="A596" s="229">
        <v>96531</v>
      </c>
      <c r="B596" s="229" t="s">
        <v>1314</v>
      </c>
      <c r="C596" s="105">
        <v>4419528.83</v>
      </c>
      <c r="F596" s="62"/>
      <c r="M596" s="348"/>
    </row>
    <row r="597" spans="1:13">
      <c r="A597" s="229">
        <v>96541</v>
      </c>
      <c r="B597" s="229" t="s">
        <v>1315</v>
      </c>
      <c r="C597" s="105">
        <v>184827.01</v>
      </c>
      <c r="F597" s="62"/>
      <c r="M597" s="348"/>
    </row>
    <row r="598" spans="1:13">
      <c r="A598" s="229">
        <v>96601</v>
      </c>
      <c r="B598" s="229" t="s">
        <v>1316</v>
      </c>
      <c r="C598" s="105">
        <v>934970.18</v>
      </c>
      <c r="F598" s="62"/>
      <c r="M598" s="348"/>
    </row>
    <row r="599" spans="1:13">
      <c r="A599" s="229">
        <v>96604</v>
      </c>
      <c r="B599" s="229" t="s">
        <v>1317</v>
      </c>
      <c r="C599" s="105">
        <v>4879.32</v>
      </c>
      <c r="F599" s="62"/>
      <c r="M599" s="348"/>
    </row>
    <row r="600" spans="1:13">
      <c r="A600" s="229">
        <v>96611</v>
      </c>
      <c r="B600" s="229" t="s">
        <v>1318</v>
      </c>
      <c r="C600" s="105">
        <v>12933.23</v>
      </c>
      <c r="F600" s="62"/>
      <c r="M600" s="348"/>
    </row>
    <row r="601" spans="1:13">
      <c r="A601" s="229">
        <v>96612</v>
      </c>
      <c r="B601" s="229" t="s">
        <v>1319</v>
      </c>
      <c r="C601" s="105">
        <v>37798.519999999997</v>
      </c>
      <c r="F601" s="62"/>
      <c r="M601" s="348"/>
    </row>
    <row r="602" spans="1:13">
      <c r="A602" s="229">
        <v>96621</v>
      </c>
      <c r="B602" s="229" t="s">
        <v>1320</v>
      </c>
      <c r="C602" s="105">
        <v>11740.14</v>
      </c>
      <c r="F602" s="62"/>
      <c r="M602" s="348"/>
    </row>
    <row r="603" spans="1:13">
      <c r="A603" s="229">
        <v>96631</v>
      </c>
      <c r="B603" s="229" t="s">
        <v>1321</v>
      </c>
      <c r="C603" s="105">
        <v>12770.71</v>
      </c>
      <c r="F603" s="62"/>
      <c r="M603" s="348"/>
    </row>
    <row r="604" spans="1:13">
      <c r="A604" s="229">
        <v>96641</v>
      </c>
      <c r="B604" s="229" t="s">
        <v>1322</v>
      </c>
      <c r="C604" s="105">
        <v>24181.47</v>
      </c>
      <c r="F604" s="62"/>
      <c r="M604" s="348"/>
    </row>
    <row r="605" spans="1:13">
      <c r="A605" s="229">
        <v>96651</v>
      </c>
      <c r="B605" s="229" t="s">
        <v>1323</v>
      </c>
      <c r="C605" s="105">
        <v>6302.25</v>
      </c>
      <c r="F605" s="62"/>
      <c r="M605" s="348"/>
    </row>
    <row r="606" spans="1:13">
      <c r="A606" s="229">
        <v>96661</v>
      </c>
      <c r="B606" s="229" t="s">
        <v>1324</v>
      </c>
      <c r="C606" s="105">
        <v>10314.379999999999</v>
      </c>
      <c r="F606" s="62"/>
      <c r="M606" s="348"/>
    </row>
    <row r="607" spans="1:13">
      <c r="A607" s="229">
        <v>96671</v>
      </c>
      <c r="B607" s="229" t="s">
        <v>1325</v>
      </c>
      <c r="C607" s="105">
        <v>9471.07</v>
      </c>
      <c r="F607" s="62"/>
      <c r="M607" s="348"/>
    </row>
    <row r="608" spans="1:13">
      <c r="A608" s="229">
        <v>96681</v>
      </c>
      <c r="B608" s="229" t="s">
        <v>1326</v>
      </c>
      <c r="C608" s="105">
        <v>17062.36</v>
      </c>
      <c r="F608" s="62"/>
      <c r="M608" s="348"/>
    </row>
    <row r="609" spans="1:13">
      <c r="A609" s="229">
        <v>96701</v>
      </c>
      <c r="B609" s="229" t="s">
        <v>1327</v>
      </c>
      <c r="C609" s="105">
        <v>4124754.67</v>
      </c>
      <c r="F609" s="62"/>
      <c r="M609" s="348"/>
    </row>
    <row r="610" spans="1:13">
      <c r="A610" s="229">
        <v>96704</v>
      </c>
      <c r="B610" s="229" t="s">
        <v>1328</v>
      </c>
      <c r="C610" s="105">
        <v>122330.28</v>
      </c>
      <c r="F610" s="62"/>
      <c r="M610" s="348"/>
    </row>
    <row r="611" spans="1:13">
      <c r="A611" s="229">
        <v>96708</v>
      </c>
      <c r="B611" s="229" t="s">
        <v>1329</v>
      </c>
      <c r="C611" s="105">
        <v>517121.77</v>
      </c>
      <c r="F611" s="62"/>
      <c r="M611" s="348"/>
    </row>
    <row r="612" spans="1:13">
      <c r="A612" s="229">
        <v>96711</v>
      </c>
      <c r="B612" s="229" t="s">
        <v>1330</v>
      </c>
      <c r="C612" s="105">
        <v>2019417.91</v>
      </c>
      <c r="F612" s="62"/>
      <c r="M612" s="348"/>
    </row>
    <row r="613" spans="1:13">
      <c r="A613" s="229">
        <v>96721</v>
      </c>
      <c r="B613" s="229" t="s">
        <v>1331</v>
      </c>
      <c r="C613" s="105">
        <v>111056.9</v>
      </c>
      <c r="F613" s="62"/>
      <c r="M613" s="348"/>
    </row>
    <row r="614" spans="1:13">
      <c r="A614" s="229">
        <v>96731</v>
      </c>
      <c r="B614" s="229" t="s">
        <v>1332</v>
      </c>
      <c r="C614" s="105">
        <v>87473.279999999999</v>
      </c>
      <c r="F614" s="62"/>
      <c r="M614" s="348"/>
    </row>
    <row r="615" spans="1:13">
      <c r="A615" s="229">
        <v>96733</v>
      </c>
      <c r="B615" s="229" t="s">
        <v>1333</v>
      </c>
      <c r="C615" s="105">
        <v>2001.93</v>
      </c>
      <c r="F615" s="62"/>
      <c r="M615" s="348"/>
    </row>
    <row r="616" spans="1:13">
      <c r="A616" s="229">
        <v>96741</v>
      </c>
      <c r="B616" s="229" t="s">
        <v>1334</v>
      </c>
      <c r="C616" s="105">
        <v>48053.03</v>
      </c>
      <c r="F616" s="62"/>
      <c r="M616" s="348"/>
    </row>
    <row r="617" spans="1:13">
      <c r="A617" s="229">
        <v>96751</v>
      </c>
      <c r="B617" s="229" t="s">
        <v>1335</v>
      </c>
      <c r="C617" s="105">
        <v>161440.89000000001</v>
      </c>
      <c r="F617" s="62"/>
      <c r="M617" s="348"/>
    </row>
    <row r="618" spans="1:13">
      <c r="A618" s="229">
        <v>96801</v>
      </c>
      <c r="B618" s="229" t="s">
        <v>1336</v>
      </c>
      <c r="C618" s="105">
        <v>4007411.43</v>
      </c>
      <c r="F618" s="62"/>
      <c r="M618" s="348"/>
    </row>
    <row r="619" spans="1:13">
      <c r="A619" s="229">
        <v>96804</v>
      </c>
      <c r="B619" s="229" t="s">
        <v>1337</v>
      </c>
      <c r="C619" s="105">
        <v>118045.31</v>
      </c>
      <c r="F619" s="62"/>
      <c r="M619" s="348"/>
    </row>
    <row r="620" spans="1:13">
      <c r="A620" s="229">
        <v>96808</v>
      </c>
      <c r="B620" s="229" t="s">
        <v>1338</v>
      </c>
      <c r="C620" s="105">
        <v>649544.71</v>
      </c>
      <c r="F620" s="62"/>
      <c r="M620" s="348"/>
    </row>
    <row r="621" spans="1:13">
      <c r="A621" s="229">
        <v>96811</v>
      </c>
      <c r="B621" s="229" t="s">
        <v>1339</v>
      </c>
      <c r="C621" s="105">
        <v>3174021.73</v>
      </c>
      <c r="F621" s="62"/>
      <c r="M621" s="348"/>
    </row>
    <row r="622" spans="1:13">
      <c r="A622" s="229">
        <v>96821</v>
      </c>
      <c r="B622" s="229" t="s">
        <v>1340</v>
      </c>
      <c r="C622" s="105">
        <v>676666.34</v>
      </c>
      <c r="F622" s="62"/>
      <c r="M622" s="348"/>
    </row>
    <row r="623" spans="1:13">
      <c r="A623" s="229">
        <v>96831</v>
      </c>
      <c r="B623" s="229" t="s">
        <v>1341</v>
      </c>
      <c r="C623" s="105">
        <v>470734.7</v>
      </c>
      <c r="F623" s="62"/>
      <c r="M623" s="348"/>
    </row>
    <row r="624" spans="1:13">
      <c r="A624" s="229">
        <v>96901</v>
      </c>
      <c r="B624" s="229" t="s">
        <v>1342</v>
      </c>
      <c r="C624" s="105">
        <v>493717.89</v>
      </c>
      <c r="F624" s="62"/>
      <c r="M624" s="348"/>
    </row>
    <row r="625" spans="1:13">
      <c r="A625" s="229">
        <v>96911</v>
      </c>
      <c r="B625" s="229" t="s">
        <v>1343</v>
      </c>
      <c r="C625" s="105">
        <v>2853.73</v>
      </c>
      <c r="F625" s="62"/>
      <c r="M625" s="348"/>
    </row>
    <row r="626" spans="1:13">
      <c r="A626" s="229">
        <v>96912</v>
      </c>
      <c r="B626" s="229" t="s">
        <v>1344</v>
      </c>
      <c r="C626" s="105">
        <v>32648.080000000002</v>
      </c>
      <c r="F626" s="62"/>
      <c r="M626" s="348"/>
    </row>
    <row r="627" spans="1:13">
      <c r="A627" s="229">
        <v>96918</v>
      </c>
      <c r="B627" s="229" t="s">
        <v>1345</v>
      </c>
      <c r="C627" s="105">
        <v>17912.900000000001</v>
      </c>
      <c r="F627" s="62"/>
      <c r="M627" s="348"/>
    </row>
    <row r="628" spans="1:13">
      <c r="A628" s="229">
        <v>97001</v>
      </c>
      <c r="B628" s="229" t="s">
        <v>1346</v>
      </c>
      <c r="C628" s="105">
        <v>721867.84</v>
      </c>
      <c r="F628" s="62"/>
      <c r="M628" s="348"/>
    </row>
    <row r="629" spans="1:13">
      <c r="A629" s="229">
        <v>97002</v>
      </c>
      <c r="B629" s="229" t="s">
        <v>1347</v>
      </c>
      <c r="C629" s="105">
        <v>204106.65</v>
      </c>
      <c r="F629" s="62"/>
      <c r="M629" s="348"/>
    </row>
    <row r="630" spans="1:13">
      <c r="A630" s="229">
        <v>97004</v>
      </c>
      <c r="B630" s="229" t="s">
        <v>1348</v>
      </c>
      <c r="C630" s="105">
        <v>10392.31</v>
      </c>
      <c r="F630" s="62"/>
      <c r="M630" s="348"/>
    </row>
    <row r="631" spans="1:13">
      <c r="A631" s="229">
        <v>97005</v>
      </c>
      <c r="B631" s="229" t="s">
        <v>1349</v>
      </c>
      <c r="C631" s="105">
        <v>16238.88</v>
      </c>
      <c r="F631" s="62"/>
      <c r="M631" s="348"/>
    </row>
    <row r="632" spans="1:13">
      <c r="A632" s="229">
        <v>97008</v>
      </c>
      <c r="B632" s="229" t="s">
        <v>1350</v>
      </c>
      <c r="C632" s="105">
        <v>155145</v>
      </c>
      <c r="F632" s="62"/>
      <c r="M632" s="348"/>
    </row>
    <row r="633" spans="1:13">
      <c r="A633" s="229">
        <v>97011</v>
      </c>
      <c r="B633" s="229" t="s">
        <v>1352</v>
      </c>
      <c r="C633" s="105">
        <v>961977.26</v>
      </c>
      <c r="F633" s="62"/>
      <c r="M633" s="348"/>
    </row>
    <row r="634" spans="1:13">
      <c r="A634" s="229">
        <v>97012</v>
      </c>
      <c r="B634" s="229" t="s">
        <v>1353</v>
      </c>
      <c r="C634" s="105">
        <v>18782.62</v>
      </c>
      <c r="F634" s="62"/>
      <c r="M634" s="348"/>
    </row>
    <row r="635" spans="1:13">
      <c r="A635" s="229">
        <v>97013</v>
      </c>
      <c r="B635" s="229" t="s">
        <v>1354</v>
      </c>
      <c r="C635" s="105">
        <v>7910.12</v>
      </c>
      <c r="F635" s="62"/>
      <c r="M635" s="348"/>
    </row>
    <row r="636" spans="1:13">
      <c r="A636" s="229">
        <v>97015</v>
      </c>
      <c r="B636" s="229" t="s">
        <v>1355</v>
      </c>
      <c r="C636" s="105">
        <v>25739.21</v>
      </c>
      <c r="F636" s="62"/>
      <c r="M636" s="348"/>
    </row>
    <row r="637" spans="1:13">
      <c r="A637" s="229">
        <v>97018</v>
      </c>
      <c r="B637" s="229" t="s">
        <v>1356</v>
      </c>
      <c r="C637" s="105">
        <v>7272.42</v>
      </c>
      <c r="F637" s="62"/>
      <c r="M637" s="348"/>
    </row>
    <row r="638" spans="1:13">
      <c r="A638" s="229">
        <v>97101</v>
      </c>
      <c r="B638" s="229" t="s">
        <v>1357</v>
      </c>
      <c r="C638" s="105">
        <v>1507424.15</v>
      </c>
      <c r="F638" s="62"/>
      <c r="M638" s="348"/>
    </row>
    <row r="639" spans="1:13">
      <c r="A639" s="229">
        <v>97104</v>
      </c>
      <c r="B639" s="229" t="s">
        <v>1358</v>
      </c>
      <c r="C639" s="105">
        <v>33330.050000000003</v>
      </c>
      <c r="F639" s="62"/>
      <c r="M639" s="348"/>
    </row>
    <row r="640" spans="1:13">
      <c r="A640" s="229">
        <v>97111</v>
      </c>
      <c r="B640" s="229" t="s">
        <v>1359</v>
      </c>
      <c r="C640" s="105">
        <v>123308.58</v>
      </c>
      <c r="F640" s="62"/>
      <c r="M640" s="348"/>
    </row>
    <row r="641" spans="1:13">
      <c r="A641" s="229">
        <v>97121</v>
      </c>
      <c r="B641" s="229" t="s">
        <v>1360</v>
      </c>
      <c r="C641" s="105">
        <v>87498.26</v>
      </c>
      <c r="F641" s="62"/>
      <c r="M641" s="348"/>
    </row>
    <row r="642" spans="1:13">
      <c r="A642" s="229">
        <v>97131</v>
      </c>
      <c r="B642" s="229" t="s">
        <v>1361</v>
      </c>
      <c r="C642" s="105">
        <v>304806.2</v>
      </c>
      <c r="F642" s="62"/>
      <c r="M642" s="348"/>
    </row>
    <row r="643" spans="1:13">
      <c r="A643" s="229">
        <v>97201</v>
      </c>
      <c r="B643" s="229" t="s">
        <v>1362</v>
      </c>
      <c r="C643" s="105">
        <v>304383.49</v>
      </c>
      <c r="F643" s="62"/>
      <c r="M643" s="348"/>
    </row>
    <row r="644" spans="1:13">
      <c r="A644" s="229">
        <v>97211</v>
      </c>
      <c r="B644" s="229" t="s">
        <v>1363</v>
      </c>
      <c r="C644" s="105">
        <v>70258.539999999994</v>
      </c>
      <c r="F644" s="62"/>
      <c r="M644" s="348"/>
    </row>
    <row r="645" spans="1:13">
      <c r="A645" s="229">
        <v>97213</v>
      </c>
      <c r="B645" s="229" t="s">
        <v>1364</v>
      </c>
      <c r="C645" s="105">
        <v>23304.04</v>
      </c>
      <c r="F645" s="62"/>
      <c r="M645" s="348"/>
    </row>
    <row r="646" spans="1:13">
      <c r="A646" s="229">
        <v>97217</v>
      </c>
      <c r="B646" s="229" t="s">
        <v>1365</v>
      </c>
      <c r="C646" s="105">
        <v>6485.94</v>
      </c>
      <c r="F646" s="62"/>
      <c r="M646" s="348"/>
    </row>
    <row r="647" spans="1:13">
      <c r="A647" s="229">
        <v>97221</v>
      </c>
      <c r="B647" s="229" t="s">
        <v>1366</v>
      </c>
      <c r="C647" s="105">
        <v>6527.57</v>
      </c>
      <c r="F647" s="62"/>
      <c r="M647" s="348"/>
    </row>
    <row r="648" spans="1:13">
      <c r="A648" s="229">
        <v>97301</v>
      </c>
      <c r="B648" s="229" t="s">
        <v>1367</v>
      </c>
      <c r="C648" s="105">
        <v>1310554.6299999999</v>
      </c>
      <c r="F648" s="62"/>
      <c r="M648" s="348"/>
    </row>
    <row r="649" spans="1:13">
      <c r="A649" s="214">
        <v>97302</v>
      </c>
      <c r="B649" s="214" t="s">
        <v>3639</v>
      </c>
      <c r="C649" s="348">
        <v>13605.94</v>
      </c>
      <c r="F649" s="62"/>
      <c r="M649" s="348"/>
    </row>
    <row r="650" spans="1:13">
      <c r="A650" s="229">
        <v>97304</v>
      </c>
      <c r="B650" s="229" t="s">
        <v>1368</v>
      </c>
      <c r="C650" s="105">
        <v>15484.61</v>
      </c>
      <c r="F650" s="62"/>
      <c r="M650" s="348"/>
    </row>
    <row r="651" spans="1:13">
      <c r="A651" s="229">
        <v>97311</v>
      </c>
      <c r="B651" s="229" t="s">
        <v>1369</v>
      </c>
      <c r="C651" s="105">
        <v>457999.83</v>
      </c>
      <c r="F651" s="62"/>
      <c r="M651" s="348"/>
    </row>
    <row r="652" spans="1:13">
      <c r="A652" s="229">
        <v>97401</v>
      </c>
      <c r="B652" s="229" t="s">
        <v>1370</v>
      </c>
      <c r="C652" s="105">
        <v>3809503.83</v>
      </c>
      <c r="F652" s="62"/>
      <c r="M652" s="348"/>
    </row>
    <row r="653" spans="1:13">
      <c r="A653" s="229">
        <v>97402</v>
      </c>
      <c r="B653" s="229" t="s">
        <v>1371</v>
      </c>
      <c r="C653" s="105">
        <v>28950.639999999999</v>
      </c>
      <c r="F653" s="62"/>
      <c r="M653" s="348"/>
    </row>
    <row r="654" spans="1:13">
      <c r="A654" s="229">
        <v>97404</v>
      </c>
      <c r="B654" s="229" t="s">
        <v>1372</v>
      </c>
      <c r="C654" s="105">
        <v>103441.72</v>
      </c>
      <c r="F654" s="62"/>
      <c r="M654" s="348"/>
    </row>
    <row r="655" spans="1:13">
      <c r="A655" s="229">
        <v>97405</v>
      </c>
      <c r="B655" s="229" t="s">
        <v>1373</v>
      </c>
      <c r="C655" s="105">
        <v>73694.429999999993</v>
      </c>
      <c r="F655" s="62"/>
      <c r="M655" s="348"/>
    </row>
    <row r="656" spans="1:13">
      <c r="A656" s="229">
        <v>97408</v>
      </c>
      <c r="B656" s="229" t="s">
        <v>1374</v>
      </c>
      <c r="C656" s="105">
        <v>28174.240000000002</v>
      </c>
      <c r="F656" s="62"/>
      <c r="M656" s="348"/>
    </row>
    <row r="657" spans="1:13">
      <c r="A657" s="229">
        <v>97411</v>
      </c>
      <c r="B657" s="229" t="s">
        <v>1375</v>
      </c>
      <c r="C657" s="105">
        <v>3251982.5</v>
      </c>
      <c r="F657" s="62"/>
      <c r="M657" s="348"/>
    </row>
    <row r="658" spans="1:13">
      <c r="A658" s="229">
        <v>97412</v>
      </c>
      <c r="B658" s="229" t="s">
        <v>1376</v>
      </c>
      <c r="C658" s="105">
        <v>2398436.5299999998</v>
      </c>
      <c r="F658" s="62"/>
      <c r="M658" s="348"/>
    </row>
    <row r="659" spans="1:13">
      <c r="A659" s="229">
        <v>97413</v>
      </c>
      <c r="B659" s="229" t="s">
        <v>1377</v>
      </c>
      <c r="C659" s="105">
        <v>173180.75</v>
      </c>
      <c r="F659" s="62"/>
      <c r="M659" s="348"/>
    </row>
    <row r="660" spans="1:13">
      <c r="A660" s="229">
        <v>97421</v>
      </c>
      <c r="B660" s="229" t="s">
        <v>1378</v>
      </c>
      <c r="C660" s="105">
        <v>215076.26</v>
      </c>
      <c r="F660" s="62"/>
      <c r="M660" s="348"/>
    </row>
    <row r="661" spans="1:13">
      <c r="A661" s="229">
        <v>97423</v>
      </c>
      <c r="B661" s="229" t="s">
        <v>1379</v>
      </c>
      <c r="C661" s="105">
        <v>46668.31</v>
      </c>
      <c r="F661" s="62"/>
      <c r="M661" s="348"/>
    </row>
    <row r="662" spans="1:13">
      <c r="A662" s="229">
        <v>97431</v>
      </c>
      <c r="B662" s="229" t="s">
        <v>1380</v>
      </c>
      <c r="C662" s="105">
        <v>53454.17</v>
      </c>
      <c r="F662" s="62"/>
      <c r="M662" s="348"/>
    </row>
    <row r="663" spans="1:13">
      <c r="A663" s="229">
        <v>97441</v>
      </c>
      <c r="B663" s="229" t="s">
        <v>1381</v>
      </c>
      <c r="C663" s="105">
        <v>22686.94</v>
      </c>
      <c r="F663" s="62"/>
      <c r="M663" s="348"/>
    </row>
    <row r="664" spans="1:13">
      <c r="A664" s="229">
        <v>97451</v>
      </c>
      <c r="B664" s="229" t="s">
        <v>1382</v>
      </c>
      <c r="C664" s="105">
        <v>316949.65000000002</v>
      </c>
      <c r="F664" s="62"/>
      <c r="M664" s="348"/>
    </row>
    <row r="665" spans="1:13">
      <c r="A665" s="384" t="s">
        <v>3516</v>
      </c>
      <c r="B665" s="229" t="s">
        <v>1383</v>
      </c>
      <c r="C665" s="105">
        <v>0</v>
      </c>
      <c r="F665" s="62"/>
      <c r="M665" s="348"/>
    </row>
    <row r="666" spans="1:13">
      <c r="A666" s="384" t="s">
        <v>3517</v>
      </c>
      <c r="B666" s="229" t="s">
        <v>1384</v>
      </c>
      <c r="F666" s="62"/>
      <c r="M666" s="348"/>
    </row>
    <row r="667" spans="1:13" ht="15.75" thickBot="1">
      <c r="A667" s="384">
        <v>97461</v>
      </c>
      <c r="B667" s="229" t="s">
        <v>1383</v>
      </c>
      <c r="C667" s="244">
        <v>271562.37</v>
      </c>
      <c r="F667" s="62"/>
      <c r="M667" s="348"/>
    </row>
    <row r="668" spans="1:13" ht="15.75" thickTop="1">
      <c r="A668" s="229">
        <v>97471</v>
      </c>
      <c r="B668" s="229" t="s">
        <v>1385</v>
      </c>
      <c r="C668" s="105">
        <v>13513.06</v>
      </c>
      <c r="F668" s="62"/>
      <c r="M668" s="348"/>
    </row>
    <row r="669" spans="1:13">
      <c r="A669" s="229">
        <v>97481</v>
      </c>
      <c r="B669" s="229" t="s">
        <v>1386</v>
      </c>
      <c r="C669" s="105">
        <v>2293.6799999999998</v>
      </c>
      <c r="F669" s="62"/>
      <c r="M669" s="348"/>
    </row>
    <row r="670" spans="1:13">
      <c r="A670" s="229">
        <v>97501</v>
      </c>
      <c r="B670" s="229" t="s">
        <v>1388</v>
      </c>
      <c r="C670" s="105">
        <v>617897.54</v>
      </c>
      <c r="F670" s="62"/>
      <c r="M670" s="348"/>
    </row>
    <row r="671" spans="1:13">
      <c r="A671" s="229">
        <v>97511</v>
      </c>
      <c r="B671" s="229" t="s">
        <v>1389</v>
      </c>
      <c r="C671" s="105">
        <v>113224.63</v>
      </c>
      <c r="F671" s="62"/>
      <c r="M671" s="348"/>
    </row>
    <row r="672" spans="1:13">
      <c r="A672" s="229">
        <v>97521</v>
      </c>
      <c r="B672" s="229" t="s">
        <v>1390</v>
      </c>
      <c r="C672" s="105">
        <v>58675.13</v>
      </c>
      <c r="F672" s="62"/>
      <c r="M672" s="348"/>
    </row>
    <row r="673" spans="1:13">
      <c r="A673" s="229">
        <v>97527</v>
      </c>
      <c r="B673" s="229" t="s">
        <v>1641</v>
      </c>
      <c r="C673" s="105">
        <v>5220.5600000000004</v>
      </c>
      <c r="F673" s="62"/>
      <c r="M673" s="348"/>
    </row>
    <row r="674" spans="1:13">
      <c r="A674" s="229">
        <v>97531</v>
      </c>
      <c r="B674" s="229" t="s">
        <v>1391</v>
      </c>
      <c r="C674" s="105">
        <v>36951.83</v>
      </c>
      <c r="F674" s="62"/>
      <c r="M674" s="348"/>
    </row>
    <row r="675" spans="1:13">
      <c r="A675" s="229">
        <v>97601</v>
      </c>
      <c r="B675" s="229" t="s">
        <v>1392</v>
      </c>
      <c r="C675" s="105">
        <v>2666102.96</v>
      </c>
      <c r="F675" s="62"/>
      <c r="M675" s="348"/>
    </row>
    <row r="676" spans="1:13">
      <c r="A676" s="229">
        <v>97607</v>
      </c>
      <c r="B676" s="229" t="s">
        <v>1393</v>
      </c>
      <c r="C676" s="105">
        <v>20256.48</v>
      </c>
      <c r="F676" s="62"/>
      <c r="M676" s="348"/>
    </row>
    <row r="677" spans="1:13">
      <c r="A677" s="229">
        <v>97611</v>
      </c>
      <c r="B677" s="229" t="s">
        <v>1394</v>
      </c>
      <c r="C677" s="105">
        <v>1258191.96</v>
      </c>
      <c r="F677" s="62"/>
      <c r="M677" s="348"/>
    </row>
    <row r="678" spans="1:13">
      <c r="A678" s="229">
        <v>97613</v>
      </c>
      <c r="B678" s="229" t="s">
        <v>1395</v>
      </c>
      <c r="C678" s="105">
        <v>63114.559999999998</v>
      </c>
      <c r="F678" s="62"/>
      <c r="M678" s="348"/>
    </row>
    <row r="679" spans="1:13">
      <c r="A679" s="229">
        <v>97621</v>
      </c>
      <c r="B679" s="229" t="s">
        <v>1396</v>
      </c>
      <c r="C679" s="105">
        <v>205284.36</v>
      </c>
      <c r="F679" s="62"/>
      <c r="M679" s="348"/>
    </row>
    <row r="680" spans="1:13">
      <c r="A680" s="229">
        <v>97623</v>
      </c>
      <c r="B680" s="229" t="s">
        <v>1397</v>
      </c>
      <c r="C680" s="105">
        <v>12781.93</v>
      </c>
      <c r="F680" s="62"/>
      <c r="M680" s="348"/>
    </row>
    <row r="681" spans="1:13">
      <c r="A681" s="229">
        <v>97627</v>
      </c>
      <c r="B681" s="229" t="s">
        <v>1398</v>
      </c>
      <c r="C681" s="105">
        <v>5861.73</v>
      </c>
      <c r="F681" s="62"/>
      <c r="M681" s="348"/>
    </row>
    <row r="682" spans="1:13">
      <c r="A682" s="229">
        <v>97631</v>
      </c>
      <c r="B682" s="229" t="s">
        <v>1399</v>
      </c>
      <c r="C682" s="105">
        <v>99621.29</v>
      </c>
      <c r="F682" s="62"/>
      <c r="M682" s="348"/>
    </row>
    <row r="683" spans="1:13">
      <c r="A683" s="229">
        <v>97637</v>
      </c>
      <c r="B683" s="229" t="s">
        <v>1400</v>
      </c>
      <c r="C683" s="105">
        <v>3417.96</v>
      </c>
      <c r="F683" s="62"/>
      <c r="M683" s="348"/>
    </row>
    <row r="684" spans="1:13">
      <c r="A684" s="229">
        <v>97641</v>
      </c>
      <c r="B684" s="229" t="s">
        <v>1401</v>
      </c>
      <c r="C684" s="105">
        <v>32191.22</v>
      </c>
      <c r="F684" s="62"/>
      <c r="M684" s="348"/>
    </row>
    <row r="685" spans="1:13">
      <c r="A685" s="229">
        <v>97651</v>
      </c>
      <c r="B685" s="229" t="s">
        <v>1402</v>
      </c>
      <c r="C685" s="105">
        <v>247761.92000000001</v>
      </c>
      <c r="F685" s="62"/>
      <c r="M685" s="348"/>
    </row>
    <row r="686" spans="1:13">
      <c r="A686" s="229">
        <v>97661</v>
      </c>
      <c r="B686" s="229" t="s">
        <v>1403</v>
      </c>
      <c r="C686" s="105">
        <v>27440.38</v>
      </c>
      <c r="F686" s="62"/>
      <c r="M686" s="348"/>
    </row>
    <row r="687" spans="1:13">
      <c r="A687" s="229">
        <v>97701</v>
      </c>
      <c r="B687" s="229" t="s">
        <v>1404</v>
      </c>
      <c r="C687" s="105">
        <v>1300566.02</v>
      </c>
      <c r="F687" s="62"/>
      <c r="M687" s="348"/>
    </row>
    <row r="688" spans="1:13">
      <c r="A688" s="229">
        <v>97705</v>
      </c>
      <c r="B688" s="229" t="s">
        <v>1405</v>
      </c>
      <c r="C688" s="105">
        <v>23401.599999999999</v>
      </c>
      <c r="F688" s="62"/>
      <c r="M688" s="348"/>
    </row>
    <row r="689" spans="1:13">
      <c r="A689" s="229">
        <v>97711</v>
      </c>
      <c r="B689" s="229" t="s">
        <v>1406</v>
      </c>
      <c r="C689" s="105">
        <v>470783.95</v>
      </c>
      <c r="F689" s="62"/>
      <c r="M689" s="348"/>
    </row>
    <row r="690" spans="1:13">
      <c r="A690" s="229">
        <v>97713</v>
      </c>
      <c r="B690" s="229" t="s">
        <v>1407</v>
      </c>
      <c r="C690" s="105">
        <v>25874.71</v>
      </c>
      <c r="F690" s="62"/>
      <c r="M690" s="348"/>
    </row>
    <row r="691" spans="1:13">
      <c r="A691" s="229">
        <v>97717</v>
      </c>
      <c r="B691" s="229" t="s">
        <v>1408</v>
      </c>
      <c r="C691" s="105">
        <v>2655.27</v>
      </c>
      <c r="F691" s="62"/>
      <c r="M691" s="348"/>
    </row>
    <row r="692" spans="1:13">
      <c r="A692" s="229">
        <v>97721</v>
      </c>
      <c r="B692" s="229" t="s">
        <v>1409</v>
      </c>
      <c r="C692" s="105">
        <v>275367.78000000003</v>
      </c>
      <c r="F692" s="62"/>
      <c r="M692" s="348"/>
    </row>
    <row r="693" spans="1:13">
      <c r="A693" s="229">
        <v>97727</v>
      </c>
      <c r="B693" s="229" t="s">
        <v>1410</v>
      </c>
      <c r="C693" s="105">
        <v>11895.84</v>
      </c>
      <c r="F693" s="62"/>
      <c r="M693" s="348"/>
    </row>
    <row r="694" spans="1:13">
      <c r="A694" s="229">
        <v>97731</v>
      </c>
      <c r="B694" s="229" t="s">
        <v>1411</v>
      </c>
      <c r="C694" s="105">
        <v>22140.38</v>
      </c>
      <c r="F694" s="62"/>
      <c r="M694" s="348"/>
    </row>
    <row r="695" spans="1:13">
      <c r="A695" s="229">
        <v>97801</v>
      </c>
      <c r="B695" s="229" t="s">
        <v>1412</v>
      </c>
      <c r="C695" s="105">
        <v>3361962.07</v>
      </c>
      <c r="F695" s="62"/>
      <c r="M695" s="348"/>
    </row>
    <row r="696" spans="1:13">
      <c r="A696" s="229">
        <v>97802</v>
      </c>
      <c r="B696" s="229" t="s">
        <v>1413</v>
      </c>
      <c r="C696" s="105">
        <v>93376</v>
      </c>
      <c r="F696" s="62"/>
      <c r="M696" s="348"/>
    </row>
    <row r="697" spans="1:13">
      <c r="A697" s="229">
        <v>97803</v>
      </c>
      <c r="B697" s="229" t="s">
        <v>1414</v>
      </c>
      <c r="C697" s="105">
        <v>41006.910000000003</v>
      </c>
      <c r="F697" s="62"/>
      <c r="M697" s="348"/>
    </row>
    <row r="698" spans="1:13">
      <c r="A698" s="229">
        <v>97805</v>
      </c>
      <c r="B698" s="229" t="s">
        <v>1415</v>
      </c>
      <c r="C698" s="105">
        <v>45752.480000000003</v>
      </c>
      <c r="F698" s="62"/>
      <c r="M698" s="348"/>
    </row>
    <row r="699" spans="1:13">
      <c r="A699" s="229">
        <v>97811</v>
      </c>
      <c r="B699" s="229" t="s">
        <v>1416</v>
      </c>
      <c r="C699" s="105">
        <v>1273527.0900000001</v>
      </c>
      <c r="F699" s="62"/>
      <c r="M699" s="348"/>
    </row>
    <row r="700" spans="1:13">
      <c r="A700" s="229">
        <v>97817</v>
      </c>
      <c r="B700" s="229" t="s">
        <v>1417</v>
      </c>
      <c r="C700" s="105">
        <v>14797.59</v>
      </c>
      <c r="F700" s="62"/>
      <c r="M700" s="348"/>
    </row>
    <row r="701" spans="1:13">
      <c r="A701" s="229">
        <v>97818</v>
      </c>
      <c r="B701" s="229" t="s">
        <v>1418</v>
      </c>
      <c r="C701" s="105">
        <v>12986.46</v>
      </c>
      <c r="F701" s="62"/>
      <c r="M701" s="348"/>
    </row>
    <row r="702" spans="1:13">
      <c r="A702" s="229">
        <v>97821</v>
      </c>
      <c r="B702" s="229" t="s">
        <v>1419</v>
      </c>
      <c r="C702" s="105">
        <v>72126.17</v>
      </c>
      <c r="F702" s="62"/>
      <c r="M702" s="348"/>
    </row>
    <row r="703" spans="1:13">
      <c r="A703" s="229">
        <v>97823</v>
      </c>
      <c r="B703" s="229" t="s">
        <v>1420</v>
      </c>
      <c r="C703" s="105">
        <v>12923.82</v>
      </c>
      <c r="F703" s="62"/>
      <c r="M703" s="348"/>
    </row>
    <row r="704" spans="1:13">
      <c r="A704" s="229">
        <v>97831</v>
      </c>
      <c r="B704" s="229" t="s">
        <v>1421</v>
      </c>
      <c r="C704" s="105">
        <v>95356.43</v>
      </c>
      <c r="F704" s="62"/>
      <c r="M704" s="348"/>
    </row>
    <row r="705" spans="1:13">
      <c r="A705" s="229">
        <v>97837</v>
      </c>
      <c r="B705" s="229" t="s">
        <v>1422</v>
      </c>
      <c r="C705" s="105">
        <v>5278.85</v>
      </c>
      <c r="F705" s="62"/>
      <c r="M705" s="348"/>
    </row>
    <row r="706" spans="1:13">
      <c r="A706" s="229">
        <v>97840</v>
      </c>
      <c r="B706" s="229" t="s">
        <v>1423</v>
      </c>
      <c r="C706" s="105">
        <v>113061.3</v>
      </c>
      <c r="F706" s="62"/>
      <c r="M706" s="348"/>
    </row>
    <row r="707" spans="1:13">
      <c r="A707" s="229">
        <v>97841</v>
      </c>
      <c r="B707" s="229" t="s">
        <v>1424</v>
      </c>
      <c r="C707" s="105">
        <v>6519.48</v>
      </c>
      <c r="F707" s="62"/>
      <c r="M707" s="348"/>
    </row>
    <row r="708" spans="1:13">
      <c r="A708" s="229">
        <v>97847</v>
      </c>
      <c r="B708" s="229" t="s">
        <v>1425</v>
      </c>
      <c r="C708" s="105">
        <v>2620.02</v>
      </c>
      <c r="F708" s="62"/>
      <c r="M708" s="348"/>
    </row>
    <row r="709" spans="1:13">
      <c r="A709" s="229">
        <v>97851</v>
      </c>
      <c r="B709" s="229" t="s">
        <v>1426</v>
      </c>
      <c r="C709" s="105">
        <v>129599.1</v>
      </c>
      <c r="F709" s="62"/>
      <c r="M709" s="348"/>
    </row>
    <row r="710" spans="1:13">
      <c r="A710" s="229">
        <v>97853</v>
      </c>
      <c r="B710" s="229" t="s">
        <v>1427</v>
      </c>
      <c r="C710" s="105">
        <v>40368.82</v>
      </c>
      <c r="F710" s="62"/>
      <c r="M710" s="348"/>
    </row>
    <row r="711" spans="1:13">
      <c r="A711" s="229">
        <v>97861</v>
      </c>
      <c r="B711" s="229" t="s">
        <v>1428</v>
      </c>
      <c r="C711" s="105">
        <v>29878.78</v>
      </c>
      <c r="F711" s="62"/>
      <c r="M711" s="348"/>
    </row>
    <row r="712" spans="1:13">
      <c r="A712" s="229">
        <v>97871</v>
      </c>
      <c r="B712" s="229" t="s">
        <v>1429</v>
      </c>
      <c r="C712" s="105">
        <v>304564.14</v>
      </c>
      <c r="F712" s="62"/>
      <c r="M712" s="348"/>
    </row>
    <row r="713" spans="1:13">
      <c r="A713" s="229">
        <v>97877</v>
      </c>
      <c r="B713" s="229" t="s">
        <v>1430</v>
      </c>
      <c r="C713" s="105">
        <v>4873.97</v>
      </c>
      <c r="F713" s="62"/>
      <c r="M713" s="348"/>
    </row>
    <row r="714" spans="1:13">
      <c r="A714" s="229">
        <v>97901</v>
      </c>
      <c r="B714" s="229" t="s">
        <v>1431</v>
      </c>
      <c r="C714" s="105">
        <v>1996848.04</v>
      </c>
      <c r="F714" s="62"/>
      <c r="M714" s="348"/>
    </row>
    <row r="715" spans="1:13">
      <c r="A715" s="229">
        <v>97911</v>
      </c>
      <c r="B715" s="229" t="s">
        <v>1432</v>
      </c>
      <c r="C715" s="105">
        <v>686465.14</v>
      </c>
      <c r="F715" s="62"/>
      <c r="M715" s="348"/>
    </row>
    <row r="716" spans="1:13">
      <c r="A716" s="229">
        <v>97913</v>
      </c>
      <c r="B716" s="229" t="s">
        <v>1433</v>
      </c>
      <c r="C716" s="105">
        <v>25126.95</v>
      </c>
      <c r="F716" s="62"/>
      <c r="M716" s="348"/>
    </row>
    <row r="717" spans="1:13">
      <c r="A717" s="229">
        <v>97917</v>
      </c>
      <c r="B717" s="229" t="s">
        <v>1434</v>
      </c>
      <c r="C717" s="105">
        <v>14916.62</v>
      </c>
      <c r="F717" s="62"/>
      <c r="M717" s="348"/>
    </row>
    <row r="718" spans="1:13">
      <c r="A718" s="229">
        <v>97921</v>
      </c>
      <c r="B718" s="229" t="s">
        <v>1435</v>
      </c>
      <c r="C718" s="105">
        <v>114053.61</v>
      </c>
      <c r="F718" s="62"/>
      <c r="M718" s="348"/>
    </row>
    <row r="719" spans="1:13">
      <c r="A719" s="229">
        <v>97931</v>
      </c>
      <c r="B719" s="229" t="s">
        <v>1436</v>
      </c>
      <c r="C719" s="105">
        <v>37356.129999999997</v>
      </c>
      <c r="F719" s="62"/>
      <c r="M719" s="348"/>
    </row>
    <row r="720" spans="1:13">
      <c r="A720" s="229">
        <v>97941</v>
      </c>
      <c r="B720" s="229" t="s">
        <v>1437</v>
      </c>
      <c r="C720" s="105">
        <v>125305.7</v>
      </c>
      <c r="F720" s="62"/>
      <c r="M720" s="348"/>
    </row>
    <row r="721" spans="1:13">
      <c r="A721" s="229">
        <v>97947</v>
      </c>
      <c r="B721" s="229" t="s">
        <v>1438</v>
      </c>
      <c r="C721" s="105">
        <v>13950.1</v>
      </c>
      <c r="F721" s="62"/>
      <c r="M721" s="348"/>
    </row>
    <row r="722" spans="1:13">
      <c r="A722" s="229">
        <v>97948</v>
      </c>
      <c r="B722" s="229" t="s">
        <v>1439</v>
      </c>
      <c r="C722" s="105">
        <v>13531.02</v>
      </c>
      <c r="F722" s="62"/>
      <c r="M722" s="348"/>
    </row>
    <row r="723" spans="1:13">
      <c r="A723" s="229">
        <v>97951</v>
      </c>
      <c r="B723" s="229" t="s">
        <v>1440</v>
      </c>
      <c r="C723" s="105">
        <v>672611.52</v>
      </c>
      <c r="F723" s="62"/>
      <c r="M723" s="348"/>
    </row>
    <row r="724" spans="1:13">
      <c r="A724" s="229">
        <v>97957</v>
      </c>
      <c r="B724" s="229" t="s">
        <v>1441</v>
      </c>
      <c r="C724" s="105">
        <v>13718.14</v>
      </c>
      <c r="F724" s="62"/>
      <c r="M724" s="348"/>
    </row>
    <row r="725" spans="1:13">
      <c r="A725" s="229">
        <v>98001</v>
      </c>
      <c r="B725" s="229" t="s">
        <v>1442</v>
      </c>
      <c r="C725" s="105">
        <v>2800132.56</v>
      </c>
      <c r="F725" s="62"/>
      <c r="M725" s="348"/>
    </row>
    <row r="726" spans="1:13">
      <c r="A726" s="229">
        <v>98002</v>
      </c>
      <c r="B726" s="229" t="s">
        <v>1443</v>
      </c>
      <c r="C726" s="105">
        <v>5480.94</v>
      </c>
      <c r="F726" s="62"/>
      <c r="M726" s="348"/>
    </row>
    <row r="727" spans="1:13">
      <c r="A727" s="229">
        <v>98003</v>
      </c>
      <c r="B727" s="229" t="s">
        <v>1444</v>
      </c>
      <c r="C727" s="105">
        <v>74811.8</v>
      </c>
      <c r="F727" s="62"/>
      <c r="M727" s="348"/>
    </row>
    <row r="728" spans="1:13">
      <c r="A728" s="229">
        <v>98004</v>
      </c>
      <c r="B728" s="229" t="s">
        <v>1445</v>
      </c>
      <c r="C728" s="105">
        <v>93356.85</v>
      </c>
      <c r="F728" s="62"/>
      <c r="M728" s="348"/>
    </row>
    <row r="729" spans="1:13">
      <c r="A729" s="229">
        <v>98008</v>
      </c>
      <c r="B729" s="229" t="s">
        <v>1446</v>
      </c>
      <c r="C729" s="105">
        <v>3936.33</v>
      </c>
      <c r="F729" s="62"/>
      <c r="M729" s="348"/>
    </row>
    <row r="730" spans="1:13">
      <c r="A730" s="229">
        <v>98011</v>
      </c>
      <c r="B730" s="229" t="s">
        <v>1447</v>
      </c>
      <c r="C730" s="105">
        <v>1700205.21</v>
      </c>
      <c r="F730" s="62"/>
      <c r="M730" s="348"/>
    </row>
    <row r="731" spans="1:13">
      <c r="A731" s="229">
        <v>98013</v>
      </c>
      <c r="B731" s="229" t="s">
        <v>1448</v>
      </c>
      <c r="C731" s="105">
        <v>146569.63</v>
      </c>
      <c r="F731" s="62"/>
      <c r="M731" s="348"/>
    </row>
    <row r="732" spans="1:13">
      <c r="A732" s="229">
        <v>98021</v>
      </c>
      <c r="B732" s="229" t="s">
        <v>1449</v>
      </c>
      <c r="C732" s="105">
        <v>28375.53</v>
      </c>
      <c r="F732" s="62"/>
      <c r="M732" s="348"/>
    </row>
    <row r="733" spans="1:13">
      <c r="A733" s="229">
        <v>98023</v>
      </c>
      <c r="B733" s="229" t="s">
        <v>1450</v>
      </c>
      <c r="C733" s="105">
        <v>4560.75</v>
      </c>
      <c r="F733" s="62"/>
      <c r="M733" s="348"/>
    </row>
    <row r="734" spans="1:13">
      <c r="A734" s="229">
        <v>98031</v>
      </c>
      <c r="B734" s="229" t="s">
        <v>1451</v>
      </c>
      <c r="C734" s="105">
        <v>75174.78</v>
      </c>
      <c r="F734" s="62"/>
      <c r="M734" s="348"/>
    </row>
    <row r="735" spans="1:13">
      <c r="A735" s="229">
        <v>98041</v>
      </c>
      <c r="B735" s="229" t="s">
        <v>1452</v>
      </c>
      <c r="C735" s="105">
        <v>109208.83</v>
      </c>
      <c r="F735" s="62"/>
      <c r="M735" s="348"/>
    </row>
    <row r="736" spans="1:13">
      <c r="A736" s="229">
        <v>98051</v>
      </c>
      <c r="B736" s="229" t="s">
        <v>1453</v>
      </c>
      <c r="C736" s="105">
        <v>149784.16</v>
      </c>
      <c r="F736" s="62"/>
      <c r="M736" s="348"/>
    </row>
    <row r="737" spans="1:13">
      <c r="A737" s="229">
        <v>98061</v>
      </c>
      <c r="B737" s="229" t="s">
        <v>1454</v>
      </c>
      <c r="C737" s="105">
        <v>57980.75</v>
      </c>
      <c r="F737" s="62"/>
      <c r="M737" s="348"/>
    </row>
    <row r="738" spans="1:13">
      <c r="A738" s="229">
        <v>98071</v>
      </c>
      <c r="B738" s="229" t="s">
        <v>1455</v>
      </c>
      <c r="C738" s="105">
        <v>35560.61</v>
      </c>
      <c r="F738" s="62"/>
      <c r="M738" s="348"/>
    </row>
    <row r="739" spans="1:13">
      <c r="A739" s="229">
        <v>98081</v>
      </c>
      <c r="B739" s="229" t="s">
        <v>1456</v>
      </c>
      <c r="C739" s="105">
        <v>8432.65</v>
      </c>
      <c r="F739" s="62"/>
      <c r="M739" s="348"/>
    </row>
    <row r="740" spans="1:13">
      <c r="A740" s="229">
        <v>98091</v>
      </c>
      <c r="B740" s="229" t="s">
        <v>1457</v>
      </c>
      <c r="C740" s="105">
        <v>28107.68</v>
      </c>
      <c r="F740" s="62"/>
      <c r="M740" s="348"/>
    </row>
    <row r="741" spans="1:13">
      <c r="A741" s="229">
        <v>98101</v>
      </c>
      <c r="B741" s="229" t="s">
        <v>1458</v>
      </c>
      <c r="C741" s="105">
        <v>1512524.2</v>
      </c>
      <c r="F741" s="62"/>
      <c r="M741" s="348"/>
    </row>
    <row r="742" spans="1:13">
      <c r="A742" s="229">
        <v>98102</v>
      </c>
      <c r="B742" s="229" t="s">
        <v>1459</v>
      </c>
      <c r="C742" s="105">
        <v>85915.81</v>
      </c>
      <c r="F742" s="62"/>
      <c r="M742" s="348"/>
    </row>
    <row r="743" spans="1:13">
      <c r="A743" s="229">
        <v>98103</v>
      </c>
      <c r="B743" s="229" t="s">
        <v>1460</v>
      </c>
      <c r="C743" s="105">
        <v>278130.09000000003</v>
      </c>
      <c r="F743" s="62"/>
      <c r="M743" s="348"/>
    </row>
    <row r="744" spans="1:13">
      <c r="A744" s="229">
        <v>98107</v>
      </c>
      <c r="B744" s="229" t="s">
        <v>1461</v>
      </c>
      <c r="C744" s="105">
        <v>10953.72</v>
      </c>
      <c r="F744" s="62"/>
      <c r="M744" s="348"/>
    </row>
    <row r="745" spans="1:13">
      <c r="A745" s="229">
        <v>98109</v>
      </c>
      <c r="B745" s="229" t="s">
        <v>1462</v>
      </c>
      <c r="C745" s="105">
        <v>96341.54</v>
      </c>
      <c r="F745" s="62"/>
      <c r="M745" s="348"/>
    </row>
    <row r="746" spans="1:13">
      <c r="A746" s="229">
        <v>98111</v>
      </c>
      <c r="B746" s="229" t="s">
        <v>1463</v>
      </c>
      <c r="C746" s="105">
        <v>497398.92</v>
      </c>
      <c r="F746" s="62"/>
      <c r="M746" s="348"/>
    </row>
    <row r="747" spans="1:13">
      <c r="A747" s="229">
        <v>98113</v>
      </c>
      <c r="B747" s="229" t="s">
        <v>1464</v>
      </c>
      <c r="C747" s="105">
        <v>26297.14</v>
      </c>
      <c r="F747" s="62"/>
      <c r="M747" s="348"/>
    </row>
    <row r="748" spans="1:13">
      <c r="A748" s="229">
        <v>98121</v>
      </c>
      <c r="B748" s="229" t="s">
        <v>1465</v>
      </c>
      <c r="C748" s="105">
        <v>107607.24</v>
      </c>
      <c r="F748" s="62"/>
      <c r="M748" s="348"/>
    </row>
    <row r="749" spans="1:13">
      <c r="A749" s="229">
        <v>98131</v>
      </c>
      <c r="B749" s="229" t="s">
        <v>1466</v>
      </c>
      <c r="C749" s="105">
        <v>139198.78</v>
      </c>
      <c r="F749" s="62"/>
      <c r="M749" s="348"/>
    </row>
    <row r="750" spans="1:13">
      <c r="A750" s="229">
        <v>98141</v>
      </c>
      <c r="B750" s="229" t="s">
        <v>1467</v>
      </c>
      <c r="C750" s="105">
        <v>147750.82</v>
      </c>
      <c r="F750" s="62"/>
      <c r="M750" s="348"/>
    </row>
    <row r="751" spans="1:13">
      <c r="A751" s="229">
        <v>98147</v>
      </c>
      <c r="B751" s="229" t="s">
        <v>1468</v>
      </c>
      <c r="C751" s="105">
        <v>11095.36</v>
      </c>
      <c r="F751" s="62"/>
      <c r="M751" s="348"/>
    </row>
    <row r="752" spans="1:13">
      <c r="A752" s="229">
        <v>98161</v>
      </c>
      <c r="B752" s="229" t="s">
        <v>1469</v>
      </c>
      <c r="C752" s="105">
        <v>5704.32</v>
      </c>
      <c r="F752" s="62"/>
      <c r="M752" s="348"/>
    </row>
    <row r="753" spans="1:13">
      <c r="A753" s="229">
        <v>98201</v>
      </c>
      <c r="B753" s="229" t="s">
        <v>1470</v>
      </c>
      <c r="C753" s="105">
        <v>1704895.71</v>
      </c>
      <c r="F753" s="62"/>
      <c r="M753" s="348"/>
    </row>
    <row r="754" spans="1:13">
      <c r="A754" s="229">
        <v>98205</v>
      </c>
      <c r="B754" s="229" t="s">
        <v>1471</v>
      </c>
      <c r="C754" s="105">
        <v>21029.88</v>
      </c>
      <c r="F754" s="62"/>
      <c r="M754" s="348"/>
    </row>
    <row r="755" spans="1:13">
      <c r="A755" s="229">
        <v>98211</v>
      </c>
      <c r="B755" s="229" t="s">
        <v>1472</v>
      </c>
      <c r="C755" s="105">
        <v>456722.87</v>
      </c>
      <c r="F755" s="62"/>
      <c r="M755" s="348"/>
    </row>
    <row r="756" spans="1:13">
      <c r="A756" s="229">
        <v>98218</v>
      </c>
      <c r="B756" s="229" t="s">
        <v>1473</v>
      </c>
      <c r="C756" s="105">
        <v>9498.94</v>
      </c>
      <c r="F756" s="62"/>
      <c r="M756" s="348"/>
    </row>
    <row r="757" spans="1:13">
      <c r="A757" s="229">
        <v>98221</v>
      </c>
      <c r="B757" s="229" t="s">
        <v>1474</v>
      </c>
      <c r="C757" s="105">
        <v>12495.62</v>
      </c>
      <c r="F757" s="62"/>
      <c r="M757" s="348"/>
    </row>
    <row r="758" spans="1:13">
      <c r="A758" s="229">
        <v>98231</v>
      </c>
      <c r="B758" s="229" t="s">
        <v>1475</v>
      </c>
      <c r="C758" s="105">
        <v>17043.650000000001</v>
      </c>
      <c r="F758" s="62"/>
      <c r="M758" s="348"/>
    </row>
    <row r="759" spans="1:13">
      <c r="A759" s="229">
        <v>98237</v>
      </c>
      <c r="B759" s="229" t="s">
        <v>1476</v>
      </c>
      <c r="C759" s="105">
        <v>3889.8</v>
      </c>
      <c r="F759" s="62"/>
      <c r="M759" s="348"/>
    </row>
    <row r="760" spans="1:13">
      <c r="A760" s="229">
        <v>98241</v>
      </c>
      <c r="B760" s="229" t="s">
        <v>1477</v>
      </c>
      <c r="C760" s="105">
        <v>11328.54</v>
      </c>
      <c r="F760" s="62"/>
      <c r="M760" s="348"/>
    </row>
    <row r="761" spans="1:13">
      <c r="A761" s="229">
        <v>98251</v>
      </c>
      <c r="B761" s="229" t="s">
        <v>1478</v>
      </c>
      <c r="C761" s="105">
        <v>2656.4</v>
      </c>
      <c r="F761" s="62"/>
      <c r="M761" s="348"/>
    </row>
    <row r="762" spans="1:13">
      <c r="A762" s="229">
        <v>98261</v>
      </c>
      <c r="B762" s="229" t="s">
        <v>1479</v>
      </c>
      <c r="C762" s="105">
        <v>19562.740000000002</v>
      </c>
      <c r="F762" s="62"/>
      <c r="M762" s="348"/>
    </row>
    <row r="763" spans="1:13">
      <c r="A763" s="229">
        <v>98271</v>
      </c>
      <c r="B763" s="229" t="s">
        <v>1480</v>
      </c>
      <c r="C763" s="105">
        <v>4490.5</v>
      </c>
      <c r="F763" s="62"/>
      <c r="M763" s="348"/>
    </row>
    <row r="764" spans="1:13">
      <c r="A764" s="229">
        <v>98301</v>
      </c>
      <c r="B764" s="229" t="s">
        <v>1481</v>
      </c>
      <c r="C764" s="105">
        <v>980026.13</v>
      </c>
      <c r="F764" s="62"/>
      <c r="M764" s="348"/>
    </row>
    <row r="765" spans="1:13">
      <c r="A765" s="229">
        <v>98304</v>
      </c>
      <c r="B765" s="229" t="s">
        <v>1482</v>
      </c>
      <c r="C765" s="105">
        <v>15846.58</v>
      </c>
      <c r="F765" s="62"/>
      <c r="M765" s="348"/>
    </row>
    <row r="766" spans="1:13">
      <c r="A766" s="229">
        <v>98308</v>
      </c>
      <c r="B766" s="229" t="s">
        <v>1483</v>
      </c>
      <c r="C766" s="105">
        <v>16140.44</v>
      </c>
      <c r="F766" s="62"/>
      <c r="M766" s="348"/>
    </row>
    <row r="767" spans="1:13">
      <c r="A767" s="229">
        <v>98311</v>
      </c>
      <c r="B767" s="229" t="s">
        <v>1484</v>
      </c>
      <c r="C767" s="105">
        <v>564048.79</v>
      </c>
      <c r="F767" s="62"/>
      <c r="M767" s="348"/>
    </row>
    <row r="768" spans="1:13">
      <c r="A768" s="229">
        <v>98313</v>
      </c>
      <c r="B768" s="229" t="s">
        <v>1485</v>
      </c>
      <c r="C768" s="105">
        <v>263782.99</v>
      </c>
      <c r="F768" s="62"/>
      <c r="M768" s="348"/>
    </row>
    <row r="769" spans="1:13">
      <c r="A769" s="229">
        <v>98321</v>
      </c>
      <c r="B769" s="229" t="s">
        <v>1486</v>
      </c>
      <c r="C769" s="105">
        <v>10467.51</v>
      </c>
      <c r="F769" s="62"/>
      <c r="M769" s="348"/>
    </row>
    <row r="770" spans="1:13">
      <c r="A770" s="229">
        <v>98331</v>
      </c>
      <c r="B770" s="229" t="s">
        <v>1487</v>
      </c>
      <c r="C770" s="105">
        <v>6904.82</v>
      </c>
      <c r="F770" s="62"/>
      <c r="M770" s="348"/>
    </row>
    <row r="771" spans="1:13">
      <c r="A771" s="229">
        <v>98401</v>
      </c>
      <c r="B771" s="229" t="s">
        <v>1488</v>
      </c>
      <c r="C771" s="105">
        <v>1612340.34</v>
      </c>
      <c r="F771" s="62"/>
      <c r="M771" s="348"/>
    </row>
    <row r="772" spans="1:13">
      <c r="A772" s="229">
        <v>98404</v>
      </c>
      <c r="B772" s="229" t="s">
        <v>1489</v>
      </c>
      <c r="C772" s="105">
        <v>7986.34</v>
      </c>
      <c r="F772" s="62"/>
      <c r="M772" s="348"/>
    </row>
    <row r="773" spans="1:13">
      <c r="A773" s="229">
        <v>98411</v>
      </c>
      <c r="B773" s="229" t="s">
        <v>1490</v>
      </c>
      <c r="C773" s="105">
        <v>936688.33</v>
      </c>
      <c r="F773" s="62"/>
      <c r="M773" s="348"/>
    </row>
    <row r="774" spans="1:13">
      <c r="A774" s="229">
        <v>98414</v>
      </c>
      <c r="B774" s="229" t="s">
        <v>1491</v>
      </c>
      <c r="C774" s="105">
        <v>18009.400000000001</v>
      </c>
      <c r="F774" s="62"/>
      <c r="M774" s="348"/>
    </row>
    <row r="775" spans="1:13">
      <c r="A775" s="229">
        <v>98417</v>
      </c>
      <c r="B775" s="229" t="s">
        <v>1492</v>
      </c>
      <c r="C775" s="105">
        <v>17461.32</v>
      </c>
      <c r="F775" s="62"/>
      <c r="M775" s="348"/>
    </row>
    <row r="776" spans="1:13">
      <c r="A776" s="229">
        <v>98421</v>
      </c>
      <c r="B776" s="229" t="s">
        <v>1493</v>
      </c>
      <c r="C776" s="105">
        <v>54836.86</v>
      </c>
      <c r="F776" s="62"/>
      <c r="M776" s="348"/>
    </row>
    <row r="777" spans="1:13">
      <c r="A777" s="229">
        <v>98427</v>
      </c>
      <c r="B777" s="229" t="s">
        <v>1494</v>
      </c>
      <c r="C777" s="105">
        <v>3708.55</v>
      </c>
      <c r="F777" s="62"/>
      <c r="M777" s="348"/>
    </row>
    <row r="778" spans="1:13">
      <c r="A778" s="229">
        <v>98431</v>
      </c>
      <c r="B778" s="229" t="s">
        <v>1495</v>
      </c>
      <c r="C778" s="105">
        <v>94730.92</v>
      </c>
      <c r="F778" s="62"/>
      <c r="M778" s="348"/>
    </row>
    <row r="779" spans="1:13">
      <c r="A779" s="229">
        <v>98441</v>
      </c>
      <c r="B779" s="229" t="s">
        <v>1496</v>
      </c>
      <c r="C779" s="105">
        <v>49115.65</v>
      </c>
      <c r="F779" s="62"/>
      <c r="M779" s="348"/>
    </row>
    <row r="780" spans="1:13">
      <c r="A780" s="229">
        <v>98451</v>
      </c>
      <c r="B780" s="229" t="s">
        <v>1497</v>
      </c>
      <c r="C780" s="105">
        <v>27429.14</v>
      </c>
      <c r="F780" s="62"/>
      <c r="M780" s="348"/>
    </row>
    <row r="781" spans="1:13">
      <c r="A781" s="229">
        <v>98471</v>
      </c>
      <c r="B781" s="229" t="s">
        <v>1642</v>
      </c>
      <c r="C781" s="105">
        <v>4469.6499999999996</v>
      </c>
      <c r="F781" s="62"/>
      <c r="M781" s="348"/>
    </row>
    <row r="782" spans="1:13">
      <c r="A782" s="229">
        <v>98481</v>
      </c>
      <c r="B782" s="229" t="s">
        <v>1498</v>
      </c>
      <c r="C782" s="105">
        <v>32906.79</v>
      </c>
      <c r="F782" s="62"/>
      <c r="M782" s="348"/>
    </row>
    <row r="783" spans="1:13">
      <c r="A783" s="229">
        <v>98501</v>
      </c>
      <c r="B783" s="229" t="s">
        <v>1499</v>
      </c>
      <c r="C783" s="105">
        <v>932850.12</v>
      </c>
      <c r="F783" s="62"/>
      <c r="M783" s="348"/>
    </row>
    <row r="784" spans="1:13">
      <c r="A784" s="229">
        <v>98511</v>
      </c>
      <c r="B784" s="229" t="s">
        <v>1500</v>
      </c>
      <c r="C784" s="105">
        <v>23896.09</v>
      </c>
      <c r="F784" s="62"/>
      <c r="M784" s="348"/>
    </row>
    <row r="785" spans="1:13">
      <c r="A785" s="229">
        <v>98517</v>
      </c>
      <c r="B785" s="229" t="s">
        <v>1501</v>
      </c>
      <c r="C785" s="105">
        <v>3479.82</v>
      </c>
      <c r="F785" s="62"/>
      <c r="M785" s="348"/>
    </row>
    <row r="786" spans="1:13">
      <c r="A786" s="229">
        <v>98521</v>
      </c>
      <c r="B786" s="229" t="s">
        <v>1502</v>
      </c>
      <c r="C786" s="105">
        <v>326721.3</v>
      </c>
      <c r="F786" s="62"/>
      <c r="M786" s="348"/>
    </row>
    <row r="787" spans="1:13">
      <c r="A787" s="229">
        <v>98601</v>
      </c>
      <c r="B787" s="229" t="s">
        <v>1503</v>
      </c>
      <c r="C787" s="105">
        <v>1798525.15</v>
      </c>
      <c r="F787" s="62"/>
      <c r="M787" s="348"/>
    </row>
    <row r="788" spans="1:13">
      <c r="A788" s="229">
        <v>98604</v>
      </c>
      <c r="B788" s="229" t="s">
        <v>1504</v>
      </c>
      <c r="C788" s="105">
        <v>8906.5499999999993</v>
      </c>
      <c r="F788" s="62"/>
      <c r="M788" s="348"/>
    </row>
    <row r="789" spans="1:13">
      <c r="A789" s="229">
        <v>98607</v>
      </c>
      <c r="B789" s="229" t="s">
        <v>1505</v>
      </c>
      <c r="C789" s="105">
        <v>3495.24</v>
      </c>
      <c r="F789" s="62"/>
      <c r="M789" s="348"/>
    </row>
    <row r="790" spans="1:13">
      <c r="A790" s="229">
        <v>98608</v>
      </c>
      <c r="B790" s="229" t="s">
        <v>1506</v>
      </c>
      <c r="C790" s="105">
        <v>29312.71</v>
      </c>
      <c r="F790" s="62"/>
      <c r="M790" s="348"/>
    </row>
    <row r="791" spans="1:13">
      <c r="A791" s="229">
        <v>98611</v>
      </c>
      <c r="B791" s="229" t="s">
        <v>1507</v>
      </c>
      <c r="C791" s="105">
        <v>65307.22</v>
      </c>
      <c r="F791" s="62"/>
      <c r="M791" s="348"/>
    </row>
    <row r="792" spans="1:13">
      <c r="A792" s="229">
        <v>98621</v>
      </c>
      <c r="B792" s="229" t="s">
        <v>1508</v>
      </c>
      <c r="C792" s="105">
        <v>68981</v>
      </c>
      <c r="F792" s="62"/>
      <c r="M792" s="348"/>
    </row>
    <row r="793" spans="1:13">
      <c r="A793" s="229">
        <v>98627</v>
      </c>
      <c r="B793" s="229" t="s">
        <v>1509</v>
      </c>
      <c r="C793" s="105">
        <v>3807.08</v>
      </c>
      <c r="F793" s="62"/>
      <c r="M793" s="348"/>
    </row>
    <row r="794" spans="1:13">
      <c r="A794" s="229">
        <v>98631</v>
      </c>
      <c r="B794" s="229" t="s">
        <v>1510</v>
      </c>
      <c r="C794" s="105">
        <v>536120.5</v>
      </c>
      <c r="F794" s="62"/>
      <c r="M794" s="348"/>
    </row>
    <row r="795" spans="1:13">
      <c r="A795" s="229">
        <v>98637</v>
      </c>
      <c r="B795" s="229" t="s">
        <v>1511</v>
      </c>
      <c r="C795" s="105">
        <v>16562.830000000002</v>
      </c>
      <c r="F795" s="62"/>
      <c r="M795" s="348"/>
    </row>
    <row r="796" spans="1:13">
      <c r="A796" s="229">
        <v>98641</v>
      </c>
      <c r="B796" s="229" t="s">
        <v>1512</v>
      </c>
      <c r="C796" s="105">
        <v>155993.72</v>
      </c>
      <c r="F796" s="62"/>
      <c r="M796" s="348"/>
    </row>
    <row r="797" spans="1:13">
      <c r="A797" s="229">
        <v>98701</v>
      </c>
      <c r="B797" s="229" t="s">
        <v>1513</v>
      </c>
      <c r="C797" s="105">
        <v>535789.9</v>
      </c>
      <c r="F797" s="62"/>
      <c r="M797" s="348"/>
    </row>
    <row r="798" spans="1:13">
      <c r="A798" s="229">
        <v>98711</v>
      </c>
      <c r="B798" s="229" t="s">
        <v>1514</v>
      </c>
      <c r="C798" s="105">
        <v>77037.11</v>
      </c>
      <c r="F798" s="62"/>
      <c r="M798" s="348"/>
    </row>
    <row r="799" spans="1:13">
      <c r="A799" s="229">
        <v>98717</v>
      </c>
      <c r="B799" s="229" t="s">
        <v>1515</v>
      </c>
      <c r="C799" s="105">
        <v>10712.88</v>
      </c>
      <c r="F799" s="62"/>
      <c r="M799" s="348"/>
    </row>
    <row r="800" spans="1:13">
      <c r="A800" s="229">
        <v>98801</v>
      </c>
      <c r="B800" s="229" t="s">
        <v>1516</v>
      </c>
      <c r="C800" s="105">
        <v>1184009.6499999999</v>
      </c>
      <c r="F800" s="62"/>
      <c r="M800" s="348"/>
    </row>
    <row r="801" spans="1:13">
      <c r="A801" s="229">
        <v>98811</v>
      </c>
      <c r="B801" s="229" t="s">
        <v>1517</v>
      </c>
      <c r="C801" s="105">
        <v>373677.59</v>
      </c>
      <c r="F801" s="62"/>
      <c r="M801" s="348"/>
    </row>
    <row r="802" spans="1:13">
      <c r="A802" s="229">
        <v>98817</v>
      </c>
      <c r="B802" s="229" t="s">
        <v>1518</v>
      </c>
      <c r="C802" s="105">
        <v>11653.13</v>
      </c>
      <c r="F802" s="62"/>
      <c r="M802" s="348"/>
    </row>
    <row r="803" spans="1:13">
      <c r="A803" s="229">
        <v>98901</v>
      </c>
      <c r="B803" s="229" t="s">
        <v>1519</v>
      </c>
      <c r="C803" s="105">
        <v>173046.25</v>
      </c>
      <c r="F803" s="62"/>
      <c r="M803" s="348"/>
    </row>
    <row r="804" spans="1:13">
      <c r="A804" s="229">
        <v>98904</v>
      </c>
      <c r="B804" s="229" t="s">
        <v>1520</v>
      </c>
      <c r="C804" s="105">
        <v>1808.88</v>
      </c>
      <c r="F804" s="62"/>
      <c r="M804" s="348"/>
    </row>
    <row r="805" spans="1:13">
      <c r="A805" s="229">
        <v>98911</v>
      </c>
      <c r="B805" s="229" t="s">
        <v>1521</v>
      </c>
      <c r="C805" s="105">
        <v>20777.02</v>
      </c>
      <c r="F805" s="62"/>
      <c r="M805" s="348"/>
    </row>
    <row r="806" spans="1:13">
      <c r="A806" s="229">
        <v>99001</v>
      </c>
      <c r="B806" s="229" t="s">
        <v>1522</v>
      </c>
      <c r="C806" s="105">
        <v>4571287.33</v>
      </c>
      <c r="F806" s="62"/>
      <c r="M806" s="348"/>
    </row>
    <row r="807" spans="1:13">
      <c r="A807" s="229">
        <v>99011</v>
      </c>
      <c r="B807" s="229" t="s">
        <v>1523</v>
      </c>
      <c r="C807" s="105">
        <v>2077782.41</v>
      </c>
      <c r="F807" s="62"/>
      <c r="M807" s="348"/>
    </row>
    <row r="808" spans="1:13">
      <c r="A808" s="229">
        <v>99013</v>
      </c>
      <c r="B808" s="229" t="s">
        <v>1524</v>
      </c>
      <c r="C808" s="105">
        <v>30943.9</v>
      </c>
      <c r="F808" s="62"/>
      <c r="M808" s="348"/>
    </row>
    <row r="809" spans="1:13">
      <c r="A809" s="229">
        <v>99014</v>
      </c>
      <c r="B809" s="229" t="s">
        <v>1525</v>
      </c>
      <c r="C809" s="105">
        <v>17401.82</v>
      </c>
      <c r="F809" s="62"/>
      <c r="M809" s="348"/>
    </row>
    <row r="810" spans="1:13">
      <c r="A810" s="229">
        <v>99017</v>
      </c>
      <c r="B810" s="229" t="s">
        <v>1526</v>
      </c>
      <c r="C810" s="105">
        <v>24319.88</v>
      </c>
      <c r="F810" s="62"/>
      <c r="M810" s="348"/>
    </row>
    <row r="811" spans="1:13">
      <c r="A811" s="229">
        <v>99021</v>
      </c>
      <c r="B811" s="229" t="s">
        <v>1527</v>
      </c>
      <c r="C811" s="105">
        <v>69808.649999999994</v>
      </c>
      <c r="F811" s="62"/>
      <c r="M811" s="348"/>
    </row>
    <row r="812" spans="1:13">
      <c r="A812" s="229">
        <v>99022</v>
      </c>
      <c r="B812" s="229" t="s">
        <v>211</v>
      </c>
      <c r="C812" s="105">
        <v>12585.84</v>
      </c>
      <c r="F812" s="62"/>
      <c r="M812" s="348"/>
    </row>
    <row r="813" spans="1:13">
      <c r="A813" s="229">
        <v>99031</v>
      </c>
      <c r="B813" s="229" t="s">
        <v>1528</v>
      </c>
      <c r="C813" s="105">
        <v>63641.97</v>
      </c>
      <c r="F813" s="62"/>
      <c r="M813" s="348"/>
    </row>
    <row r="814" spans="1:13">
      <c r="A814" s="229">
        <v>99041</v>
      </c>
      <c r="B814" s="229" t="s">
        <v>1529</v>
      </c>
      <c r="C814" s="105">
        <v>318260.34000000003</v>
      </c>
      <c r="F814" s="62"/>
      <c r="M814" s="348"/>
    </row>
    <row r="815" spans="1:13">
      <c r="A815" s="229">
        <v>99047</v>
      </c>
      <c r="B815" s="229" t="s">
        <v>1530</v>
      </c>
      <c r="C815" s="105">
        <v>12566.55</v>
      </c>
      <c r="F815" s="62"/>
      <c r="M815" s="348"/>
    </row>
    <row r="816" spans="1:13">
      <c r="A816" s="229">
        <v>99051</v>
      </c>
      <c r="B816" s="229" t="s">
        <v>1531</v>
      </c>
      <c r="C816" s="105">
        <v>172602.91</v>
      </c>
      <c r="F816" s="62"/>
      <c r="M816" s="348"/>
    </row>
    <row r="817" spans="1:13">
      <c r="A817" s="229">
        <v>99061</v>
      </c>
      <c r="B817" s="229" t="s">
        <v>1532</v>
      </c>
      <c r="C817" s="105">
        <v>4790.1400000000003</v>
      </c>
      <c r="F817" s="62"/>
      <c r="M817" s="348"/>
    </row>
    <row r="818" spans="1:13">
      <c r="A818" s="229">
        <v>99071</v>
      </c>
      <c r="B818" s="229" t="s">
        <v>1533</v>
      </c>
      <c r="C818" s="105">
        <v>16812.310000000001</v>
      </c>
      <c r="F818" s="62"/>
      <c r="M818" s="348"/>
    </row>
    <row r="819" spans="1:13">
      <c r="A819" s="229">
        <v>99081</v>
      </c>
      <c r="B819" s="229" t="s">
        <v>1534</v>
      </c>
      <c r="C819" s="105">
        <v>15553.27</v>
      </c>
      <c r="F819" s="62"/>
      <c r="M819" s="348"/>
    </row>
    <row r="820" spans="1:13">
      <c r="A820" s="229">
        <v>99091</v>
      </c>
      <c r="B820" s="229" t="s">
        <v>1535</v>
      </c>
      <c r="C820" s="105">
        <v>8538.89</v>
      </c>
      <c r="F820" s="62"/>
      <c r="M820" s="348"/>
    </row>
    <row r="821" spans="1:13">
      <c r="A821" s="229">
        <v>99101</v>
      </c>
      <c r="B821" s="229" t="s">
        <v>1536</v>
      </c>
      <c r="C821" s="105">
        <v>1063529.71</v>
      </c>
      <c r="F821" s="62"/>
      <c r="M821" s="348"/>
    </row>
    <row r="822" spans="1:13">
      <c r="A822" s="229">
        <v>99104</v>
      </c>
      <c r="B822" s="229" t="s">
        <v>1537</v>
      </c>
      <c r="C822" s="105">
        <v>27904.52</v>
      </c>
      <c r="F822" s="62"/>
      <c r="M822" s="348"/>
    </row>
    <row r="823" spans="1:13">
      <c r="A823" s="229">
        <v>99109</v>
      </c>
      <c r="B823" s="229" t="s">
        <v>1538</v>
      </c>
      <c r="C823" s="105">
        <v>61735.47</v>
      </c>
      <c r="F823" s="62"/>
      <c r="M823" s="348"/>
    </row>
    <row r="824" spans="1:13">
      <c r="A824" s="229">
        <v>99110</v>
      </c>
      <c r="B824" s="229" t="s">
        <v>1539</v>
      </c>
      <c r="C824" s="105">
        <v>128752.07</v>
      </c>
      <c r="F824" s="62"/>
      <c r="M824" s="348"/>
    </row>
    <row r="825" spans="1:13">
      <c r="A825" s="229">
        <v>99111</v>
      </c>
      <c r="B825" s="229" t="s">
        <v>1540</v>
      </c>
      <c r="C825" s="105">
        <v>658079.44999999995</v>
      </c>
      <c r="F825" s="62"/>
      <c r="M825" s="348"/>
    </row>
    <row r="826" spans="1:13">
      <c r="A826" s="229">
        <v>99201</v>
      </c>
      <c r="B826" s="229" t="s">
        <v>1541</v>
      </c>
      <c r="C826" s="348">
        <v>18310367.219999999</v>
      </c>
      <c r="F826" s="62"/>
      <c r="M826" s="348"/>
    </row>
    <row r="827" spans="1:13">
      <c r="A827" s="229">
        <v>99202</v>
      </c>
      <c r="B827" s="229" t="s">
        <v>1542</v>
      </c>
      <c r="C827" s="105">
        <v>1352067.7</v>
      </c>
      <c r="F827" s="62"/>
      <c r="M827" s="348"/>
    </row>
    <row r="828" spans="1:13">
      <c r="A828" s="229">
        <v>99203</v>
      </c>
      <c r="B828" s="229" t="s">
        <v>1543</v>
      </c>
      <c r="C828" s="105">
        <v>171885.6</v>
      </c>
      <c r="F828" s="62"/>
      <c r="M828" s="348"/>
    </row>
    <row r="829" spans="1:13">
      <c r="A829" s="229">
        <v>99204</v>
      </c>
      <c r="B829" s="229" t="s">
        <v>1544</v>
      </c>
      <c r="C829" s="105">
        <v>483858.37</v>
      </c>
      <c r="F829" s="62"/>
      <c r="M829" s="348"/>
    </row>
    <row r="830" spans="1:13">
      <c r="A830" s="229">
        <v>99206</v>
      </c>
      <c r="B830" s="229" t="s">
        <v>1545</v>
      </c>
      <c r="C830" s="105">
        <v>845536.17</v>
      </c>
      <c r="F830" s="62"/>
      <c r="M830" s="348"/>
    </row>
    <row r="831" spans="1:13">
      <c r="A831" s="229">
        <v>99207</v>
      </c>
      <c r="B831" s="229" t="s">
        <v>1546</v>
      </c>
      <c r="C831" s="105">
        <v>201292.79999999999</v>
      </c>
      <c r="F831" s="62"/>
      <c r="M831" s="348"/>
    </row>
    <row r="832" spans="1:13">
      <c r="A832" s="229">
        <v>99208</v>
      </c>
      <c r="B832" s="229" t="s">
        <v>1547</v>
      </c>
      <c r="C832" s="105">
        <v>122693.87</v>
      </c>
      <c r="F832" s="62"/>
      <c r="M832" s="348"/>
    </row>
    <row r="833" spans="1:13">
      <c r="A833" s="229">
        <v>99210</v>
      </c>
      <c r="B833" s="229" t="s">
        <v>1548</v>
      </c>
      <c r="C833" s="105">
        <v>1026852.15</v>
      </c>
      <c r="F833" s="62"/>
      <c r="M833" s="348"/>
    </row>
    <row r="834" spans="1:13">
      <c r="A834" s="229">
        <v>99211</v>
      </c>
      <c r="B834" s="229" t="s">
        <v>1549</v>
      </c>
      <c r="C834" s="105">
        <v>19516825.870000001</v>
      </c>
      <c r="F834" s="62"/>
      <c r="M834" s="348"/>
    </row>
    <row r="835" spans="1:13">
      <c r="A835" s="229">
        <v>99212</v>
      </c>
      <c r="B835" s="229" t="s">
        <v>1550</v>
      </c>
      <c r="C835" s="105">
        <v>34625.85</v>
      </c>
      <c r="F835" s="62"/>
      <c r="M835" s="348"/>
    </row>
    <row r="836" spans="1:13">
      <c r="A836" s="229">
        <v>99213</v>
      </c>
      <c r="B836" s="229" t="s">
        <v>1551</v>
      </c>
      <c r="C836" s="105">
        <v>369196.19</v>
      </c>
      <c r="F836" s="62"/>
      <c r="M836" s="348"/>
    </row>
    <row r="837" spans="1:13">
      <c r="A837" s="229">
        <v>99218</v>
      </c>
      <c r="B837" s="229" t="s">
        <v>1552</v>
      </c>
      <c r="C837" s="105">
        <v>1864163.43</v>
      </c>
      <c r="F837" s="62"/>
      <c r="M837" s="348"/>
    </row>
    <row r="838" spans="1:13">
      <c r="A838" s="229">
        <v>99221</v>
      </c>
      <c r="B838" s="229" t="s">
        <v>1553</v>
      </c>
      <c r="C838" s="105">
        <v>6590863.1299999999</v>
      </c>
      <c r="F838" s="62"/>
      <c r="M838" s="348"/>
    </row>
    <row r="839" spans="1:13">
      <c r="A839" s="229">
        <v>99222</v>
      </c>
      <c r="B839" s="229" t="s">
        <v>1554</v>
      </c>
      <c r="C839" s="105">
        <v>17595.79</v>
      </c>
      <c r="F839" s="62"/>
      <c r="M839" s="348"/>
    </row>
    <row r="840" spans="1:13">
      <c r="A840" s="229">
        <v>99231</v>
      </c>
      <c r="B840" s="229" t="s">
        <v>1555</v>
      </c>
      <c r="C840" s="105">
        <v>187716.83</v>
      </c>
      <c r="F840" s="62"/>
      <c r="M840" s="348"/>
    </row>
    <row r="841" spans="1:13">
      <c r="A841" s="229">
        <v>99241</v>
      </c>
      <c r="B841" s="229" t="s">
        <v>1556</v>
      </c>
      <c r="C841" s="105">
        <v>277114.7</v>
      </c>
      <c r="F841" s="62"/>
      <c r="M841" s="348"/>
    </row>
    <row r="842" spans="1:13">
      <c r="A842" s="229">
        <v>99251</v>
      </c>
      <c r="B842" s="229" t="s">
        <v>1557</v>
      </c>
      <c r="C842" s="105">
        <v>831131.54</v>
      </c>
      <c r="F842" s="62"/>
      <c r="M842" s="348"/>
    </row>
    <row r="843" spans="1:13">
      <c r="A843" s="229">
        <v>99252</v>
      </c>
      <c r="B843" s="229" t="s">
        <v>1558</v>
      </c>
      <c r="C843" s="105">
        <v>253791.84</v>
      </c>
      <c r="F843" s="62"/>
      <c r="M843" s="348"/>
    </row>
    <row r="844" spans="1:13">
      <c r="A844" s="229">
        <v>99261</v>
      </c>
      <c r="B844" s="229" t="s">
        <v>1559</v>
      </c>
      <c r="C844" s="105">
        <v>1034040.67</v>
      </c>
      <c r="F844" s="62"/>
      <c r="M844" s="348"/>
    </row>
    <row r="845" spans="1:13">
      <c r="A845" s="229">
        <v>99271</v>
      </c>
      <c r="B845" s="229" t="s">
        <v>1560</v>
      </c>
      <c r="C845" s="105">
        <v>2116047.13</v>
      </c>
      <c r="F845" s="62"/>
      <c r="M845" s="348"/>
    </row>
    <row r="846" spans="1:13">
      <c r="A846" s="229">
        <v>99281</v>
      </c>
      <c r="B846" s="229" t="s">
        <v>1561</v>
      </c>
      <c r="C846" s="105">
        <v>1230835.01</v>
      </c>
      <c r="F846" s="62"/>
      <c r="M846" s="348"/>
    </row>
    <row r="847" spans="1:13">
      <c r="A847" s="229">
        <v>99291</v>
      </c>
      <c r="B847" s="229" t="s">
        <v>1562</v>
      </c>
      <c r="C847" s="105">
        <v>378307.26</v>
      </c>
      <c r="F847" s="62"/>
      <c r="M847" s="348"/>
    </row>
    <row r="848" spans="1:13">
      <c r="A848" s="229">
        <v>99301</v>
      </c>
      <c r="B848" s="229" t="s">
        <v>1563</v>
      </c>
      <c r="C848" s="105">
        <v>845563.06</v>
      </c>
      <c r="F848" s="62"/>
      <c r="M848" s="348"/>
    </row>
    <row r="849" spans="1:13">
      <c r="A849" s="229">
        <v>99304</v>
      </c>
      <c r="B849" s="229" t="s">
        <v>1564</v>
      </c>
      <c r="C849" s="105">
        <v>8536.4</v>
      </c>
      <c r="F849" s="62"/>
      <c r="M849" s="348"/>
    </row>
    <row r="850" spans="1:13">
      <c r="A850" s="229">
        <v>99311</v>
      </c>
      <c r="B850" s="229" t="s">
        <v>1565</v>
      </c>
      <c r="C850" s="105">
        <v>27314.45</v>
      </c>
      <c r="F850" s="62"/>
      <c r="M850" s="348"/>
    </row>
    <row r="851" spans="1:13">
      <c r="A851" s="229">
        <v>99321</v>
      </c>
      <c r="B851" s="229" t="s">
        <v>1566</v>
      </c>
      <c r="C851" s="105">
        <v>102142.15</v>
      </c>
      <c r="F851" s="62"/>
      <c r="M851" s="348"/>
    </row>
    <row r="852" spans="1:13">
      <c r="A852" s="229">
        <v>99401</v>
      </c>
      <c r="B852" s="229" t="s">
        <v>1567</v>
      </c>
      <c r="C852" s="105">
        <v>441768.67</v>
      </c>
      <c r="F852" s="62"/>
      <c r="M852" s="348"/>
    </row>
    <row r="853" spans="1:13">
      <c r="A853" s="229">
        <v>99404</v>
      </c>
      <c r="B853" s="229" t="s">
        <v>1568</v>
      </c>
      <c r="C853" s="105">
        <v>6125.76</v>
      </c>
      <c r="F853" s="62"/>
      <c r="M853" s="348"/>
    </row>
    <row r="854" spans="1:13">
      <c r="A854" s="229">
        <v>99405</v>
      </c>
      <c r="B854" s="229" t="s">
        <v>1569</v>
      </c>
      <c r="C854" s="105">
        <v>41002.129999999997</v>
      </c>
      <c r="F854" s="62"/>
      <c r="M854" s="348"/>
    </row>
    <row r="855" spans="1:13">
      <c r="A855" s="229">
        <v>99411</v>
      </c>
      <c r="B855" s="229" t="s">
        <v>1570</v>
      </c>
      <c r="C855" s="105">
        <v>95849.9</v>
      </c>
      <c r="F855" s="62"/>
      <c r="M855" s="348"/>
    </row>
    <row r="856" spans="1:13">
      <c r="A856" s="229">
        <v>99413</v>
      </c>
      <c r="B856" s="229" t="s">
        <v>1571</v>
      </c>
      <c r="C856" s="105">
        <v>17376.88</v>
      </c>
      <c r="F856" s="62"/>
      <c r="M856" s="348"/>
    </row>
    <row r="857" spans="1:13">
      <c r="A857" s="229">
        <v>99421</v>
      </c>
      <c r="B857" s="229" t="s">
        <v>1572</v>
      </c>
      <c r="C857" s="105">
        <v>6327.37</v>
      </c>
      <c r="F857" s="62"/>
      <c r="M857" s="348"/>
    </row>
    <row r="858" spans="1:13">
      <c r="A858" s="229">
        <v>99431</v>
      </c>
      <c r="B858" s="229" t="s">
        <v>1573</v>
      </c>
      <c r="C858" s="105">
        <v>8179.74</v>
      </c>
      <c r="F858" s="62"/>
      <c r="M858" s="348"/>
    </row>
    <row r="859" spans="1:13">
      <c r="A859" s="229">
        <v>99501</v>
      </c>
      <c r="B859" s="229" t="s">
        <v>1574</v>
      </c>
      <c r="C859" s="105">
        <v>929542.23</v>
      </c>
      <c r="F859" s="62"/>
      <c r="M859" s="348"/>
    </row>
    <row r="860" spans="1:13">
      <c r="A860" s="229">
        <v>99502</v>
      </c>
      <c r="B860" s="229" t="s">
        <v>1575</v>
      </c>
      <c r="C860" s="105">
        <v>73367.100000000006</v>
      </c>
      <c r="F860" s="62"/>
      <c r="M860" s="348"/>
    </row>
    <row r="861" spans="1:13">
      <c r="A861" s="229">
        <v>99508</v>
      </c>
      <c r="B861" s="229" t="s">
        <v>1576</v>
      </c>
      <c r="C861" s="105">
        <v>11474.81</v>
      </c>
      <c r="F861" s="62"/>
      <c r="M861" s="348"/>
    </row>
    <row r="862" spans="1:13">
      <c r="A862" s="229">
        <v>99509</v>
      </c>
      <c r="B862" s="229" t="s">
        <v>1577</v>
      </c>
      <c r="C862" s="105">
        <v>13482.37</v>
      </c>
      <c r="F862" s="62"/>
      <c r="M862" s="348"/>
    </row>
    <row r="863" spans="1:13">
      <c r="A863" s="229">
        <v>99511</v>
      </c>
      <c r="B863" s="229" t="s">
        <v>1578</v>
      </c>
      <c r="C863" s="105">
        <v>648161.24</v>
      </c>
      <c r="F863" s="62"/>
      <c r="M863" s="348"/>
    </row>
    <row r="864" spans="1:13">
      <c r="A864" s="229">
        <v>99521</v>
      </c>
      <c r="B864" s="229" t="s">
        <v>1579</v>
      </c>
      <c r="C864" s="105">
        <v>221063.9</v>
      </c>
      <c r="F864" s="62"/>
      <c r="M864" s="348"/>
    </row>
    <row r="865" spans="1:13">
      <c r="A865" s="229">
        <v>99527</v>
      </c>
      <c r="B865" s="229" t="s">
        <v>1580</v>
      </c>
      <c r="C865" s="105">
        <v>7218.65</v>
      </c>
      <c r="F865" s="62"/>
      <c r="M865" s="348"/>
    </row>
    <row r="866" spans="1:13">
      <c r="A866" s="229">
        <v>99531</v>
      </c>
      <c r="B866" s="229" t="s">
        <v>1581</v>
      </c>
      <c r="C866" s="105">
        <v>80439.8</v>
      </c>
      <c r="F866" s="62"/>
      <c r="M866" s="348"/>
    </row>
    <row r="867" spans="1:13">
      <c r="A867" s="229">
        <v>99601</v>
      </c>
      <c r="B867" s="229" t="s">
        <v>1582</v>
      </c>
      <c r="C867" s="105">
        <v>2929349</v>
      </c>
      <c r="F867" s="62"/>
      <c r="M867" s="348"/>
    </row>
    <row r="868" spans="1:13">
      <c r="A868" s="229">
        <v>99602</v>
      </c>
      <c r="B868" s="229" t="s">
        <v>1583</v>
      </c>
      <c r="C868" s="105">
        <v>27048.400000000001</v>
      </c>
      <c r="F868" s="62"/>
      <c r="M868" s="348"/>
    </row>
    <row r="869" spans="1:13">
      <c r="A869" s="229">
        <v>99603</v>
      </c>
      <c r="B869" s="229" t="s">
        <v>1584</v>
      </c>
      <c r="C869" s="105">
        <v>93955.91</v>
      </c>
      <c r="F869" s="62"/>
      <c r="M869" s="348"/>
    </row>
    <row r="870" spans="1:13">
      <c r="A870" s="229">
        <v>99604</v>
      </c>
      <c r="B870" s="229" t="s">
        <v>1585</v>
      </c>
      <c r="C870" s="105">
        <v>60756.54</v>
      </c>
      <c r="F870" s="62"/>
      <c r="M870" s="348"/>
    </row>
    <row r="871" spans="1:13">
      <c r="A871" s="229">
        <v>99609</v>
      </c>
      <c r="B871" s="229" t="s">
        <v>1586</v>
      </c>
      <c r="C871" s="105">
        <v>12222.47</v>
      </c>
      <c r="F871" s="62"/>
      <c r="M871" s="348"/>
    </row>
    <row r="872" spans="1:13">
      <c r="A872" s="229">
        <v>99610</v>
      </c>
      <c r="B872" s="229" t="s">
        <v>1587</v>
      </c>
      <c r="C872" s="105">
        <v>96910.04</v>
      </c>
      <c r="F872" s="62"/>
      <c r="M872" s="348"/>
    </row>
    <row r="873" spans="1:13">
      <c r="A873" s="229">
        <v>99611</v>
      </c>
      <c r="B873" s="229" t="s">
        <v>1588</v>
      </c>
      <c r="C873" s="105">
        <v>1650256.71</v>
      </c>
      <c r="F873" s="62"/>
      <c r="M873" s="348"/>
    </row>
    <row r="874" spans="1:13">
      <c r="A874" s="229">
        <v>99613</v>
      </c>
      <c r="B874" s="229" t="s">
        <v>1589</v>
      </c>
      <c r="C874" s="105">
        <v>181222.44</v>
      </c>
      <c r="F874" s="62"/>
      <c r="M874" s="348"/>
    </row>
    <row r="875" spans="1:13">
      <c r="A875" s="229">
        <v>99621</v>
      </c>
      <c r="B875" s="229" t="s">
        <v>1590</v>
      </c>
      <c r="C875" s="105">
        <v>179701.52</v>
      </c>
      <c r="F875" s="62"/>
      <c r="M875" s="348"/>
    </row>
    <row r="876" spans="1:13">
      <c r="A876" s="229">
        <v>99623</v>
      </c>
      <c r="B876" s="229" t="s">
        <v>1591</v>
      </c>
      <c r="C876" s="105">
        <v>7056.34</v>
      </c>
      <c r="F876" s="62"/>
      <c r="M876" s="348"/>
    </row>
    <row r="877" spans="1:13">
      <c r="A877" s="229">
        <v>99631</v>
      </c>
      <c r="B877" s="229" t="s">
        <v>1592</v>
      </c>
      <c r="C877" s="105">
        <v>48309.46</v>
      </c>
      <c r="F877" s="62"/>
      <c r="M877" s="348"/>
    </row>
    <row r="878" spans="1:13">
      <c r="A878" s="229">
        <v>99651</v>
      </c>
      <c r="B878" s="229" t="s">
        <v>1593</v>
      </c>
      <c r="C878" s="105">
        <v>35232.94</v>
      </c>
      <c r="F878" s="62"/>
      <c r="M878" s="348"/>
    </row>
    <row r="879" spans="1:13">
      <c r="A879" s="229">
        <v>99661</v>
      </c>
      <c r="B879" s="229" t="s">
        <v>1594</v>
      </c>
      <c r="C879" s="105">
        <v>50110.45</v>
      </c>
      <c r="F879" s="62"/>
      <c r="M879" s="348"/>
    </row>
    <row r="880" spans="1:13">
      <c r="A880" s="229">
        <v>99701</v>
      </c>
      <c r="B880" s="229" t="s">
        <v>1595</v>
      </c>
      <c r="C880" s="105">
        <v>1535406.56</v>
      </c>
      <c r="F880" s="62"/>
      <c r="M880" s="348"/>
    </row>
    <row r="881" spans="1:15">
      <c r="A881" s="229">
        <v>99705</v>
      </c>
      <c r="B881" s="229" t="s">
        <v>1596</v>
      </c>
      <c r="C881" s="105">
        <v>103448.72</v>
      </c>
      <c r="F881" s="62"/>
      <c r="M881" s="348"/>
    </row>
    <row r="882" spans="1:15">
      <c r="A882" s="229">
        <v>99711</v>
      </c>
      <c r="B882" s="229" t="s">
        <v>1597</v>
      </c>
      <c r="C882" s="105">
        <v>236603.96</v>
      </c>
      <c r="F882" s="62"/>
      <c r="M882" s="348"/>
    </row>
    <row r="883" spans="1:15">
      <c r="A883" s="229">
        <v>99717</v>
      </c>
      <c r="B883" s="229" t="s">
        <v>1598</v>
      </c>
      <c r="C883" s="105">
        <v>10021.69</v>
      </c>
      <c r="F883" s="62"/>
      <c r="M883" s="348"/>
    </row>
    <row r="884" spans="1:15">
      <c r="A884" s="229">
        <v>99721</v>
      </c>
      <c r="B884" s="229" t="s">
        <v>1599</v>
      </c>
      <c r="C884" s="105">
        <v>301573.78999999998</v>
      </c>
      <c r="F884" s="62"/>
      <c r="M884" s="348"/>
    </row>
    <row r="885" spans="1:15">
      <c r="A885" s="229">
        <v>99727</v>
      </c>
      <c r="B885" s="229" t="s">
        <v>1600</v>
      </c>
      <c r="C885" s="105">
        <v>47853.68</v>
      </c>
      <c r="F885" s="62"/>
      <c r="M885" s="348"/>
    </row>
    <row r="886" spans="1:15">
      <c r="A886" s="229">
        <v>99801</v>
      </c>
      <c r="B886" s="229" t="s">
        <v>1601</v>
      </c>
      <c r="C886" s="105">
        <v>2413658.79</v>
      </c>
      <c r="F886" s="62"/>
      <c r="M886" s="348"/>
    </row>
    <row r="887" spans="1:15">
      <c r="A887" s="229">
        <v>99802</v>
      </c>
      <c r="B887" s="229" t="s">
        <v>1602</v>
      </c>
      <c r="C887" s="105">
        <v>7863.72</v>
      </c>
      <c r="F887" s="62"/>
      <c r="M887" s="348"/>
    </row>
    <row r="888" spans="1:15">
      <c r="A888" s="229">
        <v>99804</v>
      </c>
      <c r="B888" s="229" t="s">
        <v>1603</v>
      </c>
      <c r="C888" s="105">
        <v>49647.28</v>
      </c>
      <c r="F888" s="62"/>
      <c r="M888" s="348"/>
    </row>
    <row r="889" spans="1:15">
      <c r="A889" s="229">
        <v>99811</v>
      </c>
      <c r="B889" s="229" t="s">
        <v>1604</v>
      </c>
      <c r="C889" s="105">
        <v>3255140.88</v>
      </c>
      <c r="F889" s="62"/>
      <c r="M889" s="348"/>
    </row>
    <row r="890" spans="1:15">
      <c r="A890" s="229">
        <v>99812</v>
      </c>
      <c r="B890" s="229" t="s">
        <v>1605</v>
      </c>
      <c r="C890" s="105">
        <v>22565.64</v>
      </c>
      <c r="F890" s="62"/>
      <c r="M890" s="348"/>
    </row>
    <row r="891" spans="1:15">
      <c r="A891" s="229">
        <v>99818</v>
      </c>
      <c r="B891" s="229" t="s">
        <v>1606</v>
      </c>
      <c r="C891" s="105">
        <v>15169.44</v>
      </c>
      <c r="F891" s="62"/>
      <c r="M891" s="348"/>
    </row>
    <row r="892" spans="1:15">
      <c r="A892" s="229">
        <v>99821</v>
      </c>
      <c r="B892" s="229" t="s">
        <v>1607</v>
      </c>
      <c r="C892" s="105">
        <v>54378.720000000001</v>
      </c>
      <c r="F892" s="62"/>
      <c r="M892" s="348"/>
    </row>
    <row r="893" spans="1:15">
      <c r="A893" s="229">
        <v>99831</v>
      </c>
      <c r="B893" s="229" t="s">
        <v>1608</v>
      </c>
      <c r="C893" s="105">
        <v>32536.22</v>
      </c>
      <c r="F893" s="62"/>
      <c r="M893" s="348"/>
    </row>
    <row r="894" spans="1:15">
      <c r="A894" s="229">
        <v>99841</v>
      </c>
      <c r="B894" s="229" t="s">
        <v>1609</v>
      </c>
      <c r="C894" s="105">
        <v>14928.34</v>
      </c>
      <c r="H894" s="62"/>
      <c r="M894" s="348"/>
      <c r="O894" s="348"/>
    </row>
    <row r="895" spans="1:15">
      <c r="A895" s="229">
        <v>99851</v>
      </c>
      <c r="B895" s="229" t="s">
        <v>1610</v>
      </c>
      <c r="C895" s="105">
        <v>5845.95</v>
      </c>
      <c r="F895" s="62"/>
      <c r="M895" s="348"/>
    </row>
    <row r="896" spans="1:15">
      <c r="A896" s="229">
        <v>99901</v>
      </c>
      <c r="B896" s="229" t="s">
        <v>1611</v>
      </c>
      <c r="C896" s="105">
        <v>808549.55</v>
      </c>
      <c r="F896" s="62"/>
      <c r="M896" s="348"/>
    </row>
    <row r="897" spans="1:13">
      <c r="A897" s="229">
        <v>99911</v>
      </c>
      <c r="B897" s="229" t="s">
        <v>1612</v>
      </c>
      <c r="C897" s="105">
        <v>140611.01</v>
      </c>
      <c r="F897" s="62"/>
      <c r="M897" s="348"/>
    </row>
    <row r="898" spans="1:13">
      <c r="A898" s="229">
        <v>99921</v>
      </c>
      <c r="B898" s="229" t="s">
        <v>1613</v>
      </c>
      <c r="C898" s="105">
        <v>71036.100000000006</v>
      </c>
      <c r="F898" s="62"/>
      <c r="M898" s="348"/>
    </row>
    <row r="899" spans="1:13">
      <c r="A899" s="229">
        <v>99931</v>
      </c>
      <c r="B899" s="229" t="s">
        <v>1614</v>
      </c>
      <c r="C899" s="105">
        <v>10998.46</v>
      </c>
      <c r="F899" s="62"/>
      <c r="M899" s="385"/>
    </row>
    <row r="900" spans="1:13">
      <c r="A900" s="229">
        <v>99941</v>
      </c>
      <c r="B900" s="229" t="s">
        <v>1615</v>
      </c>
      <c r="C900" s="105">
        <v>32467.22</v>
      </c>
      <c r="F900" s="62"/>
      <c r="M900" s="348"/>
    </row>
    <row r="901" spans="1:13">
      <c r="A901" s="229">
        <v>99991</v>
      </c>
      <c r="B901" s="229" t="s">
        <v>1616</v>
      </c>
      <c r="C901" s="105">
        <v>269354.76</v>
      </c>
      <c r="F901" s="62"/>
      <c r="M901" s="348"/>
    </row>
    <row r="902" spans="1:13">
      <c r="A902" s="229">
        <v>99999</v>
      </c>
      <c r="B902" s="229" t="s">
        <v>1617</v>
      </c>
      <c r="C902" s="105">
        <v>598364.74</v>
      </c>
      <c r="F902" s="62"/>
      <c r="M902" s="385"/>
    </row>
    <row r="903" spans="1:13">
      <c r="F903" s="62"/>
      <c r="M903" s="348"/>
    </row>
    <row r="928" spans="1:1">
      <c r="A928" s="229" t="s">
        <v>3511</v>
      </c>
    </row>
    <row r="929" spans="1:3">
      <c r="A929" s="229">
        <v>91119</v>
      </c>
      <c r="B929" s="229" t="s">
        <v>48</v>
      </c>
      <c r="C929" s="105">
        <v>0</v>
      </c>
    </row>
    <row r="930" spans="1:3">
      <c r="A930" s="229">
        <v>92414</v>
      </c>
      <c r="B930" s="229" t="s">
        <v>2060</v>
      </c>
      <c r="C930" s="105">
        <v>0</v>
      </c>
    </row>
    <row r="931" spans="1:3">
      <c r="A931" s="229">
        <v>92608</v>
      </c>
      <c r="B931" s="229" t="s">
        <v>972</v>
      </c>
      <c r="C931" s="105">
        <v>0</v>
      </c>
    </row>
    <row r="932" spans="1:3">
      <c r="A932" s="229">
        <v>93408</v>
      </c>
      <c r="B932" s="229" t="s">
        <v>1043</v>
      </c>
      <c r="C932" s="105">
        <v>0</v>
      </c>
    </row>
    <row r="933" spans="1:3">
      <c r="A933" s="229">
        <v>94402</v>
      </c>
      <c r="B933" s="229" t="s">
        <v>1139</v>
      </c>
      <c r="C933" s="105">
        <v>0</v>
      </c>
    </row>
    <row r="934" spans="1:3">
      <c r="A934" s="229">
        <v>95412</v>
      </c>
      <c r="B934" s="229" t="s">
        <v>1220</v>
      </c>
      <c r="C934" s="105">
        <v>0</v>
      </c>
    </row>
    <row r="935" spans="1:3">
      <c r="A935" s="229">
        <v>93202</v>
      </c>
      <c r="B935" s="229" t="s">
        <v>1022</v>
      </c>
      <c r="C935" s="105">
        <v>0</v>
      </c>
    </row>
    <row r="936" spans="1:3">
      <c r="A936" s="229">
        <v>93677</v>
      </c>
      <c r="B936" s="229" t="s">
        <v>98</v>
      </c>
      <c r="C936" s="105">
        <v>0</v>
      </c>
    </row>
    <row r="937" spans="1:3">
      <c r="A937" s="229">
        <v>94512</v>
      </c>
      <c r="B937" s="229" t="s">
        <v>1151</v>
      </c>
      <c r="C937" s="105">
        <v>0</v>
      </c>
    </row>
    <row r="938" spans="1:3">
      <c r="A938" s="229">
        <v>97010</v>
      </c>
      <c r="B938" s="229" t="s">
        <v>1351</v>
      </c>
      <c r="C938" s="105">
        <v>0</v>
      </c>
    </row>
    <row r="939" spans="1:3">
      <c r="A939" s="229">
        <v>97491</v>
      </c>
      <c r="B939" s="229" t="s">
        <v>3509</v>
      </c>
    </row>
    <row r="2366" spans="1:1">
      <c r="A2366" s="106"/>
    </row>
  </sheetData>
  <sheetProtection password="CEAA" sheet="1" objects="1" scenarios="1"/>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52"/>
  <sheetViews>
    <sheetView zoomScaleNormal="100" workbookViewId="0"/>
  </sheetViews>
  <sheetFormatPr defaultRowHeight="15"/>
  <cols>
    <col min="1" max="1" width="12.140625" style="104" bestFit="1" customWidth="1"/>
    <col min="2" max="2" width="55.5703125" style="104" bestFit="1" customWidth="1"/>
    <col min="3" max="3" width="27" style="105" bestFit="1" customWidth="1"/>
    <col min="4" max="4" width="9.140625" style="104"/>
    <col min="6" max="6" width="21" customWidth="1"/>
  </cols>
  <sheetData>
    <row r="1" spans="1:6" ht="15.75" thickBot="1">
      <c r="C1" s="244">
        <f>SUM(C4:C902)-SUM(C665,C666)</f>
        <v>489372689.15926653</v>
      </c>
      <c r="F1" s="244"/>
    </row>
    <row r="2" spans="1:6" ht="15.75" thickTop="1">
      <c r="A2" s="102" t="s">
        <v>1637</v>
      </c>
      <c r="B2" s="102" t="s">
        <v>1638</v>
      </c>
      <c r="C2" s="103" t="s">
        <v>1935</v>
      </c>
      <c r="D2" s="104" t="s">
        <v>1639</v>
      </c>
    </row>
    <row r="3" spans="1:6">
      <c r="A3" s="109" t="s">
        <v>692</v>
      </c>
      <c r="B3" s="108" t="s">
        <v>691</v>
      </c>
      <c r="C3" s="107">
        <v>0</v>
      </c>
    </row>
    <row r="4" spans="1:6">
      <c r="A4" s="104">
        <v>70505</v>
      </c>
      <c r="B4" s="104" t="s">
        <v>727</v>
      </c>
      <c r="C4" s="105">
        <v>199598.35992399999</v>
      </c>
    </row>
    <row r="5" spans="1:6">
      <c r="A5" s="104">
        <v>72265</v>
      </c>
      <c r="B5" s="104" t="s">
        <v>728</v>
      </c>
      <c r="C5" s="105">
        <v>73112.032791999998</v>
      </c>
    </row>
    <row r="6" spans="1:6">
      <c r="A6" s="104">
        <v>72593</v>
      </c>
      <c r="B6" s="104" t="s">
        <v>729</v>
      </c>
      <c r="C6" s="105">
        <v>2108.5935119999999</v>
      </c>
    </row>
    <row r="7" spans="1:6">
      <c r="A7" s="104">
        <v>72657</v>
      </c>
      <c r="B7" s="104" t="s">
        <v>730</v>
      </c>
      <c r="C7" s="105">
        <v>17248.676455000001</v>
      </c>
    </row>
    <row r="8" spans="1:6">
      <c r="A8" s="104">
        <v>90001</v>
      </c>
      <c r="B8" s="104" t="s">
        <v>731</v>
      </c>
      <c r="C8" s="105">
        <v>422349.85847900005</v>
      </c>
    </row>
    <row r="9" spans="1:6">
      <c r="A9" s="104">
        <v>90002</v>
      </c>
      <c r="B9" s="104" t="s">
        <v>732</v>
      </c>
      <c r="C9" s="105">
        <v>6507.4400000000005</v>
      </c>
    </row>
    <row r="10" spans="1:6">
      <c r="A10" s="104">
        <v>90011</v>
      </c>
      <c r="B10" s="104" t="s">
        <v>733</v>
      </c>
      <c r="C10" s="105">
        <v>89505.698597999988</v>
      </c>
    </row>
    <row r="11" spans="1:6">
      <c r="A11" s="104">
        <v>90092</v>
      </c>
      <c r="B11" s="104" t="s">
        <v>734</v>
      </c>
      <c r="C11" s="105">
        <v>190866.46999999997</v>
      </c>
    </row>
    <row r="12" spans="1:6">
      <c r="A12" s="104">
        <v>90096</v>
      </c>
      <c r="B12" s="104" t="s">
        <v>735</v>
      </c>
      <c r="C12" s="105">
        <v>544431.75999999989</v>
      </c>
    </row>
    <row r="13" spans="1:6">
      <c r="A13" s="104">
        <v>90098</v>
      </c>
      <c r="B13" s="104" t="s">
        <v>736</v>
      </c>
      <c r="C13" s="105">
        <v>156011.64000000001</v>
      </c>
    </row>
    <row r="14" spans="1:6">
      <c r="A14" s="104">
        <v>90099</v>
      </c>
      <c r="B14" s="104" t="s">
        <v>737</v>
      </c>
      <c r="C14" s="105">
        <v>309544.27999999997</v>
      </c>
    </row>
    <row r="15" spans="1:6">
      <c r="A15" s="104">
        <v>90101</v>
      </c>
      <c r="B15" s="104" t="s">
        <v>738</v>
      </c>
      <c r="C15" s="105">
        <v>3133228.3914639996</v>
      </c>
    </row>
    <row r="16" spans="1:6">
      <c r="A16" s="104">
        <v>90111</v>
      </c>
      <c r="B16" s="104" t="s">
        <v>739</v>
      </c>
      <c r="C16" s="105">
        <v>2405333.1541330004</v>
      </c>
    </row>
    <row r="17" spans="1:3">
      <c r="A17" s="104">
        <v>90114</v>
      </c>
      <c r="B17" s="104" t="s">
        <v>740</v>
      </c>
      <c r="C17" s="105">
        <v>1198986.5376889999</v>
      </c>
    </row>
    <row r="18" spans="1:3">
      <c r="A18" s="104">
        <v>90117</v>
      </c>
      <c r="B18" s="104" t="s">
        <v>741</v>
      </c>
      <c r="C18" s="105">
        <v>88275.01999999999</v>
      </c>
    </row>
    <row r="19" spans="1:3">
      <c r="A19" s="104">
        <v>90121</v>
      </c>
      <c r="B19" s="104" t="s">
        <v>742</v>
      </c>
      <c r="C19" s="105">
        <v>462400.56641199999</v>
      </c>
    </row>
    <row r="20" spans="1:3">
      <c r="A20" s="104">
        <v>90131</v>
      </c>
      <c r="B20" s="104" t="s">
        <v>743</v>
      </c>
      <c r="C20" s="105">
        <v>219611.64030300002</v>
      </c>
    </row>
    <row r="21" spans="1:3">
      <c r="A21" s="104">
        <v>90141</v>
      </c>
      <c r="B21" s="104" t="s">
        <v>744</v>
      </c>
      <c r="C21" s="105">
        <v>68863.357900000003</v>
      </c>
    </row>
    <row r="22" spans="1:3">
      <c r="A22" s="104">
        <v>90151</v>
      </c>
      <c r="B22" s="104" t="s">
        <v>745</v>
      </c>
      <c r="C22" s="105">
        <v>3287.6400000000012</v>
      </c>
    </row>
    <row r="23" spans="1:3">
      <c r="A23" s="104">
        <v>90161</v>
      </c>
      <c r="B23" s="104" t="s">
        <v>746</v>
      </c>
      <c r="C23" s="105">
        <v>16093.92</v>
      </c>
    </row>
    <row r="24" spans="1:3">
      <c r="A24" s="104">
        <v>90201</v>
      </c>
      <c r="B24" s="104" t="s">
        <v>747</v>
      </c>
      <c r="C24" s="105">
        <v>578316.74769100011</v>
      </c>
    </row>
    <row r="25" spans="1:3">
      <c r="A25" s="104">
        <v>90203</v>
      </c>
      <c r="B25" s="104" t="s">
        <v>748</v>
      </c>
      <c r="C25" s="105">
        <v>101603.37</v>
      </c>
    </row>
    <row r="26" spans="1:3">
      <c r="A26" s="104">
        <v>90205</v>
      </c>
      <c r="B26" s="104" t="s">
        <v>749</v>
      </c>
      <c r="C26" s="105">
        <v>16633.099999999999</v>
      </c>
    </row>
    <row r="27" spans="1:3">
      <c r="A27" s="104">
        <v>90206</v>
      </c>
      <c r="B27" s="104" t="s">
        <v>750</v>
      </c>
      <c r="C27" s="105">
        <v>199183.31</v>
      </c>
    </row>
    <row r="28" spans="1:3">
      <c r="A28" s="104">
        <v>90211</v>
      </c>
      <c r="B28" s="104" t="s">
        <v>751</v>
      </c>
      <c r="C28" s="105">
        <v>79199.972299999994</v>
      </c>
    </row>
    <row r="29" spans="1:3">
      <c r="A29" s="104">
        <v>90301</v>
      </c>
      <c r="B29" s="104" t="s">
        <v>752</v>
      </c>
      <c r="C29" s="105">
        <v>305923.23929700005</v>
      </c>
    </row>
    <row r="30" spans="1:3">
      <c r="A30" s="104">
        <v>90305</v>
      </c>
      <c r="B30" s="104" t="s">
        <v>753</v>
      </c>
      <c r="C30" s="105">
        <v>86244.7</v>
      </c>
    </row>
    <row r="31" spans="1:3">
      <c r="A31" s="104">
        <v>90307</v>
      </c>
      <c r="B31" s="104" t="s">
        <v>754</v>
      </c>
      <c r="C31" s="105">
        <v>4263.0800000000008</v>
      </c>
    </row>
    <row r="32" spans="1:3">
      <c r="A32" s="104">
        <v>90401</v>
      </c>
      <c r="B32" s="104" t="s">
        <v>755</v>
      </c>
      <c r="C32" s="105">
        <v>665185.52275500016</v>
      </c>
    </row>
    <row r="33" spans="1:3">
      <c r="A33" s="104">
        <v>90411</v>
      </c>
      <c r="B33" s="104" t="s">
        <v>756</v>
      </c>
      <c r="C33" s="105">
        <v>159556.95428000001</v>
      </c>
    </row>
    <row r="34" spans="1:3">
      <c r="A34" s="104">
        <v>90413</v>
      </c>
      <c r="B34" s="104" t="s">
        <v>757</v>
      </c>
      <c r="C34" s="105">
        <v>19071.850000000002</v>
      </c>
    </row>
    <row r="35" spans="1:3">
      <c r="A35" s="104">
        <v>90417</v>
      </c>
      <c r="B35" s="104" t="s">
        <v>758</v>
      </c>
      <c r="C35" s="105">
        <v>8909.3100000000013</v>
      </c>
    </row>
    <row r="36" spans="1:3">
      <c r="A36" s="104">
        <v>90421</v>
      </c>
      <c r="B36" s="104" t="s">
        <v>759</v>
      </c>
      <c r="C36" s="105">
        <v>8994.8979870000003</v>
      </c>
    </row>
    <row r="37" spans="1:3">
      <c r="A37" s="104">
        <v>90431</v>
      </c>
      <c r="B37" s="104" t="s">
        <v>760</v>
      </c>
      <c r="C37" s="105">
        <v>23132.455287999997</v>
      </c>
    </row>
    <row r="38" spans="1:3">
      <c r="A38" s="104">
        <v>90441</v>
      </c>
      <c r="B38" s="104" t="s">
        <v>761</v>
      </c>
      <c r="C38" s="105">
        <v>5251.9900000000007</v>
      </c>
    </row>
    <row r="39" spans="1:3">
      <c r="A39" s="104">
        <v>90451</v>
      </c>
      <c r="B39" s="104" t="s">
        <v>762</v>
      </c>
      <c r="C39" s="105">
        <v>9876.260000000002</v>
      </c>
    </row>
    <row r="40" spans="1:3">
      <c r="A40" s="104">
        <v>90461</v>
      </c>
      <c r="B40" s="104" t="s">
        <v>763</v>
      </c>
      <c r="C40" s="105">
        <v>4462.0399999999991</v>
      </c>
    </row>
    <row r="41" spans="1:3">
      <c r="A41" s="104">
        <v>90501</v>
      </c>
      <c r="B41" s="104" t="s">
        <v>764</v>
      </c>
      <c r="C41" s="105">
        <v>706559.66756500001</v>
      </c>
    </row>
    <row r="42" spans="1:3">
      <c r="A42" s="104">
        <v>90507</v>
      </c>
      <c r="B42" s="104" t="s">
        <v>34</v>
      </c>
      <c r="C42" s="105">
        <v>10999.19</v>
      </c>
    </row>
    <row r="43" spans="1:3">
      <c r="A43" s="104">
        <v>90511</v>
      </c>
      <c r="B43" s="104" t="s">
        <v>765</v>
      </c>
      <c r="C43" s="105">
        <v>54677.298566999991</v>
      </c>
    </row>
    <row r="44" spans="1:3">
      <c r="A44" s="104">
        <v>90521</v>
      </c>
      <c r="B44" s="104" t="s">
        <v>766</v>
      </c>
      <c r="C44" s="105">
        <v>56165.444559999989</v>
      </c>
    </row>
    <row r="45" spans="1:3">
      <c r="A45" s="104">
        <v>90601</v>
      </c>
      <c r="B45" s="104" t="s">
        <v>767</v>
      </c>
      <c r="C45" s="105">
        <v>569631.02223500004</v>
      </c>
    </row>
    <row r="46" spans="1:3">
      <c r="A46" s="104">
        <v>90602</v>
      </c>
      <c r="B46" s="104" t="s">
        <v>259</v>
      </c>
      <c r="C46" s="105">
        <v>43992.960000000006</v>
      </c>
    </row>
    <row r="47" spans="1:3">
      <c r="A47" s="104">
        <v>90605</v>
      </c>
      <c r="B47" s="104" t="s">
        <v>768</v>
      </c>
      <c r="C47" s="105">
        <v>27630.29</v>
      </c>
    </row>
    <row r="48" spans="1:3">
      <c r="A48" s="104">
        <v>90611</v>
      </c>
      <c r="B48" s="104" t="s">
        <v>769</v>
      </c>
      <c r="C48" s="105">
        <v>65699.086356999993</v>
      </c>
    </row>
    <row r="49" spans="1:3">
      <c r="A49" s="104">
        <v>90617</v>
      </c>
      <c r="B49" s="104" t="s">
        <v>770</v>
      </c>
      <c r="C49" s="105">
        <v>14672.75</v>
      </c>
    </row>
    <row r="50" spans="1:3">
      <c r="A50" s="104">
        <v>90621</v>
      </c>
      <c r="B50" s="104" t="s">
        <v>771</v>
      </c>
      <c r="C50" s="105">
        <v>27186.651186999999</v>
      </c>
    </row>
    <row r="51" spans="1:3">
      <c r="A51" s="104">
        <v>90631</v>
      </c>
      <c r="B51" s="104" t="s">
        <v>772</v>
      </c>
      <c r="C51" s="105">
        <v>183176.35238399997</v>
      </c>
    </row>
    <row r="52" spans="1:3">
      <c r="A52" s="104">
        <v>90641</v>
      </c>
      <c r="B52" s="104" t="s">
        <v>773</v>
      </c>
      <c r="C52" s="105">
        <v>7183.64</v>
      </c>
    </row>
    <row r="53" spans="1:3">
      <c r="A53" s="104">
        <v>90651</v>
      </c>
      <c r="B53" s="104" t="s">
        <v>1936</v>
      </c>
      <c r="C53" s="105">
        <v>102653.53967900001</v>
      </c>
    </row>
    <row r="54" spans="1:3">
      <c r="A54" s="104">
        <v>90701</v>
      </c>
      <c r="B54" s="104" t="s">
        <v>775</v>
      </c>
      <c r="C54" s="105">
        <v>1197981.5530330001</v>
      </c>
    </row>
    <row r="55" spans="1:3">
      <c r="A55" s="104">
        <v>90704</v>
      </c>
      <c r="B55" s="104" t="s">
        <v>776</v>
      </c>
      <c r="C55" s="105">
        <v>27041.129999999997</v>
      </c>
    </row>
    <row r="56" spans="1:3">
      <c r="A56" s="104">
        <v>90705</v>
      </c>
      <c r="B56" s="104" t="s">
        <v>777</v>
      </c>
      <c r="C56" s="105">
        <v>23511.609999999997</v>
      </c>
    </row>
    <row r="57" spans="1:3">
      <c r="A57" s="104">
        <v>90709</v>
      </c>
      <c r="B57" s="104" t="s">
        <v>778</v>
      </c>
      <c r="C57" s="105">
        <v>93850.66</v>
      </c>
    </row>
    <row r="58" spans="1:3">
      <c r="A58" s="104">
        <v>90711</v>
      </c>
      <c r="B58" s="104" t="s">
        <v>779</v>
      </c>
      <c r="C58" s="105">
        <v>779300.719193</v>
      </c>
    </row>
    <row r="59" spans="1:3">
      <c r="A59" s="104">
        <v>90721</v>
      </c>
      <c r="B59" s="104" t="s">
        <v>780</v>
      </c>
      <c r="C59" s="105">
        <v>14420.602866000001</v>
      </c>
    </row>
    <row r="60" spans="1:3">
      <c r="A60" s="104">
        <v>90731</v>
      </c>
      <c r="B60" s="104" t="s">
        <v>781</v>
      </c>
      <c r="C60" s="105">
        <v>79076.148457999996</v>
      </c>
    </row>
    <row r="61" spans="1:3">
      <c r="A61" s="104">
        <v>90741</v>
      </c>
      <c r="B61" s="104" t="s">
        <v>782</v>
      </c>
      <c r="C61" s="105">
        <v>7000.1099999999988</v>
      </c>
    </row>
    <row r="62" spans="1:3">
      <c r="A62" s="104">
        <v>90751</v>
      </c>
      <c r="B62" s="104" t="s">
        <v>783</v>
      </c>
      <c r="C62" s="105">
        <v>32337.097335999999</v>
      </c>
    </row>
    <row r="63" spans="1:3">
      <c r="A63" s="104">
        <v>90801</v>
      </c>
      <c r="B63" s="104" t="s">
        <v>784</v>
      </c>
      <c r="C63" s="105">
        <v>563452.00778100011</v>
      </c>
    </row>
    <row r="64" spans="1:3">
      <c r="A64" s="104">
        <v>90804</v>
      </c>
      <c r="B64" s="104" t="s">
        <v>785</v>
      </c>
      <c r="C64" s="105">
        <v>2846.16</v>
      </c>
    </row>
    <row r="65" spans="1:3">
      <c r="A65" s="104">
        <v>90805</v>
      </c>
      <c r="B65" s="104" t="s">
        <v>786</v>
      </c>
      <c r="C65" s="105">
        <v>40885.439999999995</v>
      </c>
    </row>
    <row r="66" spans="1:3">
      <c r="A66" s="104">
        <v>90808</v>
      </c>
      <c r="B66" s="104" t="s">
        <v>787</v>
      </c>
      <c r="C66" s="105">
        <v>59800.12000000001</v>
      </c>
    </row>
    <row r="67" spans="1:3">
      <c r="A67" s="104">
        <v>90811</v>
      </c>
      <c r="B67" s="104" t="s">
        <v>788</v>
      </c>
      <c r="C67" s="105">
        <v>11840</v>
      </c>
    </row>
    <row r="68" spans="1:3">
      <c r="A68" s="104">
        <v>90812</v>
      </c>
      <c r="B68" s="104" t="s">
        <v>789</v>
      </c>
      <c r="C68" s="105">
        <v>108049.17192200001</v>
      </c>
    </row>
    <row r="69" spans="1:3">
      <c r="A69" s="104">
        <v>90813</v>
      </c>
      <c r="B69" s="104" t="s">
        <v>790</v>
      </c>
      <c r="C69" s="105">
        <v>2202.62</v>
      </c>
    </row>
    <row r="70" spans="1:3">
      <c r="A70" s="104">
        <v>90861</v>
      </c>
      <c r="B70" s="104" t="s">
        <v>791</v>
      </c>
      <c r="C70" s="105">
        <v>6397.6289590000006</v>
      </c>
    </row>
    <row r="71" spans="1:3">
      <c r="A71" s="104">
        <v>90901</v>
      </c>
      <c r="B71" s="104" t="s">
        <v>792</v>
      </c>
      <c r="C71" s="105">
        <v>1076135.984125</v>
      </c>
    </row>
    <row r="72" spans="1:3">
      <c r="A72" s="104">
        <v>90911</v>
      </c>
      <c r="B72" s="104" t="s">
        <v>793</v>
      </c>
      <c r="C72" s="105">
        <v>172044.33497899998</v>
      </c>
    </row>
    <row r="73" spans="1:3">
      <c r="A73" s="104">
        <v>90917</v>
      </c>
      <c r="B73" s="104" t="s">
        <v>794</v>
      </c>
      <c r="C73" s="105">
        <v>6378.0800000000008</v>
      </c>
    </row>
    <row r="74" spans="1:3">
      <c r="A74" s="104">
        <v>90918</v>
      </c>
      <c r="B74" s="104" t="s">
        <v>795</v>
      </c>
      <c r="C74" s="105">
        <v>5036.16</v>
      </c>
    </row>
    <row r="75" spans="1:3">
      <c r="A75" s="104">
        <v>90921</v>
      </c>
      <c r="B75" s="104" t="s">
        <v>796</v>
      </c>
      <c r="C75" s="105">
        <v>62914.783684999995</v>
      </c>
    </row>
    <row r="76" spans="1:3">
      <c r="A76" s="104">
        <v>90931</v>
      </c>
      <c r="B76" s="104" t="s">
        <v>797</v>
      </c>
      <c r="C76" s="105">
        <v>16352.750000000004</v>
      </c>
    </row>
    <row r="77" spans="1:3">
      <c r="A77" s="104">
        <v>90941</v>
      </c>
      <c r="B77" s="104" t="s">
        <v>798</v>
      </c>
      <c r="C77" s="105">
        <v>39056.296876000008</v>
      </c>
    </row>
    <row r="78" spans="1:3">
      <c r="A78" s="104">
        <v>91001</v>
      </c>
      <c r="B78" s="104" t="s">
        <v>799</v>
      </c>
      <c r="C78" s="105">
        <v>3090374.0773109999</v>
      </c>
    </row>
    <row r="79" spans="1:3">
      <c r="A79" s="104">
        <v>91002</v>
      </c>
      <c r="B79" s="104" t="s">
        <v>800</v>
      </c>
      <c r="C79" s="105">
        <v>407170.49087800004</v>
      </c>
    </row>
    <row r="80" spans="1:3">
      <c r="A80" s="104">
        <v>91003</v>
      </c>
      <c r="B80" s="104" t="s">
        <v>801</v>
      </c>
      <c r="C80" s="105">
        <v>270617.24</v>
      </c>
    </row>
    <row r="81" spans="1:3">
      <c r="A81" s="104">
        <v>91004</v>
      </c>
      <c r="B81" s="104" t="s">
        <v>802</v>
      </c>
      <c r="C81" s="105">
        <v>17386.820000000003</v>
      </c>
    </row>
    <row r="82" spans="1:3">
      <c r="A82" s="104">
        <v>91006</v>
      </c>
      <c r="B82" s="104" t="s">
        <v>803</v>
      </c>
      <c r="C82" s="105">
        <v>473853.03</v>
      </c>
    </row>
    <row r="83" spans="1:3">
      <c r="A83" s="104">
        <v>91007</v>
      </c>
      <c r="B83" s="104" t="s">
        <v>804</v>
      </c>
      <c r="C83" s="105">
        <v>5144.5400000000009</v>
      </c>
    </row>
    <row r="84" spans="1:3">
      <c r="A84" s="104">
        <v>91008</v>
      </c>
      <c r="B84" s="104" t="s">
        <v>805</v>
      </c>
      <c r="C84" s="105">
        <v>75095.399999999994</v>
      </c>
    </row>
    <row r="85" spans="1:3">
      <c r="A85" s="104">
        <v>91009</v>
      </c>
      <c r="B85" s="104" t="s">
        <v>806</v>
      </c>
      <c r="C85" s="105">
        <v>11581.200000000003</v>
      </c>
    </row>
    <row r="86" spans="1:3">
      <c r="A86" s="104">
        <v>91010</v>
      </c>
      <c r="B86" s="104" t="s">
        <v>807</v>
      </c>
      <c r="C86" s="105">
        <v>30525.269999999997</v>
      </c>
    </row>
    <row r="87" spans="1:3">
      <c r="A87" s="104">
        <v>91011</v>
      </c>
      <c r="B87" s="104" t="s">
        <v>808</v>
      </c>
      <c r="C87" s="105">
        <v>170093.98634800001</v>
      </c>
    </row>
    <row r="88" spans="1:3">
      <c r="A88" s="104">
        <v>91012</v>
      </c>
      <c r="B88" s="104" t="s">
        <v>809</v>
      </c>
      <c r="C88" s="105">
        <v>7628.7055959999998</v>
      </c>
    </row>
    <row r="89" spans="1:3">
      <c r="A89" s="104">
        <v>91013</v>
      </c>
      <c r="B89" s="104" t="s">
        <v>810</v>
      </c>
      <c r="C89" s="105">
        <v>33972.910000000003</v>
      </c>
    </row>
    <row r="90" spans="1:3">
      <c r="A90" s="104">
        <v>91014</v>
      </c>
      <c r="B90" s="104" t="s">
        <v>811</v>
      </c>
      <c r="C90" s="105">
        <v>98530.085821999994</v>
      </c>
    </row>
    <row r="91" spans="1:3">
      <c r="A91" s="104">
        <v>91015</v>
      </c>
      <c r="B91" s="104" t="s">
        <v>1640</v>
      </c>
      <c r="C91" s="105">
        <v>17475.47</v>
      </c>
    </row>
    <row r="92" spans="1:3">
      <c r="A92" s="104">
        <v>91017</v>
      </c>
      <c r="B92" s="104" t="s">
        <v>812</v>
      </c>
      <c r="C92" s="105">
        <v>13122.92</v>
      </c>
    </row>
    <row r="93" spans="1:3">
      <c r="A93" s="104">
        <v>91020</v>
      </c>
      <c r="B93" s="104" t="s">
        <v>813</v>
      </c>
      <c r="C93" s="105">
        <v>13714.619999999997</v>
      </c>
    </row>
    <row r="94" spans="1:3">
      <c r="A94" s="104">
        <v>91021</v>
      </c>
      <c r="B94" s="104" t="s">
        <v>814</v>
      </c>
      <c r="C94" s="105">
        <v>437293.87982500001</v>
      </c>
    </row>
    <row r="95" spans="1:3">
      <c r="A95" s="104">
        <v>91024</v>
      </c>
      <c r="B95" s="104" t="s">
        <v>815</v>
      </c>
      <c r="C95" s="105">
        <v>47198.869999999995</v>
      </c>
    </row>
    <row r="96" spans="1:3">
      <c r="A96" s="104">
        <v>91026</v>
      </c>
      <c r="B96" s="104" t="s">
        <v>43</v>
      </c>
      <c r="C96" s="105">
        <v>47235.526725000003</v>
      </c>
    </row>
    <row r="97" spans="1:3">
      <c r="A97" s="104">
        <v>91027</v>
      </c>
      <c r="B97" s="104" t="s">
        <v>816</v>
      </c>
      <c r="C97" s="105">
        <v>14495.89</v>
      </c>
    </row>
    <row r="98" spans="1:3">
      <c r="A98" s="104">
        <v>91032</v>
      </c>
      <c r="B98" s="104" t="s">
        <v>817</v>
      </c>
      <c r="C98" s="105">
        <v>19389.870000000003</v>
      </c>
    </row>
    <row r="99" spans="1:3">
      <c r="A99" s="104">
        <v>91041</v>
      </c>
      <c r="B99" s="104" t="s">
        <v>818</v>
      </c>
      <c r="C99" s="105">
        <v>178639.54427299998</v>
      </c>
    </row>
    <row r="100" spans="1:3">
      <c r="A100" s="104">
        <v>91042</v>
      </c>
      <c r="B100" s="104" t="s">
        <v>819</v>
      </c>
      <c r="C100" s="105">
        <v>115345.57</v>
      </c>
    </row>
    <row r="101" spans="1:3">
      <c r="A101" s="104">
        <v>91047</v>
      </c>
      <c r="B101" s="104" t="s">
        <v>820</v>
      </c>
      <c r="C101" s="105">
        <v>18028.489999999998</v>
      </c>
    </row>
    <row r="102" spans="1:3">
      <c r="A102" s="104">
        <v>91051</v>
      </c>
      <c r="B102" s="104" t="s">
        <v>821</v>
      </c>
      <c r="C102" s="105">
        <v>33299.517023</v>
      </c>
    </row>
    <row r="103" spans="1:3">
      <c r="A103" s="104">
        <v>91057</v>
      </c>
      <c r="B103" s="104" t="s">
        <v>822</v>
      </c>
      <c r="C103" s="105">
        <v>10701.43</v>
      </c>
    </row>
    <row r="104" spans="1:3">
      <c r="A104" s="104">
        <v>91061</v>
      </c>
      <c r="B104" s="104" t="s">
        <v>823</v>
      </c>
      <c r="C104" s="105">
        <v>185817.85657800001</v>
      </c>
    </row>
    <row r="105" spans="1:3">
      <c r="A105" s="104">
        <v>91067</v>
      </c>
      <c r="B105" s="104" t="s">
        <v>824</v>
      </c>
      <c r="C105" s="105">
        <v>9145.5</v>
      </c>
    </row>
    <row r="106" spans="1:3">
      <c r="A106" s="104">
        <v>91071</v>
      </c>
      <c r="B106" s="104" t="s">
        <v>825</v>
      </c>
      <c r="C106" s="105">
        <v>107390.015474</v>
      </c>
    </row>
    <row r="107" spans="1:3">
      <c r="A107" s="104">
        <v>91077</v>
      </c>
      <c r="B107" s="104" t="s">
        <v>826</v>
      </c>
      <c r="C107" s="105">
        <v>2844.7599999999998</v>
      </c>
    </row>
    <row r="108" spans="1:3">
      <c r="A108" s="104">
        <v>91081</v>
      </c>
      <c r="B108" s="104" t="s">
        <v>827</v>
      </c>
      <c r="C108" s="105">
        <v>190608.10537000003</v>
      </c>
    </row>
    <row r="109" spans="1:3">
      <c r="A109" s="104">
        <v>91091</v>
      </c>
      <c r="B109" s="104" t="s">
        <v>828</v>
      </c>
      <c r="C109" s="105">
        <v>242147.15292600001</v>
      </c>
    </row>
    <row r="110" spans="1:3">
      <c r="A110" s="104">
        <v>91101</v>
      </c>
      <c r="B110" s="104" t="s">
        <v>829</v>
      </c>
      <c r="C110" s="105">
        <v>6369471.7086690003</v>
      </c>
    </row>
    <row r="111" spans="1:3">
      <c r="A111" s="104">
        <v>91102</v>
      </c>
      <c r="B111" s="104" t="s">
        <v>830</v>
      </c>
      <c r="C111" s="105">
        <v>161217.86000000002</v>
      </c>
    </row>
    <row r="112" spans="1:3">
      <c r="A112" s="104">
        <v>91104</v>
      </c>
      <c r="B112" s="104" t="s">
        <v>831</v>
      </c>
      <c r="C112" s="105">
        <v>7841.5</v>
      </c>
    </row>
    <row r="113" spans="1:3">
      <c r="A113" s="104">
        <v>91107</v>
      </c>
      <c r="B113" s="104" t="s">
        <v>832</v>
      </c>
      <c r="C113" s="105">
        <v>35656.780000000006</v>
      </c>
    </row>
    <row r="114" spans="1:3">
      <c r="A114" s="104">
        <v>91108</v>
      </c>
      <c r="B114" s="104" t="s">
        <v>833</v>
      </c>
      <c r="C114" s="105">
        <v>653593.38</v>
      </c>
    </row>
    <row r="115" spans="1:3">
      <c r="A115" s="104">
        <v>91109</v>
      </c>
      <c r="B115" s="104" t="s">
        <v>834</v>
      </c>
      <c r="C115" s="105">
        <v>52821.479999999996</v>
      </c>
    </row>
    <row r="116" spans="1:3">
      <c r="A116" s="104">
        <v>91111</v>
      </c>
      <c r="B116" s="104" t="s">
        <v>835</v>
      </c>
      <c r="C116" s="105">
        <v>113814.13794499999</v>
      </c>
    </row>
    <row r="117" spans="1:3">
      <c r="A117" s="104">
        <v>91120</v>
      </c>
      <c r="B117" s="104" t="s">
        <v>836</v>
      </c>
      <c r="C117" s="105">
        <v>51466.63</v>
      </c>
    </row>
    <row r="118" spans="1:3">
      <c r="A118" s="104">
        <v>91121</v>
      </c>
      <c r="B118" s="104" t="s">
        <v>837</v>
      </c>
      <c r="C118" s="105">
        <v>4668215.2035659999</v>
      </c>
    </row>
    <row r="119" spans="1:3">
      <c r="A119" s="104">
        <v>91127</v>
      </c>
      <c r="B119" s="104" t="s">
        <v>838</v>
      </c>
      <c r="C119" s="105">
        <v>160012.03236899999</v>
      </c>
    </row>
    <row r="120" spans="1:3">
      <c r="A120" s="104">
        <v>91128</v>
      </c>
      <c r="B120" s="104" t="s">
        <v>839</v>
      </c>
      <c r="C120" s="105">
        <v>247626.74780499999</v>
      </c>
    </row>
    <row r="121" spans="1:3">
      <c r="A121" s="104">
        <v>91138</v>
      </c>
      <c r="B121" s="104" t="s">
        <v>840</v>
      </c>
      <c r="C121" s="105">
        <v>195822.78</v>
      </c>
    </row>
    <row r="122" spans="1:3">
      <c r="A122" s="104">
        <v>91141</v>
      </c>
      <c r="B122" s="104" t="s">
        <v>841</v>
      </c>
      <c r="C122" s="105">
        <v>259024.40575499999</v>
      </c>
    </row>
    <row r="123" spans="1:3">
      <c r="A123" s="104">
        <v>91147</v>
      </c>
      <c r="B123" s="104" t="s">
        <v>842</v>
      </c>
      <c r="C123" s="105">
        <v>14428.590000000002</v>
      </c>
    </row>
    <row r="124" spans="1:3">
      <c r="A124" s="104">
        <v>91151</v>
      </c>
      <c r="B124" s="104" t="s">
        <v>843</v>
      </c>
      <c r="C124" s="105">
        <v>265563.67061900004</v>
      </c>
    </row>
    <row r="125" spans="1:3">
      <c r="A125" s="104">
        <v>91154</v>
      </c>
      <c r="B125" s="104" t="s">
        <v>844</v>
      </c>
      <c r="C125" s="105">
        <v>11031.759999999998</v>
      </c>
    </row>
    <row r="126" spans="1:3">
      <c r="A126" s="104">
        <v>91161</v>
      </c>
      <c r="B126" s="104" t="s">
        <v>845</v>
      </c>
      <c r="C126" s="105">
        <v>39612.641166000009</v>
      </c>
    </row>
    <row r="127" spans="1:3">
      <c r="A127" s="104">
        <v>91171</v>
      </c>
      <c r="B127" s="104" t="s">
        <v>846</v>
      </c>
      <c r="C127" s="105">
        <v>108457.14567499999</v>
      </c>
    </row>
    <row r="128" spans="1:3">
      <c r="A128" s="104">
        <v>91201</v>
      </c>
      <c r="B128" s="104" t="s">
        <v>847</v>
      </c>
      <c r="C128" s="105">
        <v>1055634.8347090003</v>
      </c>
    </row>
    <row r="129" spans="1:3">
      <c r="A129" s="104">
        <v>91202</v>
      </c>
      <c r="B129" s="104" t="s">
        <v>848</v>
      </c>
      <c r="C129" s="105">
        <v>98483.79</v>
      </c>
    </row>
    <row r="130" spans="1:3">
      <c r="A130" s="104">
        <v>91203</v>
      </c>
      <c r="B130" s="104" t="s">
        <v>849</v>
      </c>
      <c r="C130" s="105">
        <v>137099.06</v>
      </c>
    </row>
    <row r="131" spans="1:3">
      <c r="A131" s="104">
        <v>91206</v>
      </c>
      <c r="B131" s="104" t="s">
        <v>850</v>
      </c>
      <c r="C131" s="105">
        <v>441655</v>
      </c>
    </row>
    <row r="132" spans="1:3">
      <c r="A132" s="104">
        <v>91208</v>
      </c>
      <c r="B132" s="104" t="s">
        <v>851</v>
      </c>
      <c r="C132" s="105">
        <v>6701.2</v>
      </c>
    </row>
    <row r="133" spans="1:3">
      <c r="A133" s="104">
        <v>91211</v>
      </c>
      <c r="B133" s="104" t="s">
        <v>852</v>
      </c>
      <c r="C133" s="105">
        <v>205268.22583000001</v>
      </c>
    </row>
    <row r="134" spans="1:3">
      <c r="A134" s="104">
        <v>91213</v>
      </c>
      <c r="B134" s="104" t="s">
        <v>853</v>
      </c>
      <c r="C134" s="105">
        <v>11721.010000000004</v>
      </c>
    </row>
    <row r="135" spans="1:3">
      <c r="A135" s="104">
        <v>91214</v>
      </c>
      <c r="B135" s="104" t="s">
        <v>854</v>
      </c>
      <c r="C135" s="105">
        <v>11806.909999999998</v>
      </c>
    </row>
    <row r="136" spans="1:3">
      <c r="A136" s="104">
        <v>91217</v>
      </c>
      <c r="B136" s="104" t="s">
        <v>855</v>
      </c>
      <c r="C136" s="105">
        <v>14531.739999999998</v>
      </c>
    </row>
    <row r="137" spans="1:3">
      <c r="A137" s="104">
        <v>91221</v>
      </c>
      <c r="B137" s="104" t="s">
        <v>856</v>
      </c>
      <c r="C137" s="105">
        <v>57643.743760000005</v>
      </c>
    </row>
    <row r="138" spans="1:3">
      <c r="A138" s="104">
        <v>91231</v>
      </c>
      <c r="B138" s="104" t="s">
        <v>857</v>
      </c>
      <c r="C138" s="105">
        <v>907952.11949399998</v>
      </c>
    </row>
    <row r="139" spans="1:3">
      <c r="A139" s="104">
        <v>91233</v>
      </c>
      <c r="B139" s="104" t="s">
        <v>858</v>
      </c>
      <c r="C139" s="105">
        <v>22381.89</v>
      </c>
    </row>
    <row r="140" spans="1:3">
      <c r="A140" s="104">
        <v>91241</v>
      </c>
      <c r="B140" s="104" t="s">
        <v>859</v>
      </c>
      <c r="C140" s="105">
        <v>29020.192139000002</v>
      </c>
    </row>
    <row r="141" spans="1:3">
      <c r="A141" s="104">
        <v>91251</v>
      </c>
      <c r="B141" s="104" t="s">
        <v>860</v>
      </c>
      <c r="C141" s="105">
        <v>17207.91</v>
      </c>
    </row>
    <row r="142" spans="1:3">
      <c r="A142" s="104">
        <v>91261</v>
      </c>
      <c r="B142" s="104" t="s">
        <v>861</v>
      </c>
      <c r="C142" s="105">
        <v>4921.62</v>
      </c>
    </row>
    <row r="143" spans="1:3">
      <c r="A143" s="104">
        <v>91301</v>
      </c>
      <c r="B143" s="104" t="s">
        <v>862</v>
      </c>
      <c r="C143" s="105">
        <v>3634284.4051430002</v>
      </c>
    </row>
    <row r="144" spans="1:3">
      <c r="A144" s="104">
        <v>91302</v>
      </c>
      <c r="B144" s="104" t="s">
        <v>863</v>
      </c>
      <c r="C144" s="105">
        <v>256040.47000000003</v>
      </c>
    </row>
    <row r="145" spans="1:3">
      <c r="A145" s="104">
        <v>91306</v>
      </c>
      <c r="B145" s="104" t="s">
        <v>864</v>
      </c>
      <c r="C145" s="105">
        <v>913944.23</v>
      </c>
    </row>
    <row r="146" spans="1:3">
      <c r="A146" s="104">
        <v>91308</v>
      </c>
      <c r="B146" s="104" t="s">
        <v>865</v>
      </c>
      <c r="C146" s="105">
        <v>81846.029999999984</v>
      </c>
    </row>
    <row r="147" spans="1:3">
      <c r="A147" s="104">
        <v>91311</v>
      </c>
      <c r="B147" s="104" t="s">
        <v>866</v>
      </c>
      <c r="C147" s="105">
        <v>3635419.9090130003</v>
      </c>
    </row>
    <row r="148" spans="1:3">
      <c r="A148" s="104">
        <v>91317</v>
      </c>
      <c r="B148" s="104" t="s">
        <v>867</v>
      </c>
      <c r="C148" s="105">
        <v>55268.480000000003</v>
      </c>
    </row>
    <row r="149" spans="1:3">
      <c r="A149" s="104">
        <v>91321</v>
      </c>
      <c r="B149" s="104" t="s">
        <v>868</v>
      </c>
      <c r="C149" s="105">
        <v>46430.78</v>
      </c>
    </row>
    <row r="150" spans="1:3">
      <c r="A150" s="104">
        <v>91327</v>
      </c>
      <c r="B150" s="104" t="s">
        <v>869</v>
      </c>
      <c r="C150" s="105">
        <v>4873.43</v>
      </c>
    </row>
    <row r="151" spans="1:3">
      <c r="A151" s="104">
        <v>91331</v>
      </c>
      <c r="B151" s="104" t="s">
        <v>870</v>
      </c>
      <c r="C151" s="105">
        <v>1293706.053027</v>
      </c>
    </row>
    <row r="152" spans="1:3">
      <c r="A152" s="104">
        <v>91341</v>
      </c>
      <c r="B152" s="104" t="s">
        <v>871</v>
      </c>
      <c r="C152" s="105">
        <v>14437.970000000001</v>
      </c>
    </row>
    <row r="153" spans="1:3">
      <c r="A153" s="104">
        <v>91401</v>
      </c>
      <c r="B153" s="104" t="s">
        <v>872</v>
      </c>
      <c r="C153" s="105">
        <v>1665858.4738169999</v>
      </c>
    </row>
    <row r="154" spans="1:3">
      <c r="A154" s="104">
        <v>91411</v>
      </c>
      <c r="B154" s="104" t="s">
        <v>873</v>
      </c>
      <c r="C154" s="105">
        <v>184234.82984200001</v>
      </c>
    </row>
    <row r="155" spans="1:3">
      <c r="A155" s="229">
        <v>91414</v>
      </c>
      <c r="B155" s="229" t="s">
        <v>3748</v>
      </c>
      <c r="C155" s="105">
        <v>0</v>
      </c>
    </row>
    <row r="156" spans="1:3">
      <c r="A156" s="104">
        <v>91417</v>
      </c>
      <c r="B156" s="104" t="s">
        <v>874</v>
      </c>
      <c r="C156" s="105">
        <v>5523.8099999999986</v>
      </c>
    </row>
    <row r="157" spans="1:3">
      <c r="A157" s="104">
        <v>91421</v>
      </c>
      <c r="B157" s="104" t="s">
        <v>875</v>
      </c>
      <c r="C157" s="105">
        <v>38840.82</v>
      </c>
    </row>
    <row r="158" spans="1:3">
      <c r="A158" s="104">
        <v>91423</v>
      </c>
      <c r="B158" s="104" t="s">
        <v>876</v>
      </c>
      <c r="C158" s="105">
        <v>19786.169999999998</v>
      </c>
    </row>
    <row r="159" spans="1:3">
      <c r="A159" s="104">
        <v>91431</v>
      </c>
      <c r="B159" s="104" t="s">
        <v>877</v>
      </c>
      <c r="C159" s="105">
        <v>88726.048506000021</v>
      </c>
    </row>
    <row r="160" spans="1:3">
      <c r="A160" s="104">
        <v>91441</v>
      </c>
      <c r="B160" s="104" t="s">
        <v>878</v>
      </c>
      <c r="C160" s="105">
        <v>350488.21</v>
      </c>
    </row>
    <row r="161" spans="1:4">
      <c r="A161" s="104">
        <v>91451</v>
      </c>
      <c r="B161" s="104" t="s">
        <v>879</v>
      </c>
      <c r="C161" s="105">
        <v>719186.37605899991</v>
      </c>
    </row>
    <row r="162" spans="1:4">
      <c r="A162" s="104">
        <v>91457</v>
      </c>
      <c r="B162" s="104" t="s">
        <v>880</v>
      </c>
      <c r="C162" s="105">
        <v>29814.83</v>
      </c>
    </row>
    <row r="163" spans="1:4">
      <c r="A163" s="104">
        <v>91461</v>
      </c>
      <c r="B163" s="104" t="s">
        <v>881</v>
      </c>
      <c r="C163" s="105">
        <v>3124.4399999999991</v>
      </c>
    </row>
    <row r="164" spans="1:4">
      <c r="A164" s="104">
        <v>91501</v>
      </c>
      <c r="B164" s="104" t="s">
        <v>882</v>
      </c>
      <c r="C164" s="105">
        <v>236941.69474500002</v>
      </c>
    </row>
    <row r="165" spans="1:4">
      <c r="A165" s="104">
        <v>91504</v>
      </c>
      <c r="B165" s="104" t="s">
        <v>883</v>
      </c>
      <c r="C165" s="105">
        <v>6938.7900000000009</v>
      </c>
    </row>
    <row r="166" spans="1:4">
      <c r="A166" s="104">
        <v>91601</v>
      </c>
      <c r="B166" s="104" t="s">
        <v>884</v>
      </c>
      <c r="C166" s="105">
        <v>1390327.9244510001</v>
      </c>
    </row>
    <row r="167" spans="1:4">
      <c r="A167" s="104">
        <v>91604</v>
      </c>
      <c r="B167" s="104" t="s">
        <v>885</v>
      </c>
      <c r="C167" s="105">
        <v>55839.060480000007</v>
      </c>
    </row>
    <row r="168" spans="1:4">
      <c r="A168" s="104">
        <v>91608</v>
      </c>
      <c r="B168" s="104" t="s">
        <v>886</v>
      </c>
      <c r="C168" s="105">
        <v>52378.559999999998</v>
      </c>
    </row>
    <row r="169" spans="1:4">
      <c r="A169" s="104">
        <v>91611</v>
      </c>
      <c r="B169" s="104">
        <v>0</v>
      </c>
      <c r="C169" s="105">
        <v>614656.173435</v>
      </c>
    </row>
    <row r="170" spans="1:4">
      <c r="A170" s="104">
        <v>91621</v>
      </c>
      <c r="B170" s="104" t="s">
        <v>888</v>
      </c>
      <c r="C170" s="105">
        <v>124283.424576</v>
      </c>
    </row>
    <row r="171" spans="1:4">
      <c r="A171" s="104">
        <v>91631</v>
      </c>
      <c r="B171" s="104" t="s">
        <v>889</v>
      </c>
      <c r="C171" s="105">
        <v>239433.455605</v>
      </c>
    </row>
    <row r="172" spans="1:4">
      <c r="A172" s="104">
        <v>91633</v>
      </c>
      <c r="B172" s="104" t="s">
        <v>890</v>
      </c>
      <c r="C172" s="105">
        <v>10219.19</v>
      </c>
    </row>
    <row r="173" spans="1:4">
      <c r="A173" s="104">
        <v>91641</v>
      </c>
      <c r="B173" s="104" t="s">
        <v>891</v>
      </c>
      <c r="C173" s="105">
        <v>115065.09437900002</v>
      </c>
    </row>
    <row r="174" spans="1:4">
      <c r="A174" s="229">
        <v>97302</v>
      </c>
      <c r="B174" s="229" t="s">
        <v>3639</v>
      </c>
      <c r="C174" s="105">
        <v>0</v>
      </c>
      <c r="D174" s="229"/>
    </row>
    <row r="175" spans="1:4">
      <c r="A175" s="104">
        <v>91651</v>
      </c>
      <c r="B175" s="104" t="s">
        <v>892</v>
      </c>
      <c r="C175" s="105">
        <v>238247.14399899999</v>
      </c>
    </row>
    <row r="176" spans="1:4">
      <c r="A176" s="104">
        <v>91661</v>
      </c>
      <c r="B176" s="104" t="s">
        <v>893</v>
      </c>
      <c r="C176" s="105">
        <v>66913.817007000005</v>
      </c>
    </row>
    <row r="177" spans="1:3">
      <c r="A177" s="104">
        <v>91671</v>
      </c>
      <c r="B177" s="104" t="s">
        <v>894</v>
      </c>
      <c r="C177" s="105">
        <v>47244.936606999996</v>
      </c>
    </row>
    <row r="178" spans="1:3">
      <c r="A178" s="104">
        <v>91681</v>
      </c>
      <c r="B178" s="104" t="s">
        <v>895</v>
      </c>
      <c r="C178" s="105">
        <v>400102.45603499998</v>
      </c>
    </row>
    <row r="179" spans="1:3">
      <c r="A179" s="104">
        <v>91691</v>
      </c>
      <c r="B179" s="104" t="s">
        <v>896</v>
      </c>
      <c r="C179" s="105">
        <v>11105.62</v>
      </c>
    </row>
    <row r="180" spans="1:3">
      <c r="A180" s="104">
        <v>91701</v>
      </c>
      <c r="B180" s="104" t="s">
        <v>897</v>
      </c>
      <c r="C180" s="105">
        <v>564446.92984800017</v>
      </c>
    </row>
    <row r="181" spans="1:3">
      <c r="A181" s="104">
        <v>91704</v>
      </c>
      <c r="B181" s="104" t="s">
        <v>898</v>
      </c>
      <c r="C181" s="105">
        <v>8607.8599999999988</v>
      </c>
    </row>
    <row r="182" spans="1:3">
      <c r="A182" s="104">
        <v>91706</v>
      </c>
      <c r="B182" s="104" t="s">
        <v>899</v>
      </c>
      <c r="C182" s="105">
        <v>166002.11359999995</v>
      </c>
    </row>
    <row r="183" spans="1:3">
      <c r="A183" s="104">
        <v>91719</v>
      </c>
      <c r="B183" s="104" t="s">
        <v>900</v>
      </c>
      <c r="C183" s="105">
        <v>22115.769999999997</v>
      </c>
    </row>
    <row r="184" spans="1:3">
      <c r="A184" s="104">
        <v>91801</v>
      </c>
      <c r="B184" s="104" t="s">
        <v>901</v>
      </c>
      <c r="C184" s="105">
        <v>3845158.3544530002</v>
      </c>
    </row>
    <row r="185" spans="1:3">
      <c r="A185" s="104">
        <v>91804</v>
      </c>
      <c r="B185" s="104" t="s">
        <v>902</v>
      </c>
      <c r="C185" s="105">
        <v>105464.52</v>
      </c>
    </row>
    <row r="186" spans="1:3">
      <c r="A186" s="104">
        <v>91811</v>
      </c>
      <c r="B186" s="104" t="s">
        <v>903</v>
      </c>
      <c r="C186" s="105">
        <v>2056779.1234909997</v>
      </c>
    </row>
    <row r="187" spans="1:3">
      <c r="A187" s="104">
        <v>91812</v>
      </c>
      <c r="B187" s="104" t="s">
        <v>904</v>
      </c>
      <c r="C187" s="105">
        <v>28370.39</v>
      </c>
    </row>
    <row r="188" spans="1:3">
      <c r="A188" s="104">
        <v>91813</v>
      </c>
      <c r="B188" s="104" t="s">
        <v>905</v>
      </c>
      <c r="C188" s="105">
        <v>41692.790000000008</v>
      </c>
    </row>
    <row r="189" spans="1:3">
      <c r="A189" s="104">
        <v>91818</v>
      </c>
      <c r="B189" s="104" t="s">
        <v>906</v>
      </c>
      <c r="C189" s="105">
        <v>468317.05</v>
      </c>
    </row>
    <row r="190" spans="1:3">
      <c r="A190" s="104">
        <v>91819</v>
      </c>
      <c r="B190" s="104" t="s">
        <v>907</v>
      </c>
      <c r="C190" s="105">
        <v>156994.41</v>
      </c>
    </row>
    <row r="191" spans="1:3">
      <c r="A191" s="104">
        <v>91821</v>
      </c>
      <c r="B191" s="104" t="s">
        <v>908</v>
      </c>
      <c r="C191" s="105">
        <v>75806.766482999999</v>
      </c>
    </row>
    <row r="192" spans="1:3">
      <c r="A192" s="104">
        <v>91831</v>
      </c>
      <c r="B192" s="104" t="s">
        <v>909</v>
      </c>
      <c r="C192" s="105">
        <v>165489.25399200001</v>
      </c>
    </row>
    <row r="193" spans="1:3">
      <c r="A193" s="104">
        <v>91841</v>
      </c>
      <c r="B193" s="104" t="s">
        <v>910</v>
      </c>
      <c r="C193" s="105">
        <v>125257.58873600001</v>
      </c>
    </row>
    <row r="194" spans="1:3">
      <c r="A194" s="104">
        <v>91851</v>
      </c>
      <c r="B194" s="104" t="s">
        <v>911</v>
      </c>
      <c r="C194" s="105">
        <v>362200.99266299995</v>
      </c>
    </row>
    <row r="195" spans="1:3">
      <c r="A195" s="104">
        <v>91861</v>
      </c>
      <c r="B195" s="104" t="s">
        <v>912</v>
      </c>
      <c r="C195" s="105">
        <v>7332.8851999999997</v>
      </c>
    </row>
    <row r="196" spans="1:3">
      <c r="A196" s="104">
        <v>91871</v>
      </c>
      <c r="B196" s="104" t="s">
        <v>913</v>
      </c>
      <c r="C196" s="105">
        <v>615146.46365599998</v>
      </c>
    </row>
    <row r="197" spans="1:3">
      <c r="A197" s="104">
        <v>91881</v>
      </c>
      <c r="B197" s="104" t="s">
        <v>914</v>
      </c>
      <c r="C197" s="105">
        <v>5098.6400000000003</v>
      </c>
    </row>
    <row r="198" spans="1:3">
      <c r="A198" s="104">
        <v>91901</v>
      </c>
      <c r="B198" s="104" t="s">
        <v>915</v>
      </c>
      <c r="C198" s="105">
        <v>1743893.915302</v>
      </c>
    </row>
    <row r="199" spans="1:3">
      <c r="A199" s="104">
        <v>91903</v>
      </c>
      <c r="B199" s="104" t="s">
        <v>916</v>
      </c>
      <c r="C199" s="105">
        <v>6537</v>
      </c>
    </row>
    <row r="200" spans="1:3">
      <c r="A200" s="104">
        <v>91904</v>
      </c>
      <c r="B200" s="104" t="s">
        <v>917</v>
      </c>
      <c r="C200" s="105">
        <v>16612.080000000002</v>
      </c>
    </row>
    <row r="201" spans="1:3">
      <c r="A201" s="104">
        <v>91908</v>
      </c>
      <c r="B201" s="104" t="s">
        <v>918</v>
      </c>
      <c r="C201" s="105">
        <v>5166.92</v>
      </c>
    </row>
    <row r="202" spans="1:3">
      <c r="A202" s="104">
        <v>91911</v>
      </c>
      <c r="B202" s="104" t="s">
        <v>919</v>
      </c>
      <c r="C202" s="105">
        <v>231598.926331</v>
      </c>
    </row>
    <row r="203" spans="1:3">
      <c r="A203" s="104">
        <v>91917</v>
      </c>
      <c r="B203" s="104" t="s">
        <v>920</v>
      </c>
      <c r="C203" s="105">
        <v>6945.38</v>
      </c>
    </row>
    <row r="204" spans="1:3">
      <c r="A204" s="104">
        <v>91921</v>
      </c>
      <c r="B204" s="104" t="s">
        <v>921</v>
      </c>
      <c r="C204" s="105">
        <v>166029.18340599997</v>
      </c>
    </row>
    <row r="205" spans="1:3">
      <c r="A205" s="104">
        <v>92001</v>
      </c>
      <c r="B205" s="104" t="s">
        <v>922</v>
      </c>
      <c r="C205" s="105">
        <v>863075.17729200004</v>
      </c>
    </row>
    <row r="206" spans="1:3">
      <c r="A206" s="104">
        <v>92005</v>
      </c>
      <c r="B206" s="104" t="s">
        <v>923</v>
      </c>
      <c r="C206" s="105">
        <v>23807.88</v>
      </c>
    </row>
    <row r="207" spans="1:3">
      <c r="A207" s="104">
        <v>92011</v>
      </c>
      <c r="B207" s="104" t="s">
        <v>924</v>
      </c>
      <c r="C207" s="105">
        <v>94487.101011999999</v>
      </c>
    </row>
    <row r="208" spans="1:3">
      <c r="A208" s="104">
        <v>92017</v>
      </c>
      <c r="B208" s="104" t="s">
        <v>925</v>
      </c>
      <c r="C208" s="105">
        <v>18378.2</v>
      </c>
    </row>
    <row r="209" spans="1:3">
      <c r="A209" s="104">
        <v>92021</v>
      </c>
      <c r="B209" s="104" t="s">
        <v>926</v>
      </c>
      <c r="C209" s="105">
        <v>56797.989972000003</v>
      </c>
    </row>
    <row r="210" spans="1:3">
      <c r="A210" s="104">
        <v>92101</v>
      </c>
      <c r="B210" s="104" t="s">
        <v>927</v>
      </c>
      <c r="C210" s="105">
        <v>385403.0670380001</v>
      </c>
    </row>
    <row r="211" spans="1:3">
      <c r="A211" s="104">
        <v>92104</v>
      </c>
      <c r="B211" s="104" t="s">
        <v>928</v>
      </c>
      <c r="C211" s="105">
        <v>5362.8700000000017</v>
      </c>
    </row>
    <row r="212" spans="1:3">
      <c r="A212" s="104">
        <v>92109</v>
      </c>
      <c r="B212" s="104" t="s">
        <v>929</v>
      </c>
      <c r="C212" s="105">
        <v>81663.56</v>
      </c>
    </row>
    <row r="213" spans="1:3">
      <c r="A213" s="104">
        <v>92111</v>
      </c>
      <c r="B213" s="104" t="s">
        <v>930</v>
      </c>
      <c r="C213" s="105">
        <v>241524.02997399998</v>
      </c>
    </row>
    <row r="214" spans="1:3">
      <c r="A214" s="104">
        <v>92113</v>
      </c>
      <c r="B214" s="104" t="s">
        <v>931</v>
      </c>
      <c r="C214" s="105">
        <v>12477.000000000002</v>
      </c>
    </row>
    <row r="215" spans="1:3">
      <c r="A215" s="104">
        <v>92201</v>
      </c>
      <c r="B215" s="104" t="s">
        <v>932</v>
      </c>
      <c r="C215" s="105">
        <v>466555.8311270001</v>
      </c>
    </row>
    <row r="216" spans="1:3">
      <c r="A216" s="104">
        <v>92214</v>
      </c>
      <c r="B216" s="104" t="s">
        <v>1931</v>
      </c>
      <c r="C216" s="105">
        <v>9828.880000000001</v>
      </c>
    </row>
    <row r="217" spans="1:3">
      <c r="A217" s="104">
        <v>92301</v>
      </c>
      <c r="B217" s="104" t="s">
        <v>933</v>
      </c>
      <c r="C217" s="105">
        <v>2605917.5594340004</v>
      </c>
    </row>
    <row r="218" spans="1:3">
      <c r="A218" s="104">
        <v>92302</v>
      </c>
      <c r="B218" s="104" t="s">
        <v>934</v>
      </c>
      <c r="C218" s="105">
        <v>142815.22</v>
      </c>
    </row>
    <row r="219" spans="1:3">
      <c r="A219" s="104">
        <v>92311</v>
      </c>
      <c r="B219" s="104" t="s">
        <v>935</v>
      </c>
      <c r="C219" s="105">
        <v>1034114.674845</v>
      </c>
    </row>
    <row r="220" spans="1:3">
      <c r="A220" s="104">
        <v>92317</v>
      </c>
      <c r="B220" s="104" t="s">
        <v>936</v>
      </c>
      <c r="C220" s="105">
        <v>22934.21</v>
      </c>
    </row>
    <row r="221" spans="1:3">
      <c r="A221" s="104">
        <v>92321</v>
      </c>
      <c r="B221" s="104" t="s">
        <v>937</v>
      </c>
      <c r="C221" s="105">
        <v>602728.47985499993</v>
      </c>
    </row>
    <row r="222" spans="1:3">
      <c r="A222" s="104">
        <v>92327</v>
      </c>
      <c r="B222" s="104" t="s">
        <v>938</v>
      </c>
      <c r="C222" s="105">
        <v>7041.69</v>
      </c>
    </row>
    <row r="223" spans="1:3">
      <c r="A223" s="104">
        <v>92331</v>
      </c>
      <c r="B223" s="104" t="s">
        <v>939</v>
      </c>
      <c r="C223" s="105">
        <v>66231.381802000004</v>
      </c>
    </row>
    <row r="224" spans="1:3">
      <c r="A224" s="104">
        <v>92341</v>
      </c>
      <c r="B224" s="104" t="s">
        <v>940</v>
      </c>
      <c r="C224" s="105">
        <v>3267.72</v>
      </c>
    </row>
    <row r="225" spans="1:3">
      <c r="A225" s="104">
        <v>92351</v>
      </c>
      <c r="B225" s="104" t="s">
        <v>941</v>
      </c>
      <c r="C225" s="105">
        <v>12788.924762000002</v>
      </c>
    </row>
    <row r="226" spans="1:3">
      <c r="A226" s="104">
        <v>92401</v>
      </c>
      <c r="B226" s="104" t="s">
        <v>942</v>
      </c>
      <c r="C226" s="105">
        <v>1332379.2514169996</v>
      </c>
    </row>
    <row r="227" spans="1:3">
      <c r="A227" s="104">
        <v>92403</v>
      </c>
      <c r="B227" s="104" t="s">
        <v>943</v>
      </c>
      <c r="C227" s="105">
        <v>6224.4000000000015</v>
      </c>
    </row>
    <row r="228" spans="1:3">
      <c r="A228" s="104">
        <v>92411</v>
      </c>
      <c r="B228" s="104" t="s">
        <v>944</v>
      </c>
      <c r="C228" s="105">
        <v>212765.27583899998</v>
      </c>
    </row>
    <row r="229" spans="1:3">
      <c r="A229" s="104">
        <v>92417</v>
      </c>
      <c r="B229" s="104" t="s">
        <v>945</v>
      </c>
      <c r="C229" s="105">
        <v>6522.4100000000008</v>
      </c>
    </row>
    <row r="230" spans="1:3">
      <c r="A230" s="104">
        <v>92421</v>
      </c>
      <c r="B230" s="104" t="s">
        <v>946</v>
      </c>
      <c r="C230" s="105">
        <v>9320.2999999999993</v>
      </c>
    </row>
    <row r="231" spans="1:3">
      <c r="A231" s="104">
        <v>92427</v>
      </c>
      <c r="B231" s="104" t="s">
        <v>947</v>
      </c>
      <c r="C231" s="105">
        <v>1693.1599999999996</v>
      </c>
    </row>
    <row r="232" spans="1:3">
      <c r="A232" s="104">
        <v>92431</v>
      </c>
      <c r="B232" s="104" t="s">
        <v>948</v>
      </c>
      <c r="C232" s="105">
        <v>16532.620814000002</v>
      </c>
    </row>
    <row r="233" spans="1:3">
      <c r="A233" s="104">
        <v>92441</v>
      </c>
      <c r="B233" s="104" t="s">
        <v>949</v>
      </c>
      <c r="C233" s="105">
        <v>48364.150368000002</v>
      </c>
    </row>
    <row r="234" spans="1:3">
      <c r="A234" s="104">
        <v>92444</v>
      </c>
      <c r="B234" s="104" t="s">
        <v>950</v>
      </c>
      <c r="C234" s="105">
        <v>3182.4399999999996</v>
      </c>
    </row>
    <row r="235" spans="1:3">
      <c r="A235" s="104">
        <v>92451</v>
      </c>
      <c r="B235" s="104" t="s">
        <v>951</v>
      </c>
      <c r="C235" s="105">
        <v>79859.869124999997</v>
      </c>
    </row>
    <row r="236" spans="1:3">
      <c r="A236" s="104">
        <v>92461</v>
      </c>
      <c r="B236" s="104" t="s">
        <v>952</v>
      </c>
      <c r="C236" s="105">
        <v>43080.702709999998</v>
      </c>
    </row>
    <row r="237" spans="1:3">
      <c r="A237" s="104">
        <v>92501</v>
      </c>
      <c r="B237" s="104" t="s">
        <v>953</v>
      </c>
      <c r="C237" s="105">
        <v>2001121.777825</v>
      </c>
    </row>
    <row r="238" spans="1:3">
      <c r="A238" s="104">
        <v>92502</v>
      </c>
      <c r="B238" s="104" t="s">
        <v>954</v>
      </c>
      <c r="C238" s="105">
        <v>15228.840000000002</v>
      </c>
    </row>
    <row r="239" spans="1:3">
      <c r="A239" s="104">
        <v>92504</v>
      </c>
      <c r="B239" s="104" t="s">
        <v>955</v>
      </c>
      <c r="C239" s="105">
        <v>50659.740000000005</v>
      </c>
    </row>
    <row r="240" spans="1:3">
      <c r="A240" s="104">
        <v>92505</v>
      </c>
      <c r="B240" s="104" t="s">
        <v>956</v>
      </c>
      <c r="C240" s="105">
        <v>127842.43000000001</v>
      </c>
    </row>
    <row r="241" spans="1:3">
      <c r="A241" s="104">
        <v>92506</v>
      </c>
      <c r="B241" s="104" t="s">
        <v>957</v>
      </c>
      <c r="C241" s="105">
        <v>34609.71</v>
      </c>
    </row>
    <row r="242" spans="1:3">
      <c r="A242" s="104">
        <v>92507</v>
      </c>
      <c r="B242" s="104" t="s">
        <v>958</v>
      </c>
      <c r="C242" s="105">
        <v>38660.58</v>
      </c>
    </row>
    <row r="243" spans="1:3">
      <c r="A243" s="104">
        <v>92508</v>
      </c>
      <c r="B243" s="104" t="s">
        <v>959</v>
      </c>
      <c r="C243" s="105">
        <v>159816</v>
      </c>
    </row>
    <row r="244" spans="1:3">
      <c r="A244" s="104">
        <v>92511</v>
      </c>
      <c r="B244" s="104" t="s">
        <v>960</v>
      </c>
      <c r="C244" s="105">
        <v>1640990.8191569999</v>
      </c>
    </row>
    <row r="245" spans="1:3">
      <c r="A245" s="104">
        <v>92513</v>
      </c>
      <c r="B245" s="104" t="s">
        <v>961</v>
      </c>
      <c r="C245" s="105">
        <v>1761601.3599999999</v>
      </c>
    </row>
    <row r="246" spans="1:3">
      <c r="A246" s="104">
        <v>92521</v>
      </c>
      <c r="B246" s="104" t="s">
        <v>962</v>
      </c>
      <c r="C246" s="105">
        <v>40372.620280000003</v>
      </c>
    </row>
    <row r="247" spans="1:3">
      <c r="A247" s="104">
        <v>92531</v>
      </c>
      <c r="B247" s="104" t="s">
        <v>963</v>
      </c>
      <c r="C247" s="105">
        <v>370926.782618</v>
      </c>
    </row>
    <row r="248" spans="1:3">
      <c r="A248" s="104">
        <v>92541</v>
      </c>
      <c r="B248" s="104" t="s">
        <v>964</v>
      </c>
      <c r="C248" s="105">
        <v>60143.347958000013</v>
      </c>
    </row>
    <row r="249" spans="1:3">
      <c r="A249" s="104">
        <v>92551</v>
      </c>
      <c r="B249" s="104" t="s">
        <v>965</v>
      </c>
      <c r="C249" s="105">
        <v>21253.668636000002</v>
      </c>
    </row>
    <row r="250" spans="1:3">
      <c r="A250" s="104">
        <v>92561</v>
      </c>
      <c r="B250" s="104" t="s">
        <v>966</v>
      </c>
      <c r="C250" s="105">
        <v>11018.495680000002</v>
      </c>
    </row>
    <row r="251" spans="1:3">
      <c r="A251" s="104">
        <v>92571</v>
      </c>
      <c r="B251" s="104" t="s">
        <v>967</v>
      </c>
      <c r="C251" s="105">
        <v>7102.0999999999985</v>
      </c>
    </row>
    <row r="252" spans="1:3">
      <c r="A252" s="104">
        <v>92601</v>
      </c>
      <c r="B252" s="104" t="s">
        <v>968</v>
      </c>
      <c r="C252" s="105">
        <v>6697593.5252949996</v>
      </c>
    </row>
    <row r="253" spans="1:3">
      <c r="A253" s="104">
        <v>92602</v>
      </c>
      <c r="B253" s="104" t="s">
        <v>969</v>
      </c>
      <c r="C253" s="105">
        <v>2450.3199999999997</v>
      </c>
    </row>
    <row r="254" spans="1:3">
      <c r="A254" s="104">
        <v>92604</v>
      </c>
      <c r="B254" s="104" t="s">
        <v>970</v>
      </c>
      <c r="C254" s="105">
        <v>193974.42305799999</v>
      </c>
    </row>
    <row r="255" spans="1:3">
      <c r="A255" s="104">
        <v>92607</v>
      </c>
      <c r="B255" s="104" t="s">
        <v>971</v>
      </c>
      <c r="C255" s="105">
        <v>40699.430000000008</v>
      </c>
    </row>
    <row r="256" spans="1:3">
      <c r="A256" s="104">
        <v>92611</v>
      </c>
      <c r="B256" s="104" t="s">
        <v>973</v>
      </c>
      <c r="C256" s="105">
        <v>5875981.5031309994</v>
      </c>
    </row>
    <row r="257" spans="1:3">
      <c r="A257" s="104">
        <v>92613</v>
      </c>
      <c r="B257" s="104" t="s">
        <v>974</v>
      </c>
      <c r="C257" s="105">
        <v>139518.66</v>
      </c>
    </row>
    <row r="258" spans="1:3">
      <c r="A258" s="104">
        <v>92614</v>
      </c>
      <c r="B258" s="104" t="s">
        <v>975</v>
      </c>
      <c r="C258" s="105">
        <v>4938040.5999999996</v>
      </c>
    </row>
    <row r="259" spans="1:3">
      <c r="A259" s="104">
        <v>92621</v>
      </c>
      <c r="B259" s="104" t="s">
        <v>976</v>
      </c>
      <c r="C259" s="105">
        <v>13553.4208</v>
      </c>
    </row>
    <row r="260" spans="1:3">
      <c r="A260" s="104">
        <v>92631</v>
      </c>
      <c r="B260" s="104" t="s">
        <v>977</v>
      </c>
      <c r="C260" s="105">
        <v>416152.80942599999</v>
      </c>
    </row>
    <row r="261" spans="1:3">
      <c r="A261" s="104">
        <v>92641</v>
      </c>
      <c r="B261" s="104" t="s">
        <v>978</v>
      </c>
      <c r="C261" s="105">
        <v>6991.6799999999985</v>
      </c>
    </row>
    <row r="262" spans="1:3">
      <c r="A262" s="104">
        <v>92651</v>
      </c>
      <c r="B262" s="104" t="s">
        <v>979</v>
      </c>
      <c r="C262" s="105">
        <v>2540.5800000000004</v>
      </c>
    </row>
    <row r="263" spans="1:3">
      <c r="A263" s="104">
        <v>92661</v>
      </c>
      <c r="B263" s="104" t="s">
        <v>980</v>
      </c>
      <c r="C263" s="105">
        <v>546521.55185399996</v>
      </c>
    </row>
    <row r="264" spans="1:3">
      <c r="A264" s="104">
        <v>92671</v>
      </c>
      <c r="B264" s="104" t="s">
        <v>981</v>
      </c>
      <c r="C264" s="105">
        <v>5417.0499999999993</v>
      </c>
    </row>
    <row r="265" spans="1:3">
      <c r="A265" s="104">
        <v>92681</v>
      </c>
      <c r="B265" s="104" t="s">
        <v>982</v>
      </c>
      <c r="C265" s="105">
        <v>12159.02</v>
      </c>
    </row>
    <row r="266" spans="1:3">
      <c r="A266" s="104">
        <v>92701</v>
      </c>
      <c r="B266" s="104" t="s">
        <v>983</v>
      </c>
      <c r="C266" s="105">
        <v>1394893.7693140002</v>
      </c>
    </row>
    <row r="267" spans="1:3">
      <c r="A267" s="104">
        <v>92704</v>
      </c>
      <c r="B267" s="104" t="s">
        <v>984</v>
      </c>
      <c r="C267" s="105">
        <v>19607.260000000002</v>
      </c>
    </row>
    <row r="268" spans="1:3">
      <c r="A268" s="104">
        <v>92801</v>
      </c>
      <c r="B268" s="104" t="s">
        <v>985</v>
      </c>
      <c r="C268" s="105">
        <v>2645230.5612229998</v>
      </c>
    </row>
    <row r="269" spans="1:3">
      <c r="A269" s="104">
        <v>92802</v>
      </c>
      <c r="B269" s="104" t="s">
        <v>986</v>
      </c>
      <c r="C269" s="105">
        <v>57706.16</v>
      </c>
    </row>
    <row r="270" spans="1:3">
      <c r="A270" s="104">
        <v>92804</v>
      </c>
      <c r="B270" s="104" t="s">
        <v>987</v>
      </c>
      <c r="C270" s="105">
        <v>66559.106287999995</v>
      </c>
    </row>
    <row r="271" spans="1:3">
      <c r="A271" s="104">
        <v>92811</v>
      </c>
      <c r="B271" s="104" t="s">
        <v>988</v>
      </c>
      <c r="C271" s="105">
        <v>479568.66514800006</v>
      </c>
    </row>
    <row r="272" spans="1:3">
      <c r="A272" s="104">
        <v>92821</v>
      </c>
      <c r="B272" s="104" t="s">
        <v>989</v>
      </c>
      <c r="C272" s="105">
        <v>501804.138882</v>
      </c>
    </row>
    <row r="273" spans="1:3">
      <c r="A273" s="104">
        <v>92831</v>
      </c>
      <c r="B273" s="104" t="s">
        <v>990</v>
      </c>
      <c r="C273" s="105">
        <v>134107.661356</v>
      </c>
    </row>
    <row r="274" spans="1:3">
      <c r="A274" s="104">
        <v>92841</v>
      </c>
      <c r="B274" s="104" t="s">
        <v>991</v>
      </c>
      <c r="C274" s="105">
        <v>125072.28184900001</v>
      </c>
    </row>
    <row r="275" spans="1:3">
      <c r="A275" s="104">
        <v>92851</v>
      </c>
      <c r="B275" s="104" t="s">
        <v>992</v>
      </c>
      <c r="C275" s="105">
        <v>192126.15648500001</v>
      </c>
    </row>
    <row r="276" spans="1:3">
      <c r="A276" s="104">
        <v>92861</v>
      </c>
      <c r="B276" s="104" t="s">
        <v>993</v>
      </c>
      <c r="C276" s="105">
        <v>135764.57145600001</v>
      </c>
    </row>
    <row r="277" spans="1:3">
      <c r="A277" s="104">
        <v>92901</v>
      </c>
      <c r="B277" s="104" t="s">
        <v>994</v>
      </c>
      <c r="C277" s="105">
        <v>2725234.2818569997</v>
      </c>
    </row>
    <row r="278" spans="1:3">
      <c r="A278" s="104">
        <v>92911</v>
      </c>
      <c r="B278" s="104" t="s">
        <v>995</v>
      </c>
      <c r="C278" s="105">
        <v>988074.58866500016</v>
      </c>
    </row>
    <row r="279" spans="1:3">
      <c r="A279" s="104">
        <v>92913</v>
      </c>
      <c r="B279" s="104" t="s">
        <v>996</v>
      </c>
      <c r="C279" s="105">
        <v>56980.31</v>
      </c>
    </row>
    <row r="280" spans="1:3">
      <c r="A280" s="104">
        <v>92914</v>
      </c>
      <c r="B280" s="104" t="s">
        <v>997</v>
      </c>
      <c r="C280" s="105">
        <v>14201.86</v>
      </c>
    </row>
    <row r="281" spans="1:3">
      <c r="A281" s="104">
        <v>92917</v>
      </c>
      <c r="B281" s="104" t="s">
        <v>998</v>
      </c>
      <c r="C281" s="105">
        <v>16093.97</v>
      </c>
    </row>
    <row r="282" spans="1:3">
      <c r="A282" s="104">
        <v>92921</v>
      </c>
      <c r="B282" s="104" t="s">
        <v>999</v>
      </c>
      <c r="C282" s="105">
        <v>47485.890067</v>
      </c>
    </row>
    <row r="283" spans="1:3">
      <c r="A283" s="104">
        <v>92931</v>
      </c>
      <c r="B283" s="104" t="s">
        <v>1000</v>
      </c>
      <c r="C283" s="105">
        <v>1185078.8836500002</v>
      </c>
    </row>
    <row r="284" spans="1:3">
      <c r="A284" s="104">
        <v>92941</v>
      </c>
      <c r="B284" s="104" t="s">
        <v>81</v>
      </c>
      <c r="C284" s="105">
        <v>5800.37</v>
      </c>
    </row>
    <row r="285" spans="1:3">
      <c r="A285" s="104">
        <v>93001</v>
      </c>
      <c r="B285" s="104" t="s">
        <v>1001</v>
      </c>
      <c r="C285" s="105">
        <v>1079124.403707</v>
      </c>
    </row>
    <row r="286" spans="1:3">
      <c r="A286" s="104">
        <v>93009</v>
      </c>
      <c r="B286" s="104" t="s">
        <v>1002</v>
      </c>
      <c r="C286" s="105">
        <v>5770.45</v>
      </c>
    </row>
    <row r="287" spans="1:3">
      <c r="A287" s="104">
        <v>93011</v>
      </c>
      <c r="B287" s="104" t="s">
        <v>1003</v>
      </c>
      <c r="C287" s="105">
        <v>154957.61987699999</v>
      </c>
    </row>
    <row r="288" spans="1:3">
      <c r="A288" s="104">
        <v>93021</v>
      </c>
      <c r="B288" s="104" t="s">
        <v>1004</v>
      </c>
      <c r="C288" s="105">
        <v>13963.15</v>
      </c>
    </row>
    <row r="289" spans="1:3">
      <c r="A289" s="104">
        <v>93027</v>
      </c>
      <c r="B289" s="104" t="s">
        <v>1005</v>
      </c>
      <c r="C289" s="105">
        <v>6210.89</v>
      </c>
    </row>
    <row r="290" spans="1:3">
      <c r="A290" s="104">
        <v>93031</v>
      </c>
      <c r="B290" s="104" t="s">
        <v>1006</v>
      </c>
      <c r="C290" s="105">
        <v>23728.551101000001</v>
      </c>
    </row>
    <row r="291" spans="1:3">
      <c r="A291" s="104">
        <v>93101</v>
      </c>
      <c r="B291" s="104" t="s">
        <v>1007</v>
      </c>
      <c r="C291" s="105">
        <v>1558580.6954580003</v>
      </c>
    </row>
    <row r="292" spans="1:3">
      <c r="A292" s="104">
        <v>93103</v>
      </c>
      <c r="B292" s="104" t="s">
        <v>260</v>
      </c>
      <c r="C292" s="105">
        <v>6012.1600000000008</v>
      </c>
    </row>
    <row r="293" spans="1:3">
      <c r="A293" s="104">
        <v>93108</v>
      </c>
      <c r="B293" s="104" t="s">
        <v>1008</v>
      </c>
      <c r="C293" s="105">
        <v>1177629.3799999999</v>
      </c>
    </row>
    <row r="294" spans="1:3">
      <c r="A294" s="104">
        <v>93111</v>
      </c>
      <c r="B294" s="104" t="s">
        <v>1009</v>
      </c>
      <c r="C294" s="105">
        <v>28174.565187</v>
      </c>
    </row>
    <row r="295" spans="1:3">
      <c r="A295" s="104">
        <v>93121</v>
      </c>
      <c r="B295" s="104" t="s">
        <v>1010</v>
      </c>
      <c r="C295" s="105">
        <v>31032.584706000001</v>
      </c>
    </row>
    <row r="296" spans="1:3">
      <c r="A296" s="104">
        <v>93127</v>
      </c>
      <c r="B296" s="104" t="s">
        <v>1011</v>
      </c>
      <c r="C296" s="105">
        <v>3229.7599999999998</v>
      </c>
    </row>
    <row r="297" spans="1:3">
      <c r="A297" s="104">
        <v>93131</v>
      </c>
      <c r="B297" s="104" t="s">
        <v>1012</v>
      </c>
      <c r="C297" s="105">
        <v>93827.233336999998</v>
      </c>
    </row>
    <row r="298" spans="1:3">
      <c r="A298" s="104">
        <v>93137</v>
      </c>
      <c r="B298" s="104" t="s">
        <v>1013</v>
      </c>
      <c r="C298" s="105">
        <v>2953.4300000000003</v>
      </c>
    </row>
    <row r="299" spans="1:3">
      <c r="A299" s="104">
        <v>93141</v>
      </c>
      <c r="B299" s="104" t="s">
        <v>1014</v>
      </c>
      <c r="C299" s="105">
        <v>16087.869999999999</v>
      </c>
    </row>
    <row r="300" spans="1:3">
      <c r="A300" s="104">
        <v>93151</v>
      </c>
      <c r="B300" s="104" t="s">
        <v>1015</v>
      </c>
      <c r="C300" s="105">
        <v>160775.82038700001</v>
      </c>
    </row>
    <row r="301" spans="1:3">
      <c r="A301" s="104">
        <v>93157</v>
      </c>
      <c r="B301" s="104" t="s">
        <v>1016</v>
      </c>
      <c r="C301" s="105">
        <v>6823.3200000000006</v>
      </c>
    </row>
    <row r="302" spans="1:3">
      <c r="A302" s="104">
        <v>93161</v>
      </c>
      <c r="B302" s="104" t="s">
        <v>1017</v>
      </c>
      <c r="C302" s="105">
        <v>51773.468675000004</v>
      </c>
    </row>
    <row r="303" spans="1:3">
      <c r="A303" s="104">
        <v>93171</v>
      </c>
      <c r="B303" s="104" t="s">
        <v>1018</v>
      </c>
      <c r="C303" s="105">
        <v>2322.04</v>
      </c>
    </row>
    <row r="304" spans="1:3">
      <c r="A304" s="104">
        <v>93181</v>
      </c>
      <c r="B304" s="104" t="s">
        <v>1019</v>
      </c>
      <c r="C304" s="105">
        <v>5787.3099999999995</v>
      </c>
    </row>
    <row r="305" spans="1:3">
      <c r="A305" s="104">
        <v>93191</v>
      </c>
      <c r="B305" s="104" t="s">
        <v>1020</v>
      </c>
      <c r="C305" s="105">
        <v>16585.351130000003</v>
      </c>
    </row>
    <row r="306" spans="1:3">
      <c r="A306" s="104">
        <v>93201</v>
      </c>
      <c r="B306" s="104" t="s">
        <v>1021</v>
      </c>
      <c r="C306" s="105">
        <v>7788677.8221599991</v>
      </c>
    </row>
    <row r="307" spans="1:3">
      <c r="A307" s="104">
        <v>93204</v>
      </c>
      <c r="B307" s="104" t="s">
        <v>1023</v>
      </c>
      <c r="C307" s="105">
        <v>169803.69318300002</v>
      </c>
    </row>
    <row r="308" spans="1:3">
      <c r="A308" s="104">
        <v>93209</v>
      </c>
      <c r="B308" s="104" t="s">
        <v>1024</v>
      </c>
      <c r="C308" s="105">
        <v>2328064.71</v>
      </c>
    </row>
    <row r="309" spans="1:3">
      <c r="A309" s="104">
        <v>93211</v>
      </c>
      <c r="B309" s="104" t="s">
        <v>1025</v>
      </c>
      <c r="C309" s="105">
        <v>10204404.299964001</v>
      </c>
    </row>
    <row r="310" spans="1:3">
      <c r="A310" s="104">
        <v>93212</v>
      </c>
      <c r="B310" s="104" t="s">
        <v>1026</v>
      </c>
      <c r="C310" s="105">
        <v>244862.24000000002</v>
      </c>
    </row>
    <row r="311" spans="1:3">
      <c r="A311" s="104">
        <v>93219</v>
      </c>
      <c r="B311" s="104" t="s">
        <v>1027</v>
      </c>
      <c r="C311" s="105">
        <v>129471.25</v>
      </c>
    </row>
    <row r="312" spans="1:3">
      <c r="A312" s="104">
        <v>93301</v>
      </c>
      <c r="B312" s="104" t="s">
        <v>1028</v>
      </c>
      <c r="C312" s="105">
        <v>1097553.0844130001</v>
      </c>
    </row>
    <row r="313" spans="1:3">
      <c r="A313" s="104">
        <v>93304</v>
      </c>
      <c r="B313" s="104" t="s">
        <v>1029</v>
      </c>
      <c r="C313" s="105">
        <v>20870.68</v>
      </c>
    </row>
    <row r="314" spans="1:3">
      <c r="A314" s="104">
        <v>93305</v>
      </c>
      <c r="B314" s="104" t="s">
        <v>1030</v>
      </c>
      <c r="C314" s="105">
        <v>20942.880000000005</v>
      </c>
    </row>
    <row r="315" spans="1:3">
      <c r="A315" s="104">
        <v>93309</v>
      </c>
      <c r="B315" s="104" t="s">
        <v>1031</v>
      </c>
      <c r="C315" s="105">
        <v>99537.62</v>
      </c>
    </row>
    <row r="316" spans="1:3">
      <c r="A316" s="104">
        <v>93311</v>
      </c>
      <c r="B316" s="104" t="s">
        <v>1032</v>
      </c>
      <c r="C316" s="105">
        <v>566417.25526200002</v>
      </c>
    </row>
    <row r="317" spans="1:3">
      <c r="A317" s="104">
        <v>93317</v>
      </c>
      <c r="B317" s="104" t="s">
        <v>1033</v>
      </c>
      <c r="C317" s="105">
        <v>21797.59</v>
      </c>
    </row>
    <row r="318" spans="1:3">
      <c r="A318" s="104">
        <v>93321</v>
      </c>
      <c r="B318" s="104" t="s">
        <v>1034</v>
      </c>
      <c r="C318" s="105">
        <v>3382414.9624279998</v>
      </c>
    </row>
    <row r="319" spans="1:3">
      <c r="A319" s="104">
        <v>93323</v>
      </c>
      <c r="B319" s="104" t="s">
        <v>1035</v>
      </c>
      <c r="C319" s="105">
        <v>9435.43</v>
      </c>
    </row>
    <row r="320" spans="1:3">
      <c r="A320" s="104">
        <v>93331</v>
      </c>
      <c r="B320" s="104" t="s">
        <v>1036</v>
      </c>
      <c r="C320" s="105">
        <v>65250.991547999991</v>
      </c>
    </row>
    <row r="321" spans="1:3">
      <c r="A321" s="104">
        <v>93333</v>
      </c>
      <c r="B321" s="104" t="s">
        <v>1037</v>
      </c>
      <c r="C321" s="105">
        <v>102856.65</v>
      </c>
    </row>
    <row r="322" spans="1:3">
      <c r="A322" s="104">
        <v>93341</v>
      </c>
      <c r="B322" s="104" t="s">
        <v>1038</v>
      </c>
      <c r="C322" s="105">
        <v>14255.500000000002</v>
      </c>
    </row>
    <row r="323" spans="1:3">
      <c r="A323" s="104">
        <v>93351</v>
      </c>
      <c r="B323" s="104" t="s">
        <v>1039</v>
      </c>
      <c r="C323" s="105">
        <v>9872.36</v>
      </c>
    </row>
    <row r="324" spans="1:3">
      <c r="A324" s="104">
        <v>93401</v>
      </c>
      <c r="B324" s="104" t="s">
        <v>1040</v>
      </c>
      <c r="C324" s="105">
        <v>6853482.3910630001</v>
      </c>
    </row>
    <row r="325" spans="1:3">
      <c r="A325" s="104">
        <v>93402</v>
      </c>
      <c r="B325" s="104" t="s">
        <v>1041</v>
      </c>
      <c r="C325" s="105">
        <v>39484.560000000005</v>
      </c>
    </row>
    <row r="326" spans="1:3">
      <c r="A326" s="104">
        <v>93406</v>
      </c>
      <c r="B326" s="104" t="s">
        <v>1042</v>
      </c>
      <c r="C326" s="105">
        <v>258772.74000000005</v>
      </c>
    </row>
    <row r="327" spans="1:3">
      <c r="A327" s="104">
        <v>93411</v>
      </c>
      <c r="B327" s="104" t="s">
        <v>1044</v>
      </c>
      <c r="C327" s="105">
        <v>8965258.650173001</v>
      </c>
    </row>
    <row r="328" spans="1:3">
      <c r="A328" s="104">
        <v>93413</v>
      </c>
      <c r="B328" s="104" t="s">
        <v>1045</v>
      </c>
      <c r="C328" s="105">
        <v>379792.76</v>
      </c>
    </row>
    <row r="329" spans="1:3">
      <c r="A329" s="104">
        <v>93417</v>
      </c>
      <c r="B329" s="104" t="s">
        <v>1046</v>
      </c>
      <c r="C329" s="105">
        <v>186966.16600900004</v>
      </c>
    </row>
    <row r="330" spans="1:3">
      <c r="A330" s="104">
        <v>93421</v>
      </c>
      <c r="B330" s="104" t="s">
        <v>1047</v>
      </c>
      <c r="C330" s="105">
        <v>954135.29383600014</v>
      </c>
    </row>
    <row r="331" spans="1:3">
      <c r="A331" s="104">
        <v>93431</v>
      </c>
      <c r="B331" s="104" t="s">
        <v>1048</v>
      </c>
      <c r="C331" s="105">
        <v>68106.5</v>
      </c>
    </row>
    <row r="332" spans="1:3">
      <c r="A332" s="104">
        <v>93441</v>
      </c>
      <c r="B332" s="104" t="s">
        <v>1049</v>
      </c>
      <c r="C332" s="105">
        <v>78286.12</v>
      </c>
    </row>
    <row r="333" spans="1:3">
      <c r="A333" s="104">
        <v>93442</v>
      </c>
      <c r="B333" s="104" t="s">
        <v>1050</v>
      </c>
      <c r="C333" s="105">
        <v>65679.22</v>
      </c>
    </row>
    <row r="334" spans="1:3">
      <c r="A334" s="104">
        <v>93451</v>
      </c>
      <c r="B334" s="104" t="s">
        <v>1051</v>
      </c>
      <c r="C334" s="105">
        <v>45716</v>
      </c>
    </row>
    <row r="335" spans="1:3">
      <c r="A335" s="104">
        <v>93461</v>
      </c>
      <c r="B335" s="104" t="s">
        <v>1052</v>
      </c>
      <c r="C335" s="105">
        <v>8763.8399999999983</v>
      </c>
    </row>
    <row r="336" spans="1:3">
      <c r="A336" s="104">
        <v>93471</v>
      </c>
      <c r="B336" s="104" t="s">
        <v>1053</v>
      </c>
      <c r="C336" s="105">
        <v>8892.32</v>
      </c>
    </row>
    <row r="337" spans="1:3">
      <c r="A337" s="104">
        <v>93501</v>
      </c>
      <c r="B337" s="104" t="s">
        <v>1054</v>
      </c>
      <c r="C337" s="105">
        <v>1804126.7719120001</v>
      </c>
    </row>
    <row r="338" spans="1:3">
      <c r="A338" s="104">
        <v>93511</v>
      </c>
      <c r="B338" s="104" t="s">
        <v>1055</v>
      </c>
      <c r="C338" s="105">
        <v>50009.618969000003</v>
      </c>
    </row>
    <row r="339" spans="1:3">
      <c r="A339" s="104">
        <v>93517</v>
      </c>
      <c r="B339" s="104" t="s">
        <v>1056</v>
      </c>
      <c r="C339" s="105">
        <v>4538.6400000000012</v>
      </c>
    </row>
    <row r="340" spans="1:3">
      <c r="A340" s="104">
        <v>93521</v>
      </c>
      <c r="B340" s="104" t="s">
        <v>1057</v>
      </c>
      <c r="C340" s="105">
        <v>223246.95448500002</v>
      </c>
    </row>
    <row r="341" spans="1:3">
      <c r="A341" s="104">
        <v>93527</v>
      </c>
      <c r="B341" s="104" t="s">
        <v>1058</v>
      </c>
      <c r="C341" s="105">
        <v>11035.699999999999</v>
      </c>
    </row>
    <row r="342" spans="1:3">
      <c r="A342" s="104">
        <v>93531</v>
      </c>
      <c r="B342" s="104" t="s">
        <v>1059</v>
      </c>
      <c r="C342" s="105">
        <v>11788.282504000001</v>
      </c>
    </row>
    <row r="343" spans="1:3">
      <c r="A343" s="104">
        <v>93537</v>
      </c>
      <c r="B343" s="104" t="s">
        <v>1060</v>
      </c>
      <c r="C343" s="105">
        <v>4241.51</v>
      </c>
    </row>
    <row r="344" spans="1:3">
      <c r="A344" s="104">
        <v>93541</v>
      </c>
      <c r="B344" s="104" t="s">
        <v>1061</v>
      </c>
      <c r="C344" s="105">
        <v>52146.455994000004</v>
      </c>
    </row>
    <row r="345" spans="1:3">
      <c r="A345" s="104">
        <v>93601</v>
      </c>
      <c r="B345" s="104" t="s">
        <v>1062</v>
      </c>
      <c r="C345" s="105">
        <v>5558464.9640430007</v>
      </c>
    </row>
    <row r="346" spans="1:3">
      <c r="A346" s="104">
        <v>93602</v>
      </c>
      <c r="B346" s="104" t="s">
        <v>1063</v>
      </c>
      <c r="C346" s="105">
        <v>91453.953639000014</v>
      </c>
    </row>
    <row r="347" spans="1:3">
      <c r="A347" s="104">
        <v>93604</v>
      </c>
      <c r="B347" s="104" t="s">
        <v>1932</v>
      </c>
      <c r="C347" s="105">
        <v>16372.449999999999</v>
      </c>
    </row>
    <row r="348" spans="1:3">
      <c r="A348" s="104">
        <v>93609</v>
      </c>
      <c r="B348" s="104" t="s">
        <v>1064</v>
      </c>
      <c r="C348" s="105">
        <v>1828677.9100000001</v>
      </c>
    </row>
    <row r="349" spans="1:3">
      <c r="A349" s="104">
        <v>93610</v>
      </c>
      <c r="B349" s="104" t="s">
        <v>1065</v>
      </c>
      <c r="C349" s="105">
        <v>6459.07</v>
      </c>
    </row>
    <row r="350" spans="1:3">
      <c r="A350" s="104">
        <v>93611</v>
      </c>
      <c r="B350" s="104" t="s">
        <v>1066</v>
      </c>
      <c r="C350" s="105">
        <v>3375519.6241810001</v>
      </c>
    </row>
    <row r="351" spans="1:3">
      <c r="A351" s="104">
        <v>93617</v>
      </c>
      <c r="B351" s="104" t="s">
        <v>1067</v>
      </c>
      <c r="C351" s="105">
        <v>53912.520000000004</v>
      </c>
    </row>
    <row r="352" spans="1:3">
      <c r="A352" s="104">
        <v>93618</v>
      </c>
      <c r="B352" s="104" t="s">
        <v>1068</v>
      </c>
      <c r="C352" s="105">
        <v>25051.18</v>
      </c>
    </row>
    <row r="353" spans="1:3">
      <c r="A353" s="104">
        <v>93621</v>
      </c>
      <c r="B353" s="104" t="s">
        <v>1069</v>
      </c>
      <c r="C353" s="105">
        <v>458650.89991600008</v>
      </c>
    </row>
    <row r="354" spans="1:3">
      <c r="A354" s="104">
        <v>93623</v>
      </c>
      <c r="B354" s="104" t="s">
        <v>1070</v>
      </c>
      <c r="C354" s="105">
        <v>8365.67</v>
      </c>
    </row>
    <row r="355" spans="1:3">
      <c r="A355" s="104">
        <v>93631</v>
      </c>
      <c r="B355" s="104" t="s">
        <v>1071</v>
      </c>
      <c r="C355" s="105">
        <v>105757.276954</v>
      </c>
    </row>
    <row r="356" spans="1:3">
      <c r="A356" s="104">
        <v>93641</v>
      </c>
      <c r="B356" s="104" t="s">
        <v>1072</v>
      </c>
      <c r="C356" s="105">
        <v>208215.98405499998</v>
      </c>
    </row>
    <row r="357" spans="1:3">
      <c r="A357" s="104">
        <v>93647</v>
      </c>
      <c r="B357" s="104" t="s">
        <v>1073</v>
      </c>
      <c r="C357" s="105">
        <v>9827.48</v>
      </c>
    </row>
    <row r="358" spans="1:3">
      <c r="A358" s="104">
        <v>93651</v>
      </c>
      <c r="B358" s="104" t="s">
        <v>1074</v>
      </c>
      <c r="C358" s="105">
        <v>203987.41549400002</v>
      </c>
    </row>
    <row r="359" spans="1:3">
      <c r="A359" s="104">
        <v>93661</v>
      </c>
      <c r="B359" s="104" t="s">
        <v>1075</v>
      </c>
      <c r="C359" s="105">
        <v>66947.608879000007</v>
      </c>
    </row>
    <row r="360" spans="1:3">
      <c r="A360" s="104">
        <v>93671</v>
      </c>
      <c r="B360" s="104" t="s">
        <v>1076</v>
      </c>
      <c r="C360" s="105">
        <v>187843.31096800003</v>
      </c>
    </row>
    <row r="361" spans="1:3">
      <c r="A361" s="104">
        <v>93681</v>
      </c>
      <c r="B361" s="104" t="s">
        <v>1077</v>
      </c>
      <c r="C361" s="105">
        <v>59051.143360000002</v>
      </c>
    </row>
    <row r="362" spans="1:3">
      <c r="A362" s="104">
        <v>93691</v>
      </c>
      <c r="B362" s="104" t="s">
        <v>1078</v>
      </c>
      <c r="C362" s="105">
        <v>498869.78561799997</v>
      </c>
    </row>
    <row r="363" spans="1:3">
      <c r="A363" s="104">
        <v>93701</v>
      </c>
      <c r="B363" s="104" t="s">
        <v>1079</v>
      </c>
      <c r="C363" s="105">
        <v>219010.728294</v>
      </c>
    </row>
    <row r="364" spans="1:3">
      <c r="A364" s="104">
        <v>93704</v>
      </c>
      <c r="B364" s="104" t="s">
        <v>1080</v>
      </c>
      <c r="C364" s="105">
        <v>2030.1600000000005</v>
      </c>
    </row>
    <row r="365" spans="1:3">
      <c r="A365" s="104">
        <v>93801</v>
      </c>
      <c r="B365" s="104" t="s">
        <v>1081</v>
      </c>
      <c r="C365" s="105">
        <v>205695.24369</v>
      </c>
    </row>
    <row r="366" spans="1:3">
      <c r="A366" s="104">
        <v>93803</v>
      </c>
      <c r="B366" s="104" t="s">
        <v>1082</v>
      </c>
      <c r="C366" s="105">
        <v>48471.5</v>
      </c>
    </row>
    <row r="367" spans="1:3">
      <c r="A367" s="104">
        <v>93806</v>
      </c>
      <c r="B367" s="104" t="s">
        <v>1083</v>
      </c>
      <c r="C367" s="105">
        <v>42552.42</v>
      </c>
    </row>
    <row r="368" spans="1:3">
      <c r="A368" s="104">
        <v>93821</v>
      </c>
      <c r="B368" s="104" t="s">
        <v>1084</v>
      </c>
      <c r="C368" s="105">
        <v>54684.81</v>
      </c>
    </row>
    <row r="369" spans="1:3">
      <c r="A369" s="104">
        <v>93901</v>
      </c>
      <c r="B369" s="104" t="s">
        <v>1085</v>
      </c>
      <c r="C369" s="105">
        <v>959406.95326500002</v>
      </c>
    </row>
    <row r="370" spans="1:3">
      <c r="A370" s="104">
        <v>93904</v>
      </c>
      <c r="B370" s="104" t="s">
        <v>1086</v>
      </c>
      <c r="C370" s="105">
        <v>20649.140000000003</v>
      </c>
    </row>
    <row r="371" spans="1:3">
      <c r="A371" s="104">
        <v>93906</v>
      </c>
      <c r="B371" s="104" t="s">
        <v>1087</v>
      </c>
      <c r="C371" s="105">
        <v>1531380.48</v>
      </c>
    </row>
    <row r="372" spans="1:3">
      <c r="A372" s="104">
        <v>93908</v>
      </c>
      <c r="B372" s="104" t="s">
        <v>1088</v>
      </c>
      <c r="C372" s="105">
        <v>243682.52000000002</v>
      </c>
    </row>
    <row r="373" spans="1:3">
      <c r="A373" s="104">
        <v>93910</v>
      </c>
      <c r="B373" s="104" t="s">
        <v>1089</v>
      </c>
      <c r="C373" s="105">
        <v>124943.65000000001</v>
      </c>
    </row>
    <row r="374" spans="1:3">
      <c r="A374" s="104">
        <v>93911</v>
      </c>
      <c r="B374" s="104" t="s">
        <v>1090</v>
      </c>
      <c r="C374" s="105">
        <v>321853.03904099995</v>
      </c>
    </row>
    <row r="375" spans="1:3">
      <c r="A375" s="104">
        <v>93913</v>
      </c>
      <c r="B375" s="104" t="s">
        <v>1091</v>
      </c>
      <c r="C375" s="105">
        <v>32427.699999999997</v>
      </c>
    </row>
    <row r="376" spans="1:3">
      <c r="A376" s="104">
        <v>93914</v>
      </c>
      <c r="B376" s="104" t="s">
        <v>1092</v>
      </c>
      <c r="C376" s="105">
        <v>6762.079999999999</v>
      </c>
    </row>
    <row r="377" spans="1:3">
      <c r="A377" s="104">
        <v>93921</v>
      </c>
      <c r="B377" s="104" t="s">
        <v>1093</v>
      </c>
      <c r="C377" s="105">
        <v>137542.52074600002</v>
      </c>
    </row>
    <row r="378" spans="1:3">
      <c r="A378" s="104">
        <v>93931</v>
      </c>
      <c r="B378" s="104" t="s">
        <v>1094</v>
      </c>
      <c r="C378" s="105">
        <v>238501.86077800003</v>
      </c>
    </row>
    <row r="379" spans="1:3">
      <c r="A379" s="104">
        <v>94001</v>
      </c>
      <c r="B379" s="104" t="s">
        <v>1095</v>
      </c>
      <c r="C379" s="105">
        <v>461320.33028500003</v>
      </c>
    </row>
    <row r="380" spans="1:3">
      <c r="A380" s="104">
        <v>94002</v>
      </c>
      <c r="B380" s="104" t="s">
        <v>1096</v>
      </c>
      <c r="C380" s="105">
        <v>4785.87</v>
      </c>
    </row>
    <row r="381" spans="1:3">
      <c r="A381" s="104">
        <v>94004</v>
      </c>
      <c r="B381" s="104" t="s">
        <v>1097</v>
      </c>
      <c r="C381" s="105">
        <v>4601.3499999999995</v>
      </c>
    </row>
    <row r="382" spans="1:3">
      <c r="A382" s="104">
        <v>94005</v>
      </c>
      <c r="B382" s="104" t="s">
        <v>1098</v>
      </c>
      <c r="C382" s="105">
        <v>2452.52</v>
      </c>
    </row>
    <row r="383" spans="1:3">
      <c r="A383" s="104">
        <v>94011</v>
      </c>
      <c r="B383" s="104" t="s">
        <v>1099</v>
      </c>
      <c r="C383" s="105">
        <v>11857.95</v>
      </c>
    </row>
    <row r="384" spans="1:3">
      <c r="A384" s="104">
        <v>94021</v>
      </c>
      <c r="B384" s="104" t="s">
        <v>1100</v>
      </c>
      <c r="C384" s="105">
        <v>48100.269094000003</v>
      </c>
    </row>
    <row r="385" spans="1:3">
      <c r="A385" s="104">
        <v>94031</v>
      </c>
      <c r="B385" s="104" t="s">
        <v>1101</v>
      </c>
      <c r="C385" s="105">
        <v>7086.7199999999993</v>
      </c>
    </row>
    <row r="386" spans="1:3">
      <c r="A386" s="104">
        <v>94101</v>
      </c>
      <c r="B386" s="104" t="s">
        <v>1102</v>
      </c>
      <c r="C386" s="105">
        <v>9082874.8624590002</v>
      </c>
    </row>
    <row r="387" spans="1:3">
      <c r="A387" s="104">
        <v>94102</v>
      </c>
      <c r="B387" s="104" t="s">
        <v>1103</v>
      </c>
      <c r="C387" s="105">
        <v>109831.07999999999</v>
      </c>
    </row>
    <row r="388" spans="1:3">
      <c r="A388" s="104">
        <v>94108</v>
      </c>
      <c r="B388" s="104" t="s">
        <v>1104</v>
      </c>
      <c r="C388" s="105">
        <v>141635.36000000002</v>
      </c>
    </row>
    <row r="389" spans="1:3">
      <c r="A389" s="104">
        <v>94109</v>
      </c>
      <c r="B389" s="104" t="s">
        <v>1105</v>
      </c>
      <c r="C389" s="105">
        <v>34308.53</v>
      </c>
    </row>
    <row r="390" spans="1:3">
      <c r="A390" s="104">
        <v>94111</v>
      </c>
      <c r="B390" s="104" t="s">
        <v>1106</v>
      </c>
      <c r="C390" s="105">
        <v>12055216.264962999</v>
      </c>
    </row>
    <row r="391" spans="1:3">
      <c r="A391" s="104">
        <v>94112</v>
      </c>
      <c r="B391" s="104" t="s">
        <v>1107</v>
      </c>
      <c r="C391" s="105">
        <v>76727.231180999996</v>
      </c>
    </row>
    <row r="392" spans="1:3">
      <c r="A392" s="104">
        <v>94117</v>
      </c>
      <c r="B392" s="104" t="s">
        <v>1108</v>
      </c>
      <c r="C392" s="105">
        <v>182766.8</v>
      </c>
    </row>
    <row r="393" spans="1:3">
      <c r="A393" s="104">
        <v>94118</v>
      </c>
      <c r="B393" s="104" t="s">
        <v>1109</v>
      </c>
      <c r="C393" s="105">
        <v>64547.740000000005</v>
      </c>
    </row>
    <row r="394" spans="1:3">
      <c r="A394" s="104">
        <v>94121</v>
      </c>
      <c r="B394" s="104" t="s">
        <v>1110</v>
      </c>
      <c r="C394" s="105">
        <v>5648220.7370290002</v>
      </c>
    </row>
    <row r="395" spans="1:3">
      <c r="A395" s="104">
        <v>94127</v>
      </c>
      <c r="B395" s="104" t="s">
        <v>1111</v>
      </c>
      <c r="C395" s="105">
        <v>77193.210000000006</v>
      </c>
    </row>
    <row r="396" spans="1:3">
      <c r="A396" s="104">
        <v>94131</v>
      </c>
      <c r="B396" s="104" t="s">
        <v>1112</v>
      </c>
      <c r="C396" s="105">
        <v>104615.19999999998</v>
      </c>
    </row>
    <row r="397" spans="1:3">
      <c r="A397" s="104">
        <v>94151</v>
      </c>
      <c r="B397" s="104" t="s">
        <v>1113</v>
      </c>
      <c r="C397" s="105">
        <v>198961.67816499999</v>
      </c>
    </row>
    <row r="398" spans="1:3">
      <c r="A398" s="104">
        <v>94157</v>
      </c>
      <c r="B398" s="104" t="s">
        <v>1114</v>
      </c>
      <c r="C398" s="105">
        <v>5164.3099999999995</v>
      </c>
    </row>
    <row r="399" spans="1:3">
      <c r="A399" s="104">
        <v>94161</v>
      </c>
      <c r="B399" s="104" t="s">
        <v>1115</v>
      </c>
      <c r="C399" s="105">
        <v>22912.52</v>
      </c>
    </row>
    <row r="400" spans="1:3">
      <c r="A400" s="104">
        <v>94168</v>
      </c>
      <c r="B400" s="104" t="s">
        <v>1116</v>
      </c>
      <c r="C400" s="105">
        <v>22540.27</v>
      </c>
    </row>
    <row r="401" spans="1:3">
      <c r="A401" s="104">
        <v>94171</v>
      </c>
      <c r="B401" s="104" t="s">
        <v>1117</v>
      </c>
      <c r="C401" s="105">
        <v>32386.33</v>
      </c>
    </row>
    <row r="402" spans="1:3">
      <c r="A402" s="104">
        <v>94172</v>
      </c>
      <c r="B402" s="104" t="s">
        <v>1118</v>
      </c>
      <c r="C402" s="105">
        <v>104259.5</v>
      </c>
    </row>
    <row r="403" spans="1:3">
      <c r="A403" s="104">
        <v>94201</v>
      </c>
      <c r="B403" s="104" t="s">
        <v>1119</v>
      </c>
      <c r="C403" s="105">
        <v>1635512.1504599999</v>
      </c>
    </row>
    <row r="404" spans="1:3">
      <c r="A404" s="104">
        <v>94204</v>
      </c>
      <c r="B404" s="104" t="s">
        <v>1120</v>
      </c>
      <c r="C404" s="105">
        <v>18471.009999999998</v>
      </c>
    </row>
    <row r="405" spans="1:3">
      <c r="A405" s="104">
        <v>94205</v>
      </c>
      <c r="B405" s="104" t="s">
        <v>1121</v>
      </c>
      <c r="C405" s="105">
        <v>11769.760000000002</v>
      </c>
    </row>
    <row r="406" spans="1:3">
      <c r="A406" s="104">
        <v>94209</v>
      </c>
      <c r="B406" s="104" t="s">
        <v>1122</v>
      </c>
      <c r="C406" s="105">
        <v>156050.97000000003</v>
      </c>
    </row>
    <row r="407" spans="1:3">
      <c r="A407" s="104">
        <v>94211</v>
      </c>
      <c r="B407" s="104" t="s">
        <v>1123</v>
      </c>
      <c r="C407" s="105">
        <v>63943.500736000002</v>
      </c>
    </row>
    <row r="408" spans="1:3">
      <c r="A408" s="104">
        <v>94221</v>
      </c>
      <c r="B408" s="104" t="s">
        <v>1124</v>
      </c>
      <c r="C408" s="105">
        <v>486207.10264300008</v>
      </c>
    </row>
    <row r="409" spans="1:3">
      <c r="A409" s="104">
        <v>94231</v>
      </c>
      <c r="B409" s="104" t="s">
        <v>1125</v>
      </c>
      <c r="C409" s="105">
        <v>89897.245670000004</v>
      </c>
    </row>
    <row r="410" spans="1:3">
      <c r="A410" s="104">
        <v>94241</v>
      </c>
      <c r="B410" s="104" t="s">
        <v>1126</v>
      </c>
      <c r="C410" s="105">
        <v>55125.916629999992</v>
      </c>
    </row>
    <row r="411" spans="1:3">
      <c r="A411" s="104">
        <v>94251</v>
      </c>
      <c r="B411" s="104" t="s">
        <v>1127</v>
      </c>
      <c r="C411" s="105">
        <v>9677.590000000002</v>
      </c>
    </row>
    <row r="412" spans="1:3">
      <c r="A412" s="104">
        <v>94261</v>
      </c>
      <c r="B412" s="104" t="s">
        <v>1128</v>
      </c>
      <c r="C412" s="105">
        <v>19409.425063999999</v>
      </c>
    </row>
    <row r="413" spans="1:3">
      <c r="A413" s="104">
        <v>94301</v>
      </c>
      <c r="B413" s="104" t="s">
        <v>1129</v>
      </c>
      <c r="C413" s="105">
        <v>3065671.0452169999</v>
      </c>
    </row>
    <row r="414" spans="1:3">
      <c r="A414" s="104">
        <v>94311</v>
      </c>
      <c r="B414" s="104" t="s">
        <v>1130</v>
      </c>
      <c r="C414" s="105">
        <v>371563.20278200001</v>
      </c>
    </row>
    <row r="415" spans="1:3">
      <c r="A415" s="104">
        <v>94313</v>
      </c>
      <c r="B415" s="104" t="s">
        <v>1131</v>
      </c>
      <c r="C415" s="105">
        <v>14194.599999999999</v>
      </c>
    </row>
    <row r="416" spans="1:3">
      <c r="A416" s="104">
        <v>94317</v>
      </c>
      <c r="B416" s="104" t="s">
        <v>1132</v>
      </c>
      <c r="C416" s="105">
        <v>10719.349999999999</v>
      </c>
    </row>
    <row r="417" spans="1:3">
      <c r="A417" s="104">
        <v>94321</v>
      </c>
      <c r="B417" s="104" t="s">
        <v>1133</v>
      </c>
      <c r="C417" s="105">
        <v>120686.365425</v>
      </c>
    </row>
    <row r="418" spans="1:3">
      <c r="A418" s="104">
        <v>94331</v>
      </c>
      <c r="B418" s="104" t="s">
        <v>1134</v>
      </c>
      <c r="C418" s="105">
        <v>79182.118302999996</v>
      </c>
    </row>
    <row r="419" spans="1:3">
      <c r="A419" s="104">
        <v>94341</v>
      </c>
      <c r="B419" s="104" t="s">
        <v>1135</v>
      </c>
      <c r="C419" s="105">
        <v>38623.656577000002</v>
      </c>
    </row>
    <row r="420" spans="1:3">
      <c r="A420" s="104">
        <v>94347</v>
      </c>
      <c r="B420" s="104" t="s">
        <v>1136</v>
      </c>
      <c r="C420" s="105">
        <v>6483.8899999999985</v>
      </c>
    </row>
    <row r="421" spans="1:3">
      <c r="A421" s="104">
        <v>94351</v>
      </c>
      <c r="B421" s="104" t="s">
        <v>1137</v>
      </c>
      <c r="C421" s="105">
        <v>111785.12687100001</v>
      </c>
    </row>
    <row r="422" spans="1:3">
      <c r="A422" s="104">
        <v>94401</v>
      </c>
      <c r="B422" s="104" t="s">
        <v>1138</v>
      </c>
      <c r="C422" s="105">
        <v>1613627.2014980002</v>
      </c>
    </row>
    <row r="423" spans="1:3">
      <c r="A423" s="104">
        <v>94403</v>
      </c>
      <c r="B423" s="104" t="s">
        <v>1140</v>
      </c>
      <c r="C423" s="105">
        <v>16659.03</v>
      </c>
    </row>
    <row r="424" spans="1:3">
      <c r="A424" s="104">
        <v>94408</v>
      </c>
      <c r="B424" s="104" t="s">
        <v>1141</v>
      </c>
      <c r="C424" s="105">
        <v>17934.949999999997</v>
      </c>
    </row>
    <row r="425" spans="1:3">
      <c r="A425" s="104">
        <v>94411</v>
      </c>
      <c r="B425" s="104" t="s">
        <v>1142</v>
      </c>
      <c r="C425" s="105">
        <v>585990.54008499999</v>
      </c>
    </row>
    <row r="426" spans="1:3">
      <c r="A426" s="104">
        <v>94412</v>
      </c>
      <c r="B426" s="104" t="s">
        <v>1143</v>
      </c>
      <c r="C426" s="105">
        <v>14142.96</v>
      </c>
    </row>
    <row r="427" spans="1:3">
      <c r="A427" s="104">
        <v>94421</v>
      </c>
      <c r="B427" s="104" t="s">
        <v>1144</v>
      </c>
      <c r="C427" s="105">
        <v>77726.415248000005</v>
      </c>
    </row>
    <row r="428" spans="1:3">
      <c r="A428" s="104">
        <v>94427</v>
      </c>
      <c r="B428" s="104" t="s">
        <v>1145</v>
      </c>
      <c r="C428" s="105">
        <v>10757.710000000001</v>
      </c>
    </row>
    <row r="429" spans="1:3">
      <c r="A429" s="104">
        <v>94428</v>
      </c>
      <c r="B429" s="104" t="s">
        <v>1146</v>
      </c>
      <c r="C429" s="105">
        <v>36851.619999999995</v>
      </c>
    </row>
    <row r="430" spans="1:3">
      <c r="A430" s="104">
        <v>94431</v>
      </c>
      <c r="B430" s="104" t="s">
        <v>1147</v>
      </c>
      <c r="C430" s="105">
        <v>304045.349315</v>
      </c>
    </row>
    <row r="431" spans="1:3">
      <c r="A431" s="104">
        <v>94437</v>
      </c>
      <c r="B431" s="104" t="s">
        <v>1148</v>
      </c>
      <c r="C431" s="105">
        <v>13413.12</v>
      </c>
    </row>
    <row r="432" spans="1:3">
      <c r="A432" s="104">
        <v>94501</v>
      </c>
      <c r="B432" s="104" t="s">
        <v>1149</v>
      </c>
      <c r="C432" s="105">
        <v>2853870.5257239998</v>
      </c>
    </row>
    <row r="433" spans="1:3">
      <c r="A433" s="104">
        <v>94511</v>
      </c>
      <c r="B433" s="104" t="s">
        <v>1150</v>
      </c>
      <c r="C433" s="105">
        <v>890338.96471899992</v>
      </c>
    </row>
    <row r="434" spans="1:3">
      <c r="A434" s="104">
        <v>94517</v>
      </c>
      <c r="B434" s="104" t="s">
        <v>1152</v>
      </c>
      <c r="C434" s="105">
        <v>31791.789999999997</v>
      </c>
    </row>
    <row r="435" spans="1:3">
      <c r="A435" s="104">
        <v>94521</v>
      </c>
      <c r="B435" s="104" t="s">
        <v>1153</v>
      </c>
      <c r="C435" s="105">
        <v>64723.504390999995</v>
      </c>
    </row>
    <row r="436" spans="1:3">
      <c r="A436" s="104">
        <v>94527</v>
      </c>
      <c r="B436" s="104" t="s">
        <v>1154</v>
      </c>
      <c r="C436" s="105">
        <v>2986.9899999999993</v>
      </c>
    </row>
    <row r="437" spans="1:3">
      <c r="A437" s="104">
        <v>94531</v>
      </c>
      <c r="B437" s="104" t="s">
        <v>1155</v>
      </c>
      <c r="C437" s="105">
        <v>12698.630000000003</v>
      </c>
    </row>
    <row r="438" spans="1:3">
      <c r="A438" s="104">
        <v>94532</v>
      </c>
      <c r="B438" s="104" t="s">
        <v>1156</v>
      </c>
      <c r="C438" s="105">
        <v>48849.310000000005</v>
      </c>
    </row>
    <row r="439" spans="1:3">
      <c r="A439" s="104">
        <v>94541</v>
      </c>
      <c r="B439" s="104" t="s">
        <v>1157</v>
      </c>
      <c r="C439" s="105">
        <v>129411.980834</v>
      </c>
    </row>
    <row r="440" spans="1:3">
      <c r="A440" s="104">
        <v>94547</v>
      </c>
      <c r="B440" s="104" t="s">
        <v>1158</v>
      </c>
      <c r="C440" s="105">
        <v>9094.68</v>
      </c>
    </row>
    <row r="441" spans="1:3">
      <c r="A441" s="104">
        <v>94551</v>
      </c>
      <c r="B441" s="104" t="s">
        <v>1159</v>
      </c>
      <c r="C441" s="105">
        <v>25718.100000000006</v>
      </c>
    </row>
    <row r="442" spans="1:3">
      <c r="A442" s="104">
        <v>94601</v>
      </c>
      <c r="B442" s="104" t="s">
        <v>1160</v>
      </c>
      <c r="C442" s="105">
        <v>537000.54036600003</v>
      </c>
    </row>
    <row r="443" spans="1:3">
      <c r="A443" s="104">
        <v>94604</v>
      </c>
      <c r="B443" s="104" t="s">
        <v>1161</v>
      </c>
      <c r="C443" s="105">
        <v>14502</v>
      </c>
    </row>
    <row r="444" spans="1:3">
      <c r="A444" s="104">
        <v>94606</v>
      </c>
      <c r="B444" s="104" t="s">
        <v>1162</v>
      </c>
      <c r="C444" s="105">
        <v>102034.16</v>
      </c>
    </row>
    <row r="445" spans="1:3">
      <c r="A445" s="104">
        <v>94611</v>
      </c>
      <c r="B445" s="104" t="s">
        <v>1163</v>
      </c>
      <c r="C445" s="105">
        <v>187145.61872799997</v>
      </c>
    </row>
    <row r="446" spans="1:3">
      <c r="A446" s="104">
        <v>94621</v>
      </c>
      <c r="B446" s="104" t="s">
        <v>1164</v>
      </c>
      <c r="C446" s="105">
        <v>69631.412878000003</v>
      </c>
    </row>
    <row r="447" spans="1:3">
      <c r="A447" s="104">
        <v>94631</v>
      </c>
      <c r="B447" s="104" t="s">
        <v>1165</v>
      </c>
      <c r="C447" s="105">
        <v>20549.580000000002</v>
      </c>
    </row>
    <row r="448" spans="1:3">
      <c r="A448" s="104">
        <v>94641</v>
      </c>
      <c r="B448" s="104" t="s">
        <v>1166</v>
      </c>
      <c r="C448" s="105">
        <v>4762.91</v>
      </c>
    </row>
    <row r="449" spans="1:3">
      <c r="A449" s="104">
        <v>94701</v>
      </c>
      <c r="B449" s="104" t="s">
        <v>1167</v>
      </c>
      <c r="C449" s="105">
        <v>1155891.8361340002</v>
      </c>
    </row>
    <row r="450" spans="1:3">
      <c r="A450" s="104">
        <v>94704</v>
      </c>
      <c r="B450" s="104" t="s">
        <v>1168</v>
      </c>
      <c r="C450" s="105">
        <v>8058.28</v>
      </c>
    </row>
    <row r="451" spans="1:3">
      <c r="A451" s="104">
        <v>94711</v>
      </c>
      <c r="B451" s="104" t="s">
        <v>1169</v>
      </c>
      <c r="C451" s="105">
        <v>168065.41291000001</v>
      </c>
    </row>
    <row r="452" spans="1:3">
      <c r="A452" s="104">
        <v>94801</v>
      </c>
      <c r="B452" s="104" t="s">
        <v>1170</v>
      </c>
      <c r="C452" s="105">
        <v>345761.46429200005</v>
      </c>
    </row>
    <row r="453" spans="1:3">
      <c r="A453" s="104">
        <v>94804</v>
      </c>
      <c r="B453" s="104" t="s">
        <v>1171</v>
      </c>
      <c r="C453" s="105">
        <v>2753.83</v>
      </c>
    </row>
    <row r="454" spans="1:3">
      <c r="A454" s="104">
        <v>94812</v>
      </c>
      <c r="B454" s="104" t="s">
        <v>1172</v>
      </c>
      <c r="C454" s="105">
        <v>20766.419999999998</v>
      </c>
    </row>
    <row r="455" spans="1:3">
      <c r="A455" s="104">
        <v>94901</v>
      </c>
      <c r="B455" s="104" t="s">
        <v>1173</v>
      </c>
      <c r="C455" s="105">
        <v>3458043.8182469993</v>
      </c>
    </row>
    <row r="456" spans="1:3">
      <c r="A456" s="104">
        <v>94908</v>
      </c>
      <c r="B456" s="104" t="s">
        <v>1174</v>
      </c>
      <c r="C456" s="105">
        <v>3618.6299999999992</v>
      </c>
    </row>
    <row r="457" spans="1:3">
      <c r="A457" s="104">
        <v>94911</v>
      </c>
      <c r="B457" s="104" t="s">
        <v>1175</v>
      </c>
      <c r="C457" s="105">
        <v>1437336.824187</v>
      </c>
    </row>
    <row r="458" spans="1:3">
      <c r="A458" s="104">
        <v>94917</v>
      </c>
      <c r="B458" s="104" t="s">
        <v>1176</v>
      </c>
      <c r="C458" s="105">
        <v>27816</v>
      </c>
    </row>
    <row r="459" spans="1:3">
      <c r="A459" s="104">
        <v>94921</v>
      </c>
      <c r="B459" s="104" t="s">
        <v>1177</v>
      </c>
      <c r="C459" s="105">
        <v>1763659.6569050001</v>
      </c>
    </row>
    <row r="460" spans="1:3">
      <c r="A460" s="104">
        <v>94923</v>
      </c>
      <c r="B460" s="104" t="s">
        <v>1178</v>
      </c>
      <c r="C460" s="105">
        <v>15966.150000000001</v>
      </c>
    </row>
    <row r="461" spans="1:3">
      <c r="A461" s="104">
        <v>94927</v>
      </c>
      <c r="B461" s="104" t="s">
        <v>1179</v>
      </c>
      <c r="C461" s="105">
        <v>20061.34</v>
      </c>
    </row>
    <row r="462" spans="1:3">
      <c r="A462" s="104">
        <v>94931</v>
      </c>
      <c r="B462" s="104" t="s">
        <v>1180</v>
      </c>
      <c r="C462" s="105">
        <v>101032.52410899999</v>
      </c>
    </row>
    <row r="463" spans="1:3">
      <c r="A463" s="104">
        <v>94937</v>
      </c>
      <c r="B463" s="104" t="s">
        <v>1933</v>
      </c>
      <c r="C463" s="105">
        <v>1620.49</v>
      </c>
    </row>
    <row r="464" spans="1:3">
      <c r="A464" s="104">
        <v>94941</v>
      </c>
      <c r="B464" s="104" t="s">
        <v>1181</v>
      </c>
      <c r="C464" s="105">
        <v>248810.82</v>
      </c>
    </row>
    <row r="465" spans="1:3">
      <c r="A465" s="104">
        <v>94947</v>
      </c>
      <c r="B465" s="104" t="s">
        <v>1934</v>
      </c>
      <c r="C465" s="105">
        <v>1125.1799999999998</v>
      </c>
    </row>
    <row r="466" spans="1:3">
      <c r="A466" s="104">
        <v>95001</v>
      </c>
      <c r="B466" s="104" t="s">
        <v>1182</v>
      </c>
      <c r="C466" s="105">
        <v>1230480.6535930003</v>
      </c>
    </row>
    <row r="467" spans="1:3">
      <c r="A467" s="104">
        <v>95002</v>
      </c>
      <c r="B467" s="104" t="s">
        <v>1183</v>
      </c>
      <c r="C467" s="105">
        <v>106939.05000000002</v>
      </c>
    </row>
    <row r="468" spans="1:3">
      <c r="A468" s="104">
        <v>95005</v>
      </c>
      <c r="B468" s="104" t="s">
        <v>1184</v>
      </c>
      <c r="C468" s="105">
        <v>115399.53000000001</v>
      </c>
    </row>
    <row r="469" spans="1:3">
      <c r="A469" s="104">
        <v>95008</v>
      </c>
      <c r="B469" s="104" t="s">
        <v>1185</v>
      </c>
      <c r="C469" s="105">
        <v>68090.84</v>
      </c>
    </row>
    <row r="470" spans="1:3">
      <c r="A470" s="104">
        <v>95009</v>
      </c>
      <c r="B470" s="104" t="s">
        <v>1186</v>
      </c>
      <c r="C470" s="105">
        <v>2002290.1400000001</v>
      </c>
    </row>
    <row r="471" spans="1:3">
      <c r="A471" s="104">
        <v>95011</v>
      </c>
      <c r="B471" s="104" t="s">
        <v>1187</v>
      </c>
      <c r="C471" s="105">
        <v>89092.706494000013</v>
      </c>
    </row>
    <row r="472" spans="1:3">
      <c r="A472" s="104">
        <v>95017</v>
      </c>
      <c r="B472" s="104" t="s">
        <v>1188</v>
      </c>
      <c r="C472" s="105">
        <v>17647.989999999998</v>
      </c>
    </row>
    <row r="473" spans="1:3">
      <c r="A473" s="104">
        <v>95101</v>
      </c>
      <c r="B473" s="104" t="s">
        <v>1189</v>
      </c>
      <c r="C473" s="105">
        <v>3950764.8615039992</v>
      </c>
    </row>
    <row r="474" spans="1:3">
      <c r="A474" s="104">
        <v>95103</v>
      </c>
      <c r="B474" s="104" t="s">
        <v>1190</v>
      </c>
      <c r="C474" s="105">
        <v>30191.260000000002</v>
      </c>
    </row>
    <row r="475" spans="1:3">
      <c r="A475" s="104">
        <v>95104</v>
      </c>
      <c r="B475" s="104" t="s">
        <v>1191</v>
      </c>
      <c r="C475" s="105">
        <v>61268.85</v>
      </c>
    </row>
    <row r="476" spans="1:3">
      <c r="A476" s="104">
        <v>95105</v>
      </c>
      <c r="B476" s="104" t="s">
        <v>1192</v>
      </c>
      <c r="C476" s="105">
        <v>35729.96</v>
      </c>
    </row>
    <row r="477" spans="1:3">
      <c r="A477" s="104">
        <v>95106</v>
      </c>
      <c r="B477" s="104" t="s">
        <v>1193</v>
      </c>
      <c r="C477" s="105">
        <v>8073.19</v>
      </c>
    </row>
    <row r="478" spans="1:3">
      <c r="A478" s="104">
        <v>95110</v>
      </c>
      <c r="B478" s="104" t="s">
        <v>1194</v>
      </c>
      <c r="C478" s="105">
        <v>1943181.54</v>
      </c>
    </row>
    <row r="479" spans="1:3">
      <c r="A479" s="104">
        <v>95111</v>
      </c>
      <c r="B479" s="104" t="s">
        <v>1195</v>
      </c>
      <c r="C479" s="105">
        <v>496429.25490499998</v>
      </c>
    </row>
    <row r="480" spans="1:3">
      <c r="A480" s="104">
        <v>95113</v>
      </c>
      <c r="B480" s="104" t="s">
        <v>1196</v>
      </c>
      <c r="C480" s="105">
        <v>74446.760000000009</v>
      </c>
    </row>
    <row r="481" spans="1:3">
      <c r="A481" s="104">
        <v>95121</v>
      </c>
      <c r="B481" s="104" t="s">
        <v>1197</v>
      </c>
      <c r="C481" s="105">
        <v>242310.35318199999</v>
      </c>
    </row>
    <row r="482" spans="1:3">
      <c r="A482" s="104">
        <v>95122</v>
      </c>
      <c r="B482" s="104" t="s">
        <v>1198</v>
      </c>
      <c r="C482" s="105">
        <v>4596.5411730000005</v>
      </c>
    </row>
    <row r="483" spans="1:3">
      <c r="A483" s="104">
        <v>95123</v>
      </c>
      <c r="B483" s="104" t="s">
        <v>1199</v>
      </c>
      <c r="C483" s="105">
        <v>29610.61</v>
      </c>
    </row>
    <row r="484" spans="1:3">
      <c r="A484" s="104">
        <v>95131</v>
      </c>
      <c r="B484" s="104" t="s">
        <v>1200</v>
      </c>
      <c r="C484" s="105">
        <v>811028.85985000001</v>
      </c>
    </row>
    <row r="485" spans="1:3">
      <c r="A485" s="104">
        <v>95141</v>
      </c>
      <c r="B485" s="104" t="s">
        <v>1201</v>
      </c>
      <c r="C485" s="105">
        <v>148359.611664</v>
      </c>
    </row>
    <row r="486" spans="1:3">
      <c r="A486" s="104">
        <v>95151</v>
      </c>
      <c r="B486" s="104" t="s">
        <v>1202</v>
      </c>
      <c r="C486" s="105">
        <v>51039.874939999994</v>
      </c>
    </row>
    <row r="487" spans="1:3">
      <c r="A487" s="104">
        <v>95161</v>
      </c>
      <c r="B487" s="104" t="s">
        <v>1203</v>
      </c>
      <c r="C487" s="105">
        <v>41171.789152000005</v>
      </c>
    </row>
    <row r="488" spans="1:3">
      <c r="A488" s="104">
        <v>95171</v>
      </c>
      <c r="B488" s="104" t="s">
        <v>1204</v>
      </c>
      <c r="C488" s="105">
        <v>47352.804093999999</v>
      </c>
    </row>
    <row r="489" spans="1:3">
      <c r="A489" s="104">
        <v>95181</v>
      </c>
      <c r="B489" s="104" t="s">
        <v>1205</v>
      </c>
      <c r="C489" s="105">
        <v>32737.288664</v>
      </c>
    </row>
    <row r="490" spans="1:3">
      <c r="A490" s="104">
        <v>95191</v>
      </c>
      <c r="B490" s="104" t="s">
        <v>1206</v>
      </c>
      <c r="C490" s="105">
        <v>35124.826186999999</v>
      </c>
    </row>
    <row r="491" spans="1:3">
      <c r="A491" s="104">
        <v>95201</v>
      </c>
      <c r="B491" s="104" t="s">
        <v>1207</v>
      </c>
      <c r="C491" s="105">
        <v>324382.05364799994</v>
      </c>
    </row>
    <row r="492" spans="1:3">
      <c r="A492" s="104">
        <v>95204</v>
      </c>
      <c r="B492" s="104" t="s">
        <v>1208</v>
      </c>
      <c r="C492" s="105">
        <v>6627.0800000000008</v>
      </c>
    </row>
    <row r="493" spans="1:3">
      <c r="A493" s="104">
        <v>95205</v>
      </c>
      <c r="B493" s="104" t="s">
        <v>1209</v>
      </c>
      <c r="C493" s="105">
        <v>2149.2399999999998</v>
      </c>
    </row>
    <row r="494" spans="1:3">
      <c r="A494" s="104">
        <v>95211</v>
      </c>
      <c r="B494" s="104" t="s">
        <v>1210</v>
      </c>
      <c r="C494" s="105">
        <v>3345.4599999999996</v>
      </c>
    </row>
    <row r="495" spans="1:3">
      <c r="A495" s="104">
        <v>95221</v>
      </c>
      <c r="B495" s="104" t="s">
        <v>1211</v>
      </c>
      <c r="C495" s="105">
        <v>24433.534168000002</v>
      </c>
    </row>
    <row r="496" spans="1:3">
      <c r="A496" s="104">
        <v>95301</v>
      </c>
      <c r="B496" s="104" t="s">
        <v>1212</v>
      </c>
      <c r="C496" s="105">
        <v>1161384.1130920001</v>
      </c>
    </row>
    <row r="497" spans="1:3">
      <c r="A497" s="104">
        <v>95311</v>
      </c>
      <c r="B497" s="104" t="s">
        <v>1213</v>
      </c>
      <c r="C497" s="105">
        <v>1353611.392217</v>
      </c>
    </row>
    <row r="498" spans="1:3">
      <c r="A498" s="104">
        <v>95317</v>
      </c>
      <c r="B498" s="104" t="s">
        <v>1214</v>
      </c>
      <c r="C498" s="105">
        <v>27496.489999999998</v>
      </c>
    </row>
    <row r="499" spans="1:3">
      <c r="A499" s="104">
        <v>95321</v>
      </c>
      <c r="B499" s="104" t="s">
        <v>1215</v>
      </c>
      <c r="C499" s="105">
        <v>27476.224288000005</v>
      </c>
    </row>
    <row r="500" spans="1:3">
      <c r="A500" s="104">
        <v>95401</v>
      </c>
      <c r="B500" s="104" t="s">
        <v>1216</v>
      </c>
      <c r="C500" s="105">
        <v>1369020.6456399998</v>
      </c>
    </row>
    <row r="501" spans="1:3">
      <c r="A501" s="104">
        <v>95404</v>
      </c>
      <c r="B501" s="104" t="s">
        <v>1217</v>
      </c>
      <c r="C501" s="105">
        <v>23078.973571000002</v>
      </c>
    </row>
    <row r="502" spans="1:3">
      <c r="A502" s="104">
        <v>95405</v>
      </c>
      <c r="B502" s="104" t="s">
        <v>1218</v>
      </c>
      <c r="C502" s="105">
        <v>19532.45</v>
      </c>
    </row>
    <row r="503" spans="1:3">
      <c r="A503" s="104">
        <v>95411</v>
      </c>
      <c r="B503" s="104" t="s">
        <v>1219</v>
      </c>
      <c r="C503" s="105">
        <v>1098228.3794750001</v>
      </c>
    </row>
    <row r="504" spans="1:3">
      <c r="A504" s="104">
        <v>95413</v>
      </c>
      <c r="B504" s="104" t="s">
        <v>1221</v>
      </c>
      <c r="C504" s="105">
        <v>130765.98</v>
      </c>
    </row>
    <row r="505" spans="1:3">
      <c r="A505" s="104">
        <v>95415</v>
      </c>
      <c r="B505" s="104" t="s">
        <v>1222</v>
      </c>
      <c r="C505" s="105">
        <v>31391.19</v>
      </c>
    </row>
    <row r="506" spans="1:3">
      <c r="A506" s="104">
        <v>95421</v>
      </c>
      <c r="B506" s="104" t="s">
        <v>1223</v>
      </c>
      <c r="C506" s="105">
        <v>19590.324793999996</v>
      </c>
    </row>
    <row r="507" spans="1:3">
      <c r="A507" s="104">
        <v>95431</v>
      </c>
      <c r="B507" s="104" t="s">
        <v>1224</v>
      </c>
      <c r="C507" s="105">
        <v>66123.850000000006</v>
      </c>
    </row>
    <row r="508" spans="1:3">
      <c r="A508" s="104">
        <v>95501</v>
      </c>
      <c r="B508" s="104" t="s">
        <v>1225</v>
      </c>
      <c r="C508" s="105">
        <v>2309249.2911149999</v>
      </c>
    </row>
    <row r="509" spans="1:3">
      <c r="A509" s="104">
        <v>95504</v>
      </c>
      <c r="B509" s="104" t="s">
        <v>1226</v>
      </c>
      <c r="C509" s="105">
        <v>10287.07</v>
      </c>
    </row>
    <row r="510" spans="1:3">
      <c r="A510" s="104">
        <v>95511</v>
      </c>
      <c r="B510" s="104" t="s">
        <v>1227</v>
      </c>
      <c r="C510" s="105">
        <v>509340.01929100003</v>
      </c>
    </row>
    <row r="511" spans="1:3">
      <c r="A511" s="104">
        <v>95513</v>
      </c>
      <c r="B511" s="104" t="s">
        <v>1228</v>
      </c>
      <c r="C511" s="105">
        <v>34360.18</v>
      </c>
    </row>
    <row r="512" spans="1:3">
      <c r="A512" s="104">
        <v>95517</v>
      </c>
      <c r="B512" s="104" t="s">
        <v>1229</v>
      </c>
      <c r="C512" s="105">
        <v>11099.99</v>
      </c>
    </row>
    <row r="513" spans="1:3">
      <c r="A513" s="104">
        <v>95601</v>
      </c>
      <c r="B513" s="104" t="s">
        <v>1230</v>
      </c>
      <c r="C513" s="105">
        <v>1263012.7079670001</v>
      </c>
    </row>
    <row r="514" spans="1:3">
      <c r="A514" s="104">
        <v>95611</v>
      </c>
      <c r="B514" s="104" t="s">
        <v>1231</v>
      </c>
      <c r="C514" s="105">
        <v>204619.09372800001</v>
      </c>
    </row>
    <row r="515" spans="1:3">
      <c r="A515" s="104">
        <v>95617</v>
      </c>
      <c r="B515" s="104" t="s">
        <v>1232</v>
      </c>
      <c r="C515" s="105">
        <v>8730.31</v>
      </c>
    </row>
    <row r="516" spans="1:3">
      <c r="A516" s="104">
        <v>95621</v>
      </c>
      <c r="B516" s="104" t="s">
        <v>1233</v>
      </c>
      <c r="C516" s="105">
        <v>260138.01698299998</v>
      </c>
    </row>
    <row r="517" spans="1:3">
      <c r="A517" s="104">
        <v>95701</v>
      </c>
      <c r="B517" s="104" t="s">
        <v>1234</v>
      </c>
      <c r="C517" s="105">
        <v>604598.16698300012</v>
      </c>
    </row>
    <row r="518" spans="1:3">
      <c r="A518" s="104">
        <v>95711</v>
      </c>
      <c r="B518" s="104" t="s">
        <v>1235</v>
      </c>
      <c r="C518" s="105">
        <v>60575.800004000004</v>
      </c>
    </row>
    <row r="519" spans="1:3">
      <c r="A519" s="104">
        <v>95721</v>
      </c>
      <c r="B519" s="104" t="s">
        <v>1236</v>
      </c>
      <c r="C519" s="105">
        <v>31048.057717000003</v>
      </c>
    </row>
    <row r="520" spans="1:3">
      <c r="A520" s="104">
        <v>95733</v>
      </c>
      <c r="B520" s="104" t="s">
        <v>1237</v>
      </c>
      <c r="C520" s="105">
        <v>7565.119999999999</v>
      </c>
    </row>
    <row r="521" spans="1:3">
      <c r="A521" s="104">
        <v>95801</v>
      </c>
      <c r="B521" s="104" t="s">
        <v>1238</v>
      </c>
      <c r="C521" s="105">
        <v>492639.09959200007</v>
      </c>
    </row>
    <row r="522" spans="1:3">
      <c r="A522" s="104">
        <v>95802</v>
      </c>
      <c r="B522" s="104" t="s">
        <v>1239</v>
      </c>
      <c r="C522" s="105">
        <v>5777.0899999999992</v>
      </c>
    </row>
    <row r="523" spans="1:3">
      <c r="A523" s="104">
        <v>95804</v>
      </c>
      <c r="B523" s="104" t="s">
        <v>1240</v>
      </c>
      <c r="C523" s="105">
        <v>7856.5900000000011</v>
      </c>
    </row>
    <row r="524" spans="1:3">
      <c r="A524" s="104">
        <v>95811</v>
      </c>
      <c r="B524" s="104" t="s">
        <v>1241</v>
      </c>
      <c r="C524" s="105">
        <v>262611.95967199997</v>
      </c>
    </row>
    <row r="525" spans="1:3">
      <c r="A525" s="104">
        <v>95813</v>
      </c>
      <c r="B525" s="104" t="s">
        <v>1242</v>
      </c>
      <c r="C525" s="105">
        <v>71429.14</v>
      </c>
    </row>
    <row r="526" spans="1:3">
      <c r="A526" s="104">
        <v>95821</v>
      </c>
      <c r="B526" s="104" t="s">
        <v>1243</v>
      </c>
      <c r="C526" s="105">
        <v>2011.8399999999997</v>
      </c>
    </row>
    <row r="527" spans="1:3">
      <c r="A527" s="104">
        <v>95831</v>
      </c>
      <c r="B527" s="104" t="s">
        <v>1244</v>
      </c>
      <c r="C527" s="105">
        <v>20645.45</v>
      </c>
    </row>
    <row r="528" spans="1:3">
      <c r="A528" s="104">
        <v>95841</v>
      </c>
      <c r="B528" s="104" t="s">
        <v>1245</v>
      </c>
      <c r="C528" s="105">
        <v>12838.9</v>
      </c>
    </row>
    <row r="529" spans="1:3">
      <c r="A529" s="104">
        <v>95851</v>
      </c>
      <c r="B529" s="104" t="s">
        <v>1246</v>
      </c>
      <c r="C529" s="105">
        <v>142997.08512</v>
      </c>
    </row>
    <row r="530" spans="1:3">
      <c r="A530" s="104">
        <v>95853</v>
      </c>
      <c r="B530" s="104" t="s">
        <v>1247</v>
      </c>
      <c r="C530" s="105">
        <v>15957.000000000004</v>
      </c>
    </row>
    <row r="531" spans="1:3">
      <c r="A531" s="104">
        <v>95901</v>
      </c>
      <c r="B531" s="104" t="s">
        <v>1248</v>
      </c>
      <c r="C531" s="105">
        <v>894780.33160400006</v>
      </c>
    </row>
    <row r="532" spans="1:3">
      <c r="A532" s="104">
        <v>95908</v>
      </c>
      <c r="B532" s="104" t="s">
        <v>1249</v>
      </c>
      <c r="C532" s="105">
        <v>26699.760000000002</v>
      </c>
    </row>
    <row r="533" spans="1:3">
      <c r="A533" s="104">
        <v>95911</v>
      </c>
      <c r="B533" s="104" t="s">
        <v>1250</v>
      </c>
      <c r="C533" s="105">
        <v>256697.63696700003</v>
      </c>
    </row>
    <row r="534" spans="1:3">
      <c r="A534" s="104">
        <v>95917</v>
      </c>
      <c r="B534" s="104" t="s">
        <v>1251</v>
      </c>
      <c r="C534" s="105">
        <v>11591.120000000003</v>
      </c>
    </row>
    <row r="535" spans="1:3">
      <c r="A535" s="104">
        <v>95921</v>
      </c>
      <c r="B535" s="104" t="s">
        <v>1252</v>
      </c>
      <c r="C535" s="105">
        <v>25012.856937000004</v>
      </c>
    </row>
    <row r="536" spans="1:3">
      <c r="A536" s="104">
        <v>96001</v>
      </c>
      <c r="B536" s="104" t="s">
        <v>1253</v>
      </c>
      <c r="C536" s="105">
        <v>21493968.407084994</v>
      </c>
    </row>
    <row r="537" spans="1:3">
      <c r="A537" s="104">
        <v>96003</v>
      </c>
      <c r="B537" s="104" t="s">
        <v>1254</v>
      </c>
      <c r="C537" s="105">
        <v>717558.54999999993</v>
      </c>
    </row>
    <row r="538" spans="1:3">
      <c r="A538" s="104">
        <v>96004</v>
      </c>
      <c r="B538" s="104" t="s">
        <v>1255</v>
      </c>
      <c r="C538" s="105">
        <v>500331.48470999999</v>
      </c>
    </row>
    <row r="539" spans="1:3">
      <c r="A539" s="104">
        <v>96005</v>
      </c>
      <c r="B539" s="104" t="s">
        <v>1256</v>
      </c>
      <c r="C539" s="105">
        <v>1319874.8399999999</v>
      </c>
    </row>
    <row r="540" spans="1:3">
      <c r="A540" s="104">
        <v>96008</v>
      </c>
      <c r="B540" s="104" t="s">
        <v>1257</v>
      </c>
      <c r="C540" s="105">
        <v>2319759.66</v>
      </c>
    </row>
    <row r="541" spans="1:3">
      <c r="A541" s="104">
        <v>96009</v>
      </c>
      <c r="B541" s="104" t="s">
        <v>1258</v>
      </c>
      <c r="C541" s="105">
        <v>213205.53999999998</v>
      </c>
    </row>
    <row r="542" spans="1:3">
      <c r="A542" s="104">
        <v>96011</v>
      </c>
      <c r="B542" s="104" t="s">
        <v>1259</v>
      </c>
      <c r="C542" s="105">
        <v>30490654.807767</v>
      </c>
    </row>
    <row r="543" spans="1:3">
      <c r="A543" s="104">
        <v>96012</v>
      </c>
      <c r="B543" s="104" t="s">
        <v>1260</v>
      </c>
      <c r="C543" s="105">
        <v>1227286.1099999999</v>
      </c>
    </row>
    <row r="544" spans="1:3">
      <c r="A544" s="104">
        <v>96018</v>
      </c>
      <c r="B544" s="104" t="s">
        <v>1261</v>
      </c>
      <c r="C544" s="105">
        <v>20816.02</v>
      </c>
    </row>
    <row r="545" spans="1:3">
      <c r="A545" s="104">
        <v>96021</v>
      </c>
      <c r="B545" s="104" t="s">
        <v>1262</v>
      </c>
      <c r="C545" s="105">
        <v>348072.00480200001</v>
      </c>
    </row>
    <row r="546" spans="1:3">
      <c r="A546" s="104">
        <v>96031</v>
      </c>
      <c r="B546" s="104" t="s">
        <v>1263</v>
      </c>
      <c r="C546" s="105">
        <v>343067.936842</v>
      </c>
    </row>
    <row r="547" spans="1:3">
      <c r="A547" s="104">
        <v>96041</v>
      </c>
      <c r="B547" s="104" t="s">
        <v>1264</v>
      </c>
      <c r="C547" s="105">
        <v>760331.48927600007</v>
      </c>
    </row>
    <row r="548" spans="1:3">
      <c r="A548" s="104">
        <v>96051</v>
      </c>
      <c r="B548" s="104" t="s">
        <v>1265</v>
      </c>
      <c r="C548" s="105">
        <v>447496.18057800003</v>
      </c>
    </row>
    <row r="549" spans="1:3">
      <c r="A549" s="104">
        <v>96061</v>
      </c>
      <c r="B549" s="104" t="s">
        <v>1266</v>
      </c>
      <c r="C549" s="105">
        <v>163294.99957099999</v>
      </c>
    </row>
    <row r="550" spans="1:3">
      <c r="A550" s="104">
        <v>96071</v>
      </c>
      <c r="B550" s="104" t="s">
        <v>1267</v>
      </c>
      <c r="C550" s="105">
        <v>601187.62337699998</v>
      </c>
    </row>
    <row r="551" spans="1:3">
      <c r="A551" s="104">
        <v>96081</v>
      </c>
      <c r="B551" s="104" t="s">
        <v>1268</v>
      </c>
      <c r="C551" s="105">
        <v>241286.98223299999</v>
      </c>
    </row>
    <row r="552" spans="1:3">
      <c r="A552" s="104">
        <v>96101</v>
      </c>
      <c r="B552" s="104" t="s">
        <v>1269</v>
      </c>
      <c r="C552" s="105">
        <v>406062.01996300003</v>
      </c>
    </row>
    <row r="553" spans="1:3">
      <c r="A553" s="104">
        <v>96102</v>
      </c>
      <c r="B553" s="104" t="s">
        <v>1270</v>
      </c>
      <c r="C553" s="105">
        <v>4192.87</v>
      </c>
    </row>
    <row r="554" spans="1:3">
      <c r="A554" s="104">
        <v>96111</v>
      </c>
      <c r="B554" s="104" t="s">
        <v>1271</v>
      </c>
      <c r="C554" s="105">
        <v>88704.742486999996</v>
      </c>
    </row>
    <row r="555" spans="1:3">
      <c r="A555" s="104">
        <v>96121</v>
      </c>
      <c r="B555" s="104" t="s">
        <v>1272</v>
      </c>
      <c r="C555" s="105">
        <v>9550.9943999999996</v>
      </c>
    </row>
    <row r="556" spans="1:3">
      <c r="A556" s="104">
        <v>96201</v>
      </c>
      <c r="B556" s="104" t="s">
        <v>1273</v>
      </c>
      <c r="C556" s="105">
        <v>543344.09012499999</v>
      </c>
    </row>
    <row r="557" spans="1:3">
      <c r="A557" s="104">
        <v>96204</v>
      </c>
      <c r="B557" s="104" t="s">
        <v>1274</v>
      </c>
      <c r="C557" s="105">
        <v>9259.8799999999992</v>
      </c>
    </row>
    <row r="558" spans="1:3">
      <c r="A558" s="104">
        <v>96211</v>
      </c>
      <c r="B558" s="104" t="s">
        <v>1275</v>
      </c>
      <c r="C558" s="105">
        <v>17551.462957999996</v>
      </c>
    </row>
    <row r="559" spans="1:3">
      <c r="A559" s="104">
        <v>96221</v>
      </c>
      <c r="B559" s="104" t="s">
        <v>1276</v>
      </c>
      <c r="C559" s="105">
        <v>105993.03014400002</v>
      </c>
    </row>
    <row r="560" spans="1:3">
      <c r="A560" s="104">
        <v>96231</v>
      </c>
      <c r="B560" s="104" t="s">
        <v>1277</v>
      </c>
      <c r="C560" s="105">
        <v>49677.441377999996</v>
      </c>
    </row>
    <row r="561" spans="1:3">
      <c r="A561" s="104">
        <v>96241</v>
      </c>
      <c r="B561" s="104" t="s">
        <v>1278</v>
      </c>
      <c r="C561" s="105">
        <v>23317.604755</v>
      </c>
    </row>
    <row r="562" spans="1:3">
      <c r="A562" s="104">
        <v>96251</v>
      </c>
      <c r="B562" s="104" t="s">
        <v>1279</v>
      </c>
      <c r="C562" s="105">
        <v>40415.916930000007</v>
      </c>
    </row>
    <row r="563" spans="1:3">
      <c r="A563" s="104">
        <v>96301</v>
      </c>
      <c r="B563" s="104" t="s">
        <v>1280</v>
      </c>
      <c r="C563" s="105">
        <v>2084751.7592920002</v>
      </c>
    </row>
    <row r="564" spans="1:3">
      <c r="A564" s="104">
        <v>96302</v>
      </c>
      <c r="B564" s="104" t="s">
        <v>1281</v>
      </c>
      <c r="C564" s="105">
        <v>12087.686940999996</v>
      </c>
    </row>
    <row r="565" spans="1:3">
      <c r="A565" s="104">
        <v>96304</v>
      </c>
      <c r="B565" s="104" t="s">
        <v>1282</v>
      </c>
      <c r="C565" s="105">
        <v>28971.4</v>
      </c>
    </row>
    <row r="566" spans="1:3">
      <c r="A566" s="104">
        <v>96305</v>
      </c>
      <c r="B566" s="104" t="s">
        <v>1283</v>
      </c>
      <c r="C566" s="105">
        <v>33688.550000000003</v>
      </c>
    </row>
    <row r="567" spans="1:3">
      <c r="A567" s="104">
        <v>96310</v>
      </c>
      <c r="B567" s="104" t="s">
        <v>1284</v>
      </c>
      <c r="C567" s="105">
        <v>29357.230000000003</v>
      </c>
    </row>
    <row r="568" spans="1:3">
      <c r="A568" s="104">
        <v>96311</v>
      </c>
      <c r="B568" s="104" t="s">
        <v>1285</v>
      </c>
      <c r="C568" s="105">
        <v>609721.62974</v>
      </c>
    </row>
    <row r="569" spans="1:3">
      <c r="A569" s="104">
        <v>96312</v>
      </c>
      <c r="B569" s="104" t="s">
        <v>1286</v>
      </c>
      <c r="C569" s="105">
        <v>3479.0469029999999</v>
      </c>
    </row>
    <row r="570" spans="1:3">
      <c r="A570" s="104">
        <v>96318</v>
      </c>
      <c r="B570" s="104" t="s">
        <v>1287</v>
      </c>
      <c r="C570" s="105">
        <v>1174353.58</v>
      </c>
    </row>
    <row r="571" spans="1:3">
      <c r="A571" s="104">
        <v>96321</v>
      </c>
      <c r="B571" s="104" t="s">
        <v>1288</v>
      </c>
      <c r="C571" s="105">
        <v>19104.935067000002</v>
      </c>
    </row>
    <row r="572" spans="1:3">
      <c r="A572" s="104">
        <v>96331</v>
      </c>
      <c r="B572" s="104" t="s">
        <v>1289</v>
      </c>
      <c r="C572" s="105">
        <v>302018.86944099999</v>
      </c>
    </row>
    <row r="573" spans="1:3">
      <c r="A573" s="104">
        <v>96341</v>
      </c>
      <c r="B573" s="104" t="s">
        <v>1290</v>
      </c>
      <c r="C573" s="105">
        <v>41905.197740000011</v>
      </c>
    </row>
    <row r="574" spans="1:3">
      <c r="A574" s="104">
        <v>96351</v>
      </c>
      <c r="B574" s="104" t="s">
        <v>1291</v>
      </c>
      <c r="C574" s="105">
        <v>506250.23961299995</v>
      </c>
    </row>
    <row r="575" spans="1:3">
      <c r="A575" s="104">
        <v>96361</v>
      </c>
      <c r="B575" s="104" t="s">
        <v>1292</v>
      </c>
      <c r="C575" s="105">
        <v>26123.995480000001</v>
      </c>
    </row>
    <row r="576" spans="1:3">
      <c r="A576" s="104">
        <v>96371</v>
      </c>
      <c r="B576" s="104" t="s">
        <v>1293</v>
      </c>
      <c r="C576" s="105">
        <v>71861.673995999998</v>
      </c>
    </row>
    <row r="577" spans="1:3">
      <c r="A577" s="104">
        <v>96381</v>
      </c>
      <c r="B577" s="104" t="s">
        <v>1294</v>
      </c>
      <c r="C577" s="105">
        <v>16380.713872</v>
      </c>
    </row>
    <row r="578" spans="1:3">
      <c r="A578" s="104">
        <v>96391</v>
      </c>
      <c r="B578" s="104" t="s">
        <v>1295</v>
      </c>
      <c r="C578" s="105">
        <v>82140.897186000017</v>
      </c>
    </row>
    <row r="579" spans="1:3">
      <c r="A579" s="104">
        <v>96401</v>
      </c>
      <c r="B579" s="104" t="s">
        <v>1296</v>
      </c>
      <c r="C579" s="105">
        <v>2141133.3190009994</v>
      </c>
    </row>
    <row r="580" spans="1:3">
      <c r="A580" s="104">
        <v>96404</v>
      </c>
      <c r="B580" s="104" t="s">
        <v>1297</v>
      </c>
      <c r="C580" s="105">
        <v>62860.887276000001</v>
      </c>
    </row>
    <row r="581" spans="1:3">
      <c r="A581" s="104">
        <v>96405</v>
      </c>
      <c r="B581" s="104" t="s">
        <v>1298</v>
      </c>
      <c r="C581" s="105">
        <v>90010.86</v>
      </c>
    </row>
    <row r="582" spans="1:3">
      <c r="A582" s="104">
        <v>96411</v>
      </c>
      <c r="B582" s="104" t="s">
        <v>1299</v>
      </c>
      <c r="C582" s="105">
        <v>30766.532431</v>
      </c>
    </row>
    <row r="583" spans="1:3">
      <c r="A583" s="104">
        <v>96421</v>
      </c>
      <c r="B583" s="104" t="s">
        <v>1300</v>
      </c>
      <c r="C583" s="105">
        <v>185496.66045900001</v>
      </c>
    </row>
    <row r="584" spans="1:3">
      <c r="A584" s="104">
        <v>96431</v>
      </c>
      <c r="B584" s="104" t="s">
        <v>1301</v>
      </c>
      <c r="C584" s="105">
        <v>21848.792980999999</v>
      </c>
    </row>
    <row r="585" spans="1:3">
      <c r="A585" s="104">
        <v>96441</v>
      </c>
      <c r="B585" s="104" t="s">
        <v>1302</v>
      </c>
      <c r="C585" s="105">
        <v>15351.509181999998</v>
      </c>
    </row>
    <row r="586" spans="1:3">
      <c r="A586" s="104">
        <v>96451</v>
      </c>
      <c r="B586" s="104" t="s">
        <v>1303</v>
      </c>
      <c r="C586" s="105">
        <v>8535.726243000001</v>
      </c>
    </row>
    <row r="587" spans="1:3">
      <c r="A587" s="104">
        <v>96461</v>
      </c>
      <c r="B587" s="104" t="s">
        <v>1304</v>
      </c>
      <c r="C587" s="105">
        <v>72030.852744999997</v>
      </c>
    </row>
    <row r="588" spans="1:3">
      <c r="A588" s="104">
        <v>96501</v>
      </c>
      <c r="B588" s="104" t="s">
        <v>1305</v>
      </c>
      <c r="C588" s="105">
        <v>6947458.8347050007</v>
      </c>
    </row>
    <row r="589" spans="1:3">
      <c r="A589" s="104">
        <v>96502</v>
      </c>
      <c r="B589" s="104" t="s">
        <v>1306</v>
      </c>
      <c r="C589" s="105">
        <v>215466.08110699998</v>
      </c>
    </row>
    <row r="590" spans="1:3">
      <c r="A590" s="104">
        <v>96503</v>
      </c>
      <c r="B590" s="104" t="s">
        <v>1307</v>
      </c>
      <c r="C590" s="105">
        <v>320388.37</v>
      </c>
    </row>
    <row r="591" spans="1:3">
      <c r="A591" s="104">
        <v>96504</v>
      </c>
      <c r="B591" s="104" t="s">
        <v>1308</v>
      </c>
      <c r="C591" s="105">
        <v>206958.63999999996</v>
      </c>
    </row>
    <row r="592" spans="1:3">
      <c r="A592" s="104">
        <v>96507</v>
      </c>
      <c r="B592" s="104" t="s">
        <v>1309</v>
      </c>
      <c r="C592" s="105">
        <v>1125154.73</v>
      </c>
    </row>
    <row r="593" spans="1:3">
      <c r="A593" s="104">
        <v>96508</v>
      </c>
      <c r="B593" s="104" t="s">
        <v>1310</v>
      </c>
      <c r="C593" s="105">
        <v>11724.36</v>
      </c>
    </row>
    <row r="594" spans="1:3">
      <c r="A594" s="104">
        <v>96511</v>
      </c>
      <c r="B594" s="104" t="s">
        <v>1311</v>
      </c>
      <c r="C594" s="105">
        <v>294294.28148300003</v>
      </c>
    </row>
    <row r="595" spans="1:3">
      <c r="A595" s="104">
        <v>96512</v>
      </c>
      <c r="B595" s="104" t="s">
        <v>1312</v>
      </c>
      <c r="C595" s="105">
        <v>79724.989999999991</v>
      </c>
    </row>
    <row r="596" spans="1:3">
      <c r="A596" s="104">
        <v>96521</v>
      </c>
      <c r="B596" s="104" t="s">
        <v>1313</v>
      </c>
      <c r="C596" s="105">
        <v>427905.02673099993</v>
      </c>
    </row>
    <row r="597" spans="1:3">
      <c r="A597" s="104">
        <v>96531</v>
      </c>
      <c r="B597" s="104" t="s">
        <v>1314</v>
      </c>
      <c r="C597" s="105">
        <v>4035511.3833110007</v>
      </c>
    </row>
    <row r="598" spans="1:3">
      <c r="A598" s="104">
        <v>96541</v>
      </c>
      <c r="B598" s="104" t="s">
        <v>1315</v>
      </c>
      <c r="C598" s="105">
        <v>170179.71100099999</v>
      </c>
    </row>
    <row r="599" spans="1:3">
      <c r="A599" s="104">
        <v>96601</v>
      </c>
      <c r="B599" s="104" t="s">
        <v>1316</v>
      </c>
      <c r="C599" s="105">
        <v>825607.21463499987</v>
      </c>
    </row>
    <row r="600" spans="1:3">
      <c r="A600" s="104">
        <v>96604</v>
      </c>
      <c r="B600" s="104" t="s">
        <v>1317</v>
      </c>
      <c r="C600" s="105">
        <v>4896.1500000000005</v>
      </c>
    </row>
    <row r="601" spans="1:3">
      <c r="A601" s="104">
        <v>96611</v>
      </c>
      <c r="B601" s="104" t="s">
        <v>1318</v>
      </c>
      <c r="C601" s="105">
        <v>12911.224444000001</v>
      </c>
    </row>
    <row r="602" spans="1:3">
      <c r="A602" s="104">
        <v>96612</v>
      </c>
      <c r="B602" s="104" t="s">
        <v>1319</v>
      </c>
      <c r="C602" s="105">
        <v>31707.240000000005</v>
      </c>
    </row>
    <row r="603" spans="1:3">
      <c r="A603" s="104">
        <v>96621</v>
      </c>
      <c r="B603" s="104" t="s">
        <v>1320</v>
      </c>
      <c r="C603" s="105">
        <v>12605.038852000001</v>
      </c>
    </row>
    <row r="604" spans="1:3">
      <c r="A604" s="104">
        <v>96631</v>
      </c>
      <c r="B604" s="104" t="s">
        <v>1321</v>
      </c>
      <c r="C604" s="105">
        <v>12532.912876000002</v>
      </c>
    </row>
    <row r="605" spans="1:3">
      <c r="A605" s="104">
        <v>96641</v>
      </c>
      <c r="B605" s="104" t="s">
        <v>1322</v>
      </c>
      <c r="C605" s="105">
        <v>22010.236868000004</v>
      </c>
    </row>
    <row r="606" spans="1:3">
      <c r="A606" s="104">
        <v>96651</v>
      </c>
      <c r="B606" s="104" t="s">
        <v>1323</v>
      </c>
      <c r="C606" s="105">
        <v>9566.3388990000021</v>
      </c>
    </row>
    <row r="607" spans="1:3">
      <c r="A607" s="104">
        <v>96661</v>
      </c>
      <c r="B607" s="104" t="s">
        <v>1324</v>
      </c>
      <c r="C607" s="105">
        <v>10878.912887999999</v>
      </c>
    </row>
    <row r="608" spans="1:3">
      <c r="A608" s="104">
        <v>96671</v>
      </c>
      <c r="B608" s="104" t="s">
        <v>1325</v>
      </c>
      <c r="C608" s="105">
        <v>8886.5600000000013</v>
      </c>
    </row>
    <row r="609" spans="1:3">
      <c r="A609" s="104">
        <v>96681</v>
      </c>
      <c r="B609" s="104" t="s">
        <v>1326</v>
      </c>
      <c r="C609" s="105">
        <v>15491.968362</v>
      </c>
    </row>
    <row r="610" spans="1:3">
      <c r="A610" s="104">
        <v>96701</v>
      </c>
      <c r="B610" s="104" t="s">
        <v>1327</v>
      </c>
      <c r="C610" s="105">
        <v>3929619.0721519999</v>
      </c>
    </row>
    <row r="611" spans="1:3">
      <c r="A611" s="104">
        <v>96704</v>
      </c>
      <c r="B611" s="104" t="s">
        <v>1328</v>
      </c>
      <c r="C611" s="105">
        <v>106960.89000000001</v>
      </c>
    </row>
    <row r="612" spans="1:3">
      <c r="A612" s="104">
        <v>96708</v>
      </c>
      <c r="B612" s="104" t="s">
        <v>1329</v>
      </c>
      <c r="C612" s="105">
        <v>480567.68000000005</v>
      </c>
    </row>
    <row r="613" spans="1:3">
      <c r="A613" s="104">
        <v>96711</v>
      </c>
      <c r="B613" s="104" t="s">
        <v>1330</v>
      </c>
      <c r="C613" s="105">
        <v>1894102.2236530003</v>
      </c>
    </row>
    <row r="614" spans="1:3">
      <c r="A614" s="104">
        <v>96721</v>
      </c>
      <c r="B614" s="104" t="s">
        <v>1331</v>
      </c>
      <c r="C614" s="105">
        <v>104621.357858</v>
      </c>
    </row>
    <row r="615" spans="1:3">
      <c r="A615" s="104">
        <v>96731</v>
      </c>
      <c r="B615" s="104" t="s">
        <v>1332</v>
      </c>
      <c r="C615" s="105">
        <v>80631.545297000004</v>
      </c>
    </row>
    <row r="616" spans="1:3">
      <c r="A616" s="104">
        <v>96733</v>
      </c>
      <c r="B616" s="104" t="s">
        <v>1333</v>
      </c>
      <c r="C616" s="105">
        <v>4498.5200000000004</v>
      </c>
    </row>
    <row r="617" spans="1:3">
      <c r="A617" s="104">
        <v>96741</v>
      </c>
      <c r="B617" s="104" t="s">
        <v>1334</v>
      </c>
      <c r="C617" s="105">
        <v>44667.781470000002</v>
      </c>
    </row>
    <row r="618" spans="1:3">
      <c r="A618" s="104">
        <v>96751</v>
      </c>
      <c r="B618" s="104" t="s">
        <v>1335</v>
      </c>
      <c r="C618" s="105">
        <v>119909.425178</v>
      </c>
    </row>
    <row r="619" spans="1:3">
      <c r="A619" s="104">
        <v>96801</v>
      </c>
      <c r="B619" s="104" t="s">
        <v>1336</v>
      </c>
      <c r="C619" s="105">
        <v>3782424.636343</v>
      </c>
    </row>
    <row r="620" spans="1:3">
      <c r="A620" s="104">
        <v>96804</v>
      </c>
      <c r="B620" s="104" t="s">
        <v>1337</v>
      </c>
      <c r="C620" s="105">
        <v>109632.67000000001</v>
      </c>
    </row>
    <row r="621" spans="1:3">
      <c r="A621" s="104">
        <v>96808</v>
      </c>
      <c r="B621" s="104" t="s">
        <v>1338</v>
      </c>
      <c r="C621" s="105">
        <v>612313.69000000006</v>
      </c>
    </row>
    <row r="622" spans="1:3">
      <c r="A622" s="104">
        <v>96811</v>
      </c>
      <c r="B622" s="104" t="s">
        <v>1339</v>
      </c>
      <c r="C622" s="105">
        <v>2828120.4347119997</v>
      </c>
    </row>
    <row r="623" spans="1:3">
      <c r="A623" s="104">
        <v>96821</v>
      </c>
      <c r="B623" s="104" t="s">
        <v>1340</v>
      </c>
      <c r="C623" s="105">
        <v>606075.7397700001</v>
      </c>
    </row>
    <row r="624" spans="1:3">
      <c r="A624" s="104">
        <v>96831</v>
      </c>
      <c r="B624" s="104" t="s">
        <v>1341</v>
      </c>
      <c r="C624" s="105">
        <v>437767.04067599995</v>
      </c>
    </row>
    <row r="625" spans="1:3">
      <c r="A625" s="104">
        <v>96901</v>
      </c>
      <c r="B625" s="104" t="s">
        <v>1342</v>
      </c>
      <c r="C625" s="105">
        <v>449406.94321300002</v>
      </c>
    </row>
    <row r="626" spans="1:3">
      <c r="A626" s="104">
        <v>96911</v>
      </c>
      <c r="B626" s="104" t="s">
        <v>1343</v>
      </c>
      <c r="C626" s="105">
        <v>2452.13</v>
      </c>
    </row>
    <row r="627" spans="1:3">
      <c r="A627" s="104">
        <v>96912</v>
      </c>
      <c r="B627" s="104" t="s">
        <v>1344</v>
      </c>
      <c r="C627" s="105">
        <v>26729.281722000007</v>
      </c>
    </row>
    <row r="628" spans="1:3">
      <c r="A628" s="104">
        <v>96918</v>
      </c>
      <c r="B628" s="104" t="s">
        <v>1345</v>
      </c>
      <c r="C628" s="105">
        <v>16749.66</v>
      </c>
    </row>
    <row r="629" spans="1:3">
      <c r="A629" s="104">
        <v>97001</v>
      </c>
      <c r="B629" s="104" t="s">
        <v>1346</v>
      </c>
      <c r="C629" s="105">
        <v>742552.89960899996</v>
      </c>
    </row>
    <row r="630" spans="1:3">
      <c r="A630" s="104">
        <v>97002</v>
      </c>
      <c r="B630" s="104" t="s">
        <v>1347</v>
      </c>
      <c r="C630" s="105">
        <v>185928.28999999998</v>
      </c>
    </row>
    <row r="631" spans="1:3">
      <c r="A631" s="104">
        <v>97004</v>
      </c>
      <c r="B631" s="104" t="s">
        <v>1348</v>
      </c>
      <c r="C631" s="105">
        <v>8806.36</v>
      </c>
    </row>
    <row r="632" spans="1:3">
      <c r="A632" s="104">
        <v>97005</v>
      </c>
      <c r="B632" s="104" t="s">
        <v>1349</v>
      </c>
      <c r="C632" s="105">
        <v>14967.799999999997</v>
      </c>
    </row>
    <row r="633" spans="1:3">
      <c r="A633" s="104">
        <v>97008</v>
      </c>
      <c r="B633" s="104" t="s">
        <v>1350</v>
      </c>
      <c r="C633" s="105">
        <v>139745.68</v>
      </c>
    </row>
    <row r="634" spans="1:3">
      <c r="A634" s="104">
        <v>97011</v>
      </c>
      <c r="B634" s="104" t="s">
        <v>1352</v>
      </c>
      <c r="C634" s="105">
        <v>918572.95422800002</v>
      </c>
    </row>
    <row r="635" spans="1:3">
      <c r="A635" s="104">
        <v>97012</v>
      </c>
      <c r="B635" s="104" t="s">
        <v>1353</v>
      </c>
      <c r="C635" s="105">
        <v>18023.54</v>
      </c>
    </row>
    <row r="636" spans="1:3">
      <c r="A636" s="104">
        <v>97013</v>
      </c>
      <c r="B636" s="104" t="s">
        <v>1354</v>
      </c>
      <c r="C636" s="105">
        <v>11938.57</v>
      </c>
    </row>
    <row r="637" spans="1:3">
      <c r="A637" s="104">
        <v>97015</v>
      </c>
      <c r="B637" s="104" t="s">
        <v>1355</v>
      </c>
      <c r="C637" s="105">
        <v>25312.84</v>
      </c>
    </row>
    <row r="638" spans="1:3">
      <c r="A638" s="104">
        <v>97018</v>
      </c>
      <c r="B638" s="104" t="s">
        <v>1356</v>
      </c>
      <c r="C638" s="105">
        <v>8583.6</v>
      </c>
    </row>
    <row r="639" spans="1:3">
      <c r="A639" s="104">
        <v>97101</v>
      </c>
      <c r="B639" s="104" t="s">
        <v>1357</v>
      </c>
      <c r="C639" s="105">
        <v>1330859.4145580002</v>
      </c>
    </row>
    <row r="640" spans="1:3">
      <c r="A640" s="104">
        <v>97104</v>
      </c>
      <c r="B640" s="104" t="s">
        <v>1358</v>
      </c>
      <c r="C640" s="105">
        <v>32872.47</v>
      </c>
    </row>
    <row r="641" spans="1:3">
      <c r="A641" s="104">
        <v>97111</v>
      </c>
      <c r="B641" s="104" t="s">
        <v>1359</v>
      </c>
      <c r="C641" s="105">
        <v>129965.58805100001</v>
      </c>
    </row>
    <row r="642" spans="1:3">
      <c r="A642" s="104">
        <v>97121</v>
      </c>
      <c r="B642" s="104" t="s">
        <v>1360</v>
      </c>
      <c r="C642" s="105">
        <v>76175.851093000005</v>
      </c>
    </row>
    <row r="643" spans="1:3">
      <c r="A643" s="104">
        <v>97131</v>
      </c>
      <c r="B643" s="104" t="s">
        <v>1361</v>
      </c>
      <c r="C643" s="105">
        <v>265411.48868800001</v>
      </c>
    </row>
    <row r="644" spans="1:3">
      <c r="A644" s="104">
        <v>97201</v>
      </c>
      <c r="B644" s="104" t="s">
        <v>1362</v>
      </c>
      <c r="C644" s="105">
        <v>262236.91270099999</v>
      </c>
    </row>
    <row r="645" spans="1:3">
      <c r="A645" s="104">
        <v>97211</v>
      </c>
      <c r="B645" s="104" t="s">
        <v>1363</v>
      </c>
      <c r="C645" s="105">
        <v>77866.373638999998</v>
      </c>
    </row>
    <row r="646" spans="1:3">
      <c r="A646" s="104">
        <v>97213</v>
      </c>
      <c r="B646" s="104" t="s">
        <v>1364</v>
      </c>
      <c r="C646" s="105">
        <v>21662.31</v>
      </c>
    </row>
    <row r="647" spans="1:3">
      <c r="A647" s="104">
        <v>97217</v>
      </c>
      <c r="B647" s="104" t="s">
        <v>1365</v>
      </c>
      <c r="C647" s="105">
        <v>6450.300000000002</v>
      </c>
    </row>
    <row r="648" spans="1:3">
      <c r="A648" s="104">
        <v>97221</v>
      </c>
      <c r="B648" s="104" t="s">
        <v>1366</v>
      </c>
      <c r="C648" s="105">
        <v>6192.4740069999989</v>
      </c>
    </row>
    <row r="649" spans="1:3">
      <c r="A649" s="104">
        <v>97301</v>
      </c>
      <c r="B649" s="104" t="s">
        <v>1367</v>
      </c>
      <c r="C649" s="105">
        <v>1231027.8763949999</v>
      </c>
    </row>
    <row r="650" spans="1:3">
      <c r="A650" s="104">
        <v>97304</v>
      </c>
      <c r="B650" s="104" t="s">
        <v>1368</v>
      </c>
      <c r="C650" s="105">
        <v>13751.589999999997</v>
      </c>
    </row>
    <row r="651" spans="1:3">
      <c r="A651" s="104">
        <v>97311</v>
      </c>
      <c r="B651" s="104" t="s">
        <v>1369</v>
      </c>
      <c r="C651" s="105">
        <v>427971.83612300002</v>
      </c>
    </row>
    <row r="652" spans="1:3">
      <c r="A652" s="104">
        <v>97401</v>
      </c>
      <c r="B652" s="104" t="s">
        <v>1370</v>
      </c>
      <c r="C652" s="105">
        <v>3585248.7287780009</v>
      </c>
    </row>
    <row r="653" spans="1:3">
      <c r="A653" s="104">
        <v>97402</v>
      </c>
      <c r="B653" s="104" t="s">
        <v>1371</v>
      </c>
      <c r="C653" s="105">
        <v>26436.659999999996</v>
      </c>
    </row>
    <row r="654" spans="1:3">
      <c r="A654" s="104">
        <v>97404</v>
      </c>
      <c r="B654" s="104" t="s">
        <v>1372</v>
      </c>
      <c r="C654" s="105">
        <v>90667.806000000011</v>
      </c>
    </row>
    <row r="655" spans="1:3">
      <c r="A655" s="104">
        <v>97405</v>
      </c>
      <c r="B655" s="104" t="s">
        <v>1373</v>
      </c>
      <c r="C655" s="105">
        <v>71138.849999999991</v>
      </c>
    </row>
    <row r="656" spans="1:3">
      <c r="A656" s="104">
        <v>97408</v>
      </c>
      <c r="B656" s="104" t="s">
        <v>1374</v>
      </c>
      <c r="C656" s="105">
        <v>25129.97</v>
      </c>
    </row>
    <row r="657" spans="1:4">
      <c r="A657" s="104">
        <v>97411</v>
      </c>
      <c r="B657" s="104" t="s">
        <v>1375</v>
      </c>
      <c r="C657" s="105">
        <v>3028532.566662</v>
      </c>
    </row>
    <row r="658" spans="1:4">
      <c r="A658" s="104">
        <v>97412</v>
      </c>
      <c r="B658" s="104" t="s">
        <v>1376</v>
      </c>
      <c r="C658" s="105">
        <v>2270407.4099999997</v>
      </c>
    </row>
    <row r="659" spans="1:4">
      <c r="A659" s="104">
        <v>97413</v>
      </c>
      <c r="B659" s="104" t="s">
        <v>1377</v>
      </c>
      <c r="C659" s="105">
        <v>148219.56</v>
      </c>
    </row>
    <row r="660" spans="1:4">
      <c r="A660" s="104">
        <v>97421</v>
      </c>
      <c r="B660" s="104" t="s">
        <v>1378</v>
      </c>
      <c r="C660" s="105">
        <v>210610.71908099996</v>
      </c>
    </row>
    <row r="661" spans="1:4">
      <c r="A661" s="104">
        <v>97423</v>
      </c>
      <c r="B661" s="104" t="s">
        <v>1379</v>
      </c>
      <c r="C661" s="105">
        <v>40514.759999999995</v>
      </c>
    </row>
    <row r="662" spans="1:4">
      <c r="A662" s="104">
        <v>97431</v>
      </c>
      <c r="B662" s="104" t="s">
        <v>1380</v>
      </c>
      <c r="C662" s="105">
        <v>50715.322505000004</v>
      </c>
    </row>
    <row r="663" spans="1:4">
      <c r="A663" s="104">
        <v>97441</v>
      </c>
      <c r="B663" s="104" t="s">
        <v>1381</v>
      </c>
      <c r="C663" s="105">
        <v>21551.558476999999</v>
      </c>
    </row>
    <row r="664" spans="1:4">
      <c r="A664" s="104">
        <v>97451</v>
      </c>
      <c r="B664" s="104" t="s">
        <v>1382</v>
      </c>
      <c r="C664" s="105">
        <v>257107.70754799998</v>
      </c>
    </row>
    <row r="665" spans="1:4">
      <c r="A665" s="283" t="s">
        <v>3516</v>
      </c>
      <c r="B665" s="284" t="s">
        <v>1383</v>
      </c>
      <c r="C665" s="285">
        <v>234518.86547600001</v>
      </c>
    </row>
    <row r="666" spans="1:4">
      <c r="A666" s="283" t="s">
        <v>3517</v>
      </c>
      <c r="B666" s="284" t="s">
        <v>1384</v>
      </c>
      <c r="C666" s="285">
        <v>8702.26</v>
      </c>
      <c r="D666" s="229"/>
    </row>
    <row r="667" spans="1:4" ht="15.75" thickBot="1">
      <c r="A667" s="283">
        <v>97461</v>
      </c>
      <c r="B667" s="284" t="s">
        <v>1383</v>
      </c>
      <c r="C667" s="286">
        <f>SUM(C665:C666)</f>
        <v>243221.12547600002</v>
      </c>
    </row>
    <row r="668" spans="1:4" ht="15.75" thickTop="1">
      <c r="A668" s="104">
        <v>97471</v>
      </c>
      <c r="B668" s="104" t="s">
        <v>1385</v>
      </c>
      <c r="C668" s="105">
        <v>12311.93</v>
      </c>
    </row>
    <row r="669" spans="1:4">
      <c r="A669" s="104">
        <v>97481</v>
      </c>
      <c r="B669" s="104" t="s">
        <v>1386</v>
      </c>
      <c r="C669" s="105">
        <v>4407.6821639999998</v>
      </c>
    </row>
    <row r="670" spans="1:4">
      <c r="A670" s="104">
        <v>97501</v>
      </c>
      <c r="B670" s="104" t="s">
        <v>1388</v>
      </c>
      <c r="C670" s="105">
        <v>543678.36481499998</v>
      </c>
    </row>
    <row r="671" spans="1:4">
      <c r="A671" s="104">
        <v>97511</v>
      </c>
      <c r="B671" s="104" t="s">
        <v>1389</v>
      </c>
      <c r="C671" s="105">
        <v>102058.77313199999</v>
      </c>
    </row>
    <row r="672" spans="1:4">
      <c r="A672" s="104">
        <v>97521</v>
      </c>
      <c r="B672" s="104" t="s">
        <v>1390</v>
      </c>
      <c r="C672" s="105">
        <v>58326.600235000005</v>
      </c>
    </row>
    <row r="673" spans="1:3">
      <c r="A673" s="104">
        <v>97527</v>
      </c>
      <c r="B673" s="104" t="s">
        <v>1641</v>
      </c>
      <c r="C673" s="105">
        <v>3761.7300000000005</v>
      </c>
    </row>
    <row r="674" spans="1:3">
      <c r="A674" s="104">
        <v>97531</v>
      </c>
      <c r="B674" s="104" t="s">
        <v>1391</v>
      </c>
      <c r="C674" s="105">
        <v>29948.854805999999</v>
      </c>
    </row>
    <row r="675" spans="1:3">
      <c r="A675" s="104">
        <v>97601</v>
      </c>
      <c r="B675" s="104" t="s">
        <v>1392</v>
      </c>
      <c r="C675" s="105">
        <v>2483068.8812990007</v>
      </c>
    </row>
    <row r="676" spans="1:3">
      <c r="A676" s="104">
        <v>97607</v>
      </c>
      <c r="B676" s="104" t="s">
        <v>1393</v>
      </c>
      <c r="C676" s="105">
        <v>18882.38</v>
      </c>
    </row>
    <row r="677" spans="1:3">
      <c r="A677" s="104">
        <v>97611</v>
      </c>
      <c r="B677" s="104" t="s">
        <v>1394</v>
      </c>
      <c r="C677" s="105">
        <v>1130810.4033589999</v>
      </c>
    </row>
    <row r="678" spans="1:3">
      <c r="A678" s="104">
        <v>97613</v>
      </c>
      <c r="B678" s="104" t="s">
        <v>1395</v>
      </c>
      <c r="C678" s="105">
        <v>63111.42</v>
      </c>
    </row>
    <row r="679" spans="1:3">
      <c r="A679" s="104">
        <v>97621</v>
      </c>
      <c r="B679" s="104" t="s">
        <v>1396</v>
      </c>
      <c r="C679" s="105">
        <v>187775.93035600003</v>
      </c>
    </row>
    <row r="680" spans="1:3">
      <c r="A680" s="104">
        <v>97623</v>
      </c>
      <c r="B680" s="104" t="s">
        <v>1397</v>
      </c>
      <c r="C680" s="105">
        <v>11408.899999999998</v>
      </c>
    </row>
    <row r="681" spans="1:3">
      <c r="A681" s="104">
        <v>97627</v>
      </c>
      <c r="B681" s="104" t="s">
        <v>1398</v>
      </c>
      <c r="C681" s="105">
        <v>5463.33</v>
      </c>
    </row>
    <row r="682" spans="1:3">
      <c r="A682" s="104">
        <v>97631</v>
      </c>
      <c r="B682" s="104" t="s">
        <v>1399</v>
      </c>
      <c r="C682" s="105">
        <v>92382.765471000021</v>
      </c>
    </row>
    <row r="683" spans="1:3">
      <c r="A683" s="104">
        <v>97637</v>
      </c>
      <c r="B683" s="104" t="s">
        <v>1400</v>
      </c>
      <c r="C683" s="105">
        <v>3307.5600000000009</v>
      </c>
    </row>
    <row r="684" spans="1:3">
      <c r="A684" s="104">
        <v>97641</v>
      </c>
      <c r="B684" s="104" t="s">
        <v>1401</v>
      </c>
      <c r="C684" s="105">
        <v>30439.012708000002</v>
      </c>
    </row>
    <row r="685" spans="1:3">
      <c r="A685" s="104">
        <v>97651</v>
      </c>
      <c r="B685" s="104" t="s">
        <v>1402</v>
      </c>
      <c r="C685" s="105">
        <v>232693.75414700003</v>
      </c>
    </row>
    <row r="686" spans="1:3">
      <c r="A686" s="104">
        <v>97661</v>
      </c>
      <c r="B686" s="104" t="s">
        <v>1403</v>
      </c>
      <c r="C686" s="105">
        <v>25899.940000000006</v>
      </c>
    </row>
    <row r="687" spans="1:3">
      <c r="A687" s="104">
        <v>97701</v>
      </c>
      <c r="B687" s="104" t="s">
        <v>1404</v>
      </c>
      <c r="C687" s="105">
        <v>1244784.924385</v>
      </c>
    </row>
    <row r="688" spans="1:3">
      <c r="A688" s="104">
        <v>97705</v>
      </c>
      <c r="B688" s="104" t="s">
        <v>1405</v>
      </c>
      <c r="C688" s="105">
        <v>23599.25</v>
      </c>
    </row>
    <row r="689" spans="1:3">
      <c r="A689" s="104">
        <v>97711</v>
      </c>
      <c r="B689" s="104" t="s">
        <v>1406</v>
      </c>
      <c r="C689" s="105">
        <v>457009.620253</v>
      </c>
    </row>
    <row r="690" spans="1:3">
      <c r="A690" s="104">
        <v>97713</v>
      </c>
      <c r="B690" s="104" t="s">
        <v>1407</v>
      </c>
      <c r="C690" s="105">
        <v>21943.34</v>
      </c>
    </row>
    <row r="691" spans="1:3">
      <c r="A691" s="104">
        <v>97717</v>
      </c>
      <c r="B691" s="104" t="s">
        <v>1408</v>
      </c>
      <c r="C691" s="105">
        <v>2473.4699999999993</v>
      </c>
    </row>
    <row r="692" spans="1:3">
      <c r="A692" s="104">
        <v>97721</v>
      </c>
      <c r="B692" s="104" t="s">
        <v>1409</v>
      </c>
      <c r="C692" s="105">
        <v>271324.76205899997</v>
      </c>
    </row>
    <row r="693" spans="1:3">
      <c r="A693" s="104">
        <v>97727</v>
      </c>
      <c r="B693" s="104" t="s">
        <v>1410</v>
      </c>
      <c r="C693" s="105">
        <v>11178.52</v>
      </c>
    </row>
    <row r="694" spans="1:3">
      <c r="A694" s="104">
        <v>97731</v>
      </c>
      <c r="B694" s="104" t="s">
        <v>1411</v>
      </c>
      <c r="C694" s="105">
        <v>19915.729999999996</v>
      </c>
    </row>
    <row r="695" spans="1:3">
      <c r="A695" s="104">
        <v>97801</v>
      </c>
      <c r="B695" s="104" t="s">
        <v>1412</v>
      </c>
      <c r="C695" s="105">
        <v>3252423.910648</v>
      </c>
    </row>
    <row r="696" spans="1:3">
      <c r="A696" s="104">
        <v>97802</v>
      </c>
      <c r="B696" s="104" t="s">
        <v>1413</v>
      </c>
      <c r="C696" s="105">
        <v>84582.720000000001</v>
      </c>
    </row>
    <row r="697" spans="1:3">
      <c r="A697" s="104">
        <v>97803</v>
      </c>
      <c r="B697" s="104" t="s">
        <v>1414</v>
      </c>
      <c r="C697" s="105">
        <v>39273.499999999993</v>
      </c>
    </row>
    <row r="698" spans="1:3">
      <c r="A698" s="104">
        <v>97805</v>
      </c>
      <c r="B698" s="104" t="s">
        <v>1415</v>
      </c>
      <c r="C698" s="105">
        <v>42170.28</v>
      </c>
    </row>
    <row r="699" spans="1:3">
      <c r="A699" s="104">
        <v>97811</v>
      </c>
      <c r="B699" s="104" t="s">
        <v>1416</v>
      </c>
      <c r="C699" s="105">
        <v>1170323.8581959999</v>
      </c>
    </row>
    <row r="700" spans="1:3">
      <c r="A700" s="104">
        <v>97817</v>
      </c>
      <c r="B700" s="104" t="s">
        <v>1417</v>
      </c>
      <c r="C700" s="105">
        <v>13790.329999999998</v>
      </c>
    </row>
    <row r="701" spans="1:3">
      <c r="A701" s="104">
        <v>97818</v>
      </c>
      <c r="B701" s="104" t="s">
        <v>1418</v>
      </c>
      <c r="C701" s="105">
        <v>10225.219999999999</v>
      </c>
    </row>
    <row r="702" spans="1:3">
      <c r="A702" s="104">
        <v>97821</v>
      </c>
      <c r="B702" s="104" t="s">
        <v>1419</v>
      </c>
      <c r="C702" s="105">
        <v>68059.790704999992</v>
      </c>
    </row>
    <row r="703" spans="1:3">
      <c r="A703" s="104">
        <v>97823</v>
      </c>
      <c r="B703" s="104" t="s">
        <v>1420</v>
      </c>
      <c r="C703" s="105">
        <v>11236.359999999999</v>
      </c>
    </row>
    <row r="704" spans="1:3">
      <c r="A704" s="104">
        <v>97831</v>
      </c>
      <c r="B704" s="104" t="s">
        <v>1421</v>
      </c>
      <c r="C704" s="105">
        <v>86433.48887099998</v>
      </c>
    </row>
    <row r="705" spans="1:3">
      <c r="A705" s="104">
        <v>97837</v>
      </c>
      <c r="B705" s="104" t="s">
        <v>1422</v>
      </c>
      <c r="C705" s="105">
        <v>7118.4000000000015</v>
      </c>
    </row>
    <row r="706" spans="1:3">
      <c r="A706" s="104">
        <v>97840</v>
      </c>
      <c r="B706" s="104" t="s">
        <v>1423</v>
      </c>
      <c r="C706" s="105">
        <v>115822.16071700001</v>
      </c>
    </row>
    <row r="707" spans="1:3">
      <c r="A707" s="104">
        <v>97841</v>
      </c>
      <c r="B707" s="104" t="s">
        <v>1424</v>
      </c>
      <c r="C707" s="105">
        <v>6778.5800000000008</v>
      </c>
    </row>
    <row r="708" spans="1:3">
      <c r="A708" s="104">
        <v>97847</v>
      </c>
      <c r="B708" s="104" t="s">
        <v>1425</v>
      </c>
      <c r="C708" s="105">
        <v>2336.88</v>
      </c>
    </row>
    <row r="709" spans="1:3">
      <c r="A709" s="104">
        <v>97851</v>
      </c>
      <c r="B709" s="104" t="s">
        <v>1426</v>
      </c>
      <c r="C709" s="105">
        <v>115501.535951</v>
      </c>
    </row>
    <row r="710" spans="1:3">
      <c r="A710" s="104">
        <v>97853</v>
      </c>
      <c r="B710" s="104" t="s">
        <v>1427</v>
      </c>
      <c r="C710" s="105">
        <v>40633.69</v>
      </c>
    </row>
    <row r="711" spans="1:3">
      <c r="A711" s="104">
        <v>97861</v>
      </c>
      <c r="B711" s="104" t="s">
        <v>1428</v>
      </c>
      <c r="C711" s="105">
        <v>26837.610023000001</v>
      </c>
    </row>
    <row r="712" spans="1:3">
      <c r="A712" s="104">
        <v>97871</v>
      </c>
      <c r="B712" s="104" t="s">
        <v>1429</v>
      </c>
      <c r="C712" s="105">
        <v>295105.89454799995</v>
      </c>
    </row>
    <row r="713" spans="1:3">
      <c r="A713" s="104">
        <v>97877</v>
      </c>
      <c r="B713" s="104" t="s">
        <v>1430</v>
      </c>
      <c r="C713" s="105">
        <v>2779.9199999999992</v>
      </c>
    </row>
    <row r="714" spans="1:3">
      <c r="A714" s="104">
        <v>97901</v>
      </c>
      <c r="B714" s="104" t="s">
        <v>1431</v>
      </c>
      <c r="C714" s="105">
        <v>2084645.477739</v>
      </c>
    </row>
    <row r="715" spans="1:3">
      <c r="A715" s="104">
        <v>97911</v>
      </c>
      <c r="B715" s="104" t="s">
        <v>1432</v>
      </c>
      <c r="C715" s="105">
        <v>644048.34705700004</v>
      </c>
    </row>
    <row r="716" spans="1:3">
      <c r="A716" s="104">
        <v>97913</v>
      </c>
      <c r="B716" s="104" t="s">
        <v>1433</v>
      </c>
      <c r="C716" s="105">
        <v>27203.829999999998</v>
      </c>
    </row>
    <row r="717" spans="1:3">
      <c r="A717" s="104">
        <v>97917</v>
      </c>
      <c r="B717" s="104" t="s">
        <v>1434</v>
      </c>
      <c r="C717" s="105">
        <v>13764.359999999999</v>
      </c>
    </row>
    <row r="718" spans="1:3">
      <c r="A718" s="104">
        <v>97921</v>
      </c>
      <c r="B718" s="104" t="s">
        <v>1435</v>
      </c>
      <c r="C718" s="105">
        <v>111642.365724</v>
      </c>
    </row>
    <row r="719" spans="1:3">
      <c r="A719" s="104">
        <v>97931</v>
      </c>
      <c r="B719" s="104" t="s">
        <v>1436</v>
      </c>
      <c r="C719" s="105">
        <v>33195.635265999998</v>
      </c>
    </row>
    <row r="720" spans="1:3">
      <c r="A720" s="104">
        <v>97941</v>
      </c>
      <c r="B720" s="104" t="s">
        <v>1437</v>
      </c>
      <c r="C720" s="105">
        <v>115094.14091699998</v>
      </c>
    </row>
    <row r="721" spans="1:3">
      <c r="A721" s="104">
        <v>97947</v>
      </c>
      <c r="B721" s="104" t="s">
        <v>1438</v>
      </c>
      <c r="C721" s="105">
        <v>13148.629999999997</v>
      </c>
    </row>
    <row r="722" spans="1:3">
      <c r="A722" s="104">
        <v>97948</v>
      </c>
      <c r="B722" s="104" t="s">
        <v>1439</v>
      </c>
      <c r="C722" s="105">
        <v>11621.970000000001</v>
      </c>
    </row>
    <row r="723" spans="1:3">
      <c r="A723" s="104">
        <v>97951</v>
      </c>
      <c r="B723" s="104" t="s">
        <v>1440</v>
      </c>
      <c r="C723" s="105">
        <v>633574.64743600006</v>
      </c>
    </row>
    <row r="724" spans="1:3">
      <c r="A724" s="104">
        <v>97957</v>
      </c>
      <c r="B724" s="104" t="s">
        <v>1441</v>
      </c>
      <c r="C724" s="105">
        <v>13052.769999999999</v>
      </c>
    </row>
    <row r="725" spans="1:3">
      <c r="A725" s="104">
        <v>98001</v>
      </c>
      <c r="B725" s="104" t="s">
        <v>1442</v>
      </c>
      <c r="C725" s="105">
        <v>2616829.3018160001</v>
      </c>
    </row>
    <row r="726" spans="1:3">
      <c r="A726" s="104">
        <v>98002</v>
      </c>
      <c r="B726" s="104" t="s">
        <v>1443</v>
      </c>
      <c r="C726" s="105">
        <v>4737.4800000000005</v>
      </c>
    </row>
    <row r="727" spans="1:3">
      <c r="A727" s="104">
        <v>98003</v>
      </c>
      <c r="B727" s="104" t="s">
        <v>1444</v>
      </c>
      <c r="C727" s="105">
        <v>72872.41</v>
      </c>
    </row>
    <row r="728" spans="1:3">
      <c r="A728" s="104">
        <v>98004</v>
      </c>
      <c r="B728" s="104" t="s">
        <v>1445</v>
      </c>
      <c r="C728" s="105">
        <v>81879.760000000009</v>
      </c>
    </row>
    <row r="729" spans="1:3">
      <c r="A729" s="104">
        <v>98008</v>
      </c>
      <c r="B729" s="104" t="s">
        <v>1446</v>
      </c>
      <c r="C729" s="105">
        <v>3731.2499999999995</v>
      </c>
    </row>
    <row r="730" spans="1:3">
      <c r="A730" s="104">
        <v>98011</v>
      </c>
      <c r="B730" s="104" t="s">
        <v>1447</v>
      </c>
      <c r="C730" s="105">
        <v>1591661.2954150001</v>
      </c>
    </row>
    <row r="731" spans="1:3">
      <c r="A731" s="104">
        <v>98013</v>
      </c>
      <c r="B731" s="104" t="s">
        <v>1448</v>
      </c>
      <c r="C731" s="105">
        <v>141746.74</v>
      </c>
    </row>
    <row r="732" spans="1:3">
      <c r="A732" s="104">
        <v>98021</v>
      </c>
      <c r="B732" s="104" t="s">
        <v>1449</v>
      </c>
      <c r="C732" s="105">
        <v>27245.126285000002</v>
      </c>
    </row>
    <row r="733" spans="1:3">
      <c r="A733" s="104">
        <v>98023</v>
      </c>
      <c r="B733" s="104" t="s">
        <v>1450</v>
      </c>
      <c r="C733" s="105">
        <v>7199.7799999999979</v>
      </c>
    </row>
    <row r="734" spans="1:3">
      <c r="A734" s="104">
        <v>98031</v>
      </c>
      <c r="B734" s="104" t="s">
        <v>1451</v>
      </c>
      <c r="C734" s="105">
        <v>74400.470067999995</v>
      </c>
    </row>
    <row r="735" spans="1:3">
      <c r="A735" s="104">
        <v>98041</v>
      </c>
      <c r="B735" s="104" t="s">
        <v>1452</v>
      </c>
      <c r="C735" s="105">
        <v>95602.720112999988</v>
      </c>
    </row>
    <row r="736" spans="1:3">
      <c r="A736" s="104">
        <v>98051</v>
      </c>
      <c r="B736" s="104" t="s">
        <v>1453</v>
      </c>
      <c r="C736" s="105">
        <v>141617.46240799999</v>
      </c>
    </row>
    <row r="737" spans="1:3">
      <c r="A737" s="104">
        <v>98061</v>
      </c>
      <c r="B737" s="104" t="s">
        <v>1454</v>
      </c>
      <c r="C737" s="105">
        <v>55302.944039000002</v>
      </c>
    </row>
    <row r="738" spans="1:3">
      <c r="A738" s="104">
        <v>98071</v>
      </c>
      <c r="B738" s="104" t="s">
        <v>1455</v>
      </c>
      <c r="C738" s="105">
        <v>30464.183948000002</v>
      </c>
    </row>
    <row r="739" spans="1:3">
      <c r="A739" s="104">
        <v>98081</v>
      </c>
      <c r="B739" s="104" t="s">
        <v>1456</v>
      </c>
      <c r="C739" s="105">
        <v>8013.5100000000011</v>
      </c>
    </row>
    <row r="740" spans="1:3">
      <c r="A740" s="104">
        <v>98091</v>
      </c>
      <c r="B740" s="104" t="s">
        <v>1457</v>
      </c>
      <c r="C740" s="105">
        <v>27903.107450999996</v>
      </c>
    </row>
    <row r="741" spans="1:3">
      <c r="A741" s="104">
        <v>98101</v>
      </c>
      <c r="B741" s="104" t="s">
        <v>1458</v>
      </c>
      <c r="C741" s="105">
        <v>1264504.6722260001</v>
      </c>
    </row>
    <row r="742" spans="1:3">
      <c r="A742" s="104">
        <v>98102</v>
      </c>
      <c r="B742" s="104" t="s">
        <v>1459</v>
      </c>
      <c r="C742" s="105">
        <v>75316.099999999991</v>
      </c>
    </row>
    <row r="743" spans="1:3">
      <c r="A743" s="104">
        <v>98103</v>
      </c>
      <c r="B743" s="104" t="s">
        <v>1460</v>
      </c>
      <c r="C743" s="105">
        <v>250406.86000000002</v>
      </c>
    </row>
    <row r="744" spans="1:3">
      <c r="A744" s="104">
        <v>98107</v>
      </c>
      <c r="B744" s="104" t="s">
        <v>1461</v>
      </c>
      <c r="C744" s="105">
        <v>9422.630000000001</v>
      </c>
    </row>
    <row r="745" spans="1:3">
      <c r="A745" s="104">
        <v>98109</v>
      </c>
      <c r="B745" s="104" t="s">
        <v>1462</v>
      </c>
      <c r="C745" s="105">
        <v>83279.889999999985</v>
      </c>
    </row>
    <row r="746" spans="1:3">
      <c r="A746" s="104">
        <v>98111</v>
      </c>
      <c r="B746" s="104" t="s">
        <v>1463</v>
      </c>
      <c r="C746" s="105">
        <v>454903.80161200004</v>
      </c>
    </row>
    <row r="747" spans="1:3">
      <c r="A747" s="104">
        <v>98113</v>
      </c>
      <c r="B747" s="104" t="s">
        <v>1464</v>
      </c>
      <c r="C747" s="105">
        <v>25001.439999999999</v>
      </c>
    </row>
    <row r="748" spans="1:3">
      <c r="A748" s="104">
        <v>98121</v>
      </c>
      <c r="B748" s="104" t="s">
        <v>1465</v>
      </c>
      <c r="C748" s="105">
        <v>95547.883016000007</v>
      </c>
    </row>
    <row r="749" spans="1:3">
      <c r="A749" s="104">
        <v>98131</v>
      </c>
      <c r="B749" s="104" t="s">
        <v>1466</v>
      </c>
      <c r="C749" s="105">
        <v>119074.043886</v>
      </c>
    </row>
    <row r="750" spans="1:3">
      <c r="A750" s="104">
        <v>98141</v>
      </c>
      <c r="B750" s="104" t="s">
        <v>1467</v>
      </c>
      <c r="C750" s="105">
        <v>135297.05971</v>
      </c>
    </row>
    <row r="751" spans="1:3">
      <c r="A751" s="104">
        <v>98147</v>
      </c>
      <c r="B751" s="104" t="s">
        <v>1468</v>
      </c>
      <c r="C751" s="105">
        <v>10696.96</v>
      </c>
    </row>
    <row r="752" spans="1:3">
      <c r="A752" s="104">
        <v>98161</v>
      </c>
      <c r="B752" s="104" t="s">
        <v>1469</v>
      </c>
      <c r="C752" s="105">
        <v>5373.2200000000012</v>
      </c>
    </row>
    <row r="753" spans="1:3">
      <c r="A753" s="104">
        <v>98201</v>
      </c>
      <c r="B753" s="104" t="s">
        <v>1470</v>
      </c>
      <c r="C753" s="105">
        <v>1507010.8795479999</v>
      </c>
    </row>
    <row r="754" spans="1:3">
      <c r="A754" s="104">
        <v>98205</v>
      </c>
      <c r="B754" s="104" t="s">
        <v>1471</v>
      </c>
      <c r="C754" s="105">
        <v>21656.190000000002</v>
      </c>
    </row>
    <row r="755" spans="1:3">
      <c r="A755" s="104">
        <v>98211</v>
      </c>
      <c r="B755" s="104" t="s">
        <v>1472</v>
      </c>
      <c r="C755" s="105">
        <v>397199.49350499996</v>
      </c>
    </row>
    <row r="756" spans="1:3">
      <c r="A756" s="104">
        <v>98218</v>
      </c>
      <c r="B756" s="104" t="s">
        <v>1473</v>
      </c>
      <c r="C756" s="105">
        <v>8526.1</v>
      </c>
    </row>
    <row r="757" spans="1:3">
      <c r="A757" s="104">
        <v>98221</v>
      </c>
      <c r="B757" s="104" t="s">
        <v>1474</v>
      </c>
      <c r="C757" s="105">
        <v>11112.230000000001</v>
      </c>
    </row>
    <row r="758" spans="1:3">
      <c r="A758" s="104">
        <v>98231</v>
      </c>
      <c r="B758" s="104" t="s">
        <v>1475</v>
      </c>
      <c r="C758" s="105">
        <v>16564.943503000002</v>
      </c>
    </row>
    <row r="759" spans="1:3">
      <c r="A759" s="104">
        <v>98237</v>
      </c>
      <c r="B759" s="104" t="s">
        <v>1476</v>
      </c>
      <c r="C759" s="105">
        <v>3817.7399999999989</v>
      </c>
    </row>
    <row r="760" spans="1:3">
      <c r="A760" s="104">
        <v>98241</v>
      </c>
      <c r="B760" s="104" t="s">
        <v>1477</v>
      </c>
      <c r="C760" s="105">
        <v>7467.9403830000001</v>
      </c>
    </row>
    <row r="761" spans="1:3">
      <c r="A761" s="104">
        <v>98251</v>
      </c>
      <c r="B761" s="104" t="s">
        <v>1478</v>
      </c>
      <c r="C761" s="105">
        <v>2395.2399999999998</v>
      </c>
    </row>
    <row r="762" spans="1:3">
      <c r="A762" s="104">
        <v>98261</v>
      </c>
      <c r="B762" s="104" t="s">
        <v>1479</v>
      </c>
      <c r="C762" s="105">
        <v>19407.86</v>
      </c>
    </row>
    <row r="763" spans="1:3">
      <c r="A763" s="104">
        <v>98271</v>
      </c>
      <c r="B763" s="104" t="s">
        <v>1480</v>
      </c>
      <c r="C763" s="105">
        <v>3923.2000000000003</v>
      </c>
    </row>
    <row r="764" spans="1:3">
      <c r="A764" s="104">
        <v>98301</v>
      </c>
      <c r="B764" s="104" t="s">
        <v>1481</v>
      </c>
      <c r="C764" s="105">
        <v>898600.60064500012</v>
      </c>
    </row>
    <row r="765" spans="1:3">
      <c r="A765" s="104">
        <v>98304</v>
      </c>
      <c r="B765" s="104" t="s">
        <v>1482</v>
      </c>
      <c r="C765" s="105">
        <v>13953.179999999997</v>
      </c>
    </row>
    <row r="766" spans="1:3">
      <c r="A766" s="104">
        <v>98308</v>
      </c>
      <c r="B766" s="104" t="s">
        <v>1483</v>
      </c>
      <c r="C766" s="105">
        <v>16525.679999999997</v>
      </c>
    </row>
    <row r="767" spans="1:3">
      <c r="A767" s="104">
        <v>98311</v>
      </c>
      <c r="B767" s="104" t="s">
        <v>1484</v>
      </c>
      <c r="C767" s="105">
        <v>482185.966518</v>
      </c>
    </row>
    <row r="768" spans="1:3">
      <c r="A768" s="104">
        <v>98313</v>
      </c>
      <c r="B768" s="104" t="s">
        <v>1485</v>
      </c>
      <c r="C768" s="105">
        <v>272640.74</v>
      </c>
    </row>
    <row r="769" spans="1:3">
      <c r="A769" s="104">
        <v>98321</v>
      </c>
      <c r="B769" s="104" t="s">
        <v>1486</v>
      </c>
      <c r="C769" s="105">
        <v>10544.287824000003</v>
      </c>
    </row>
    <row r="770" spans="1:3">
      <c r="A770" s="104">
        <v>98331</v>
      </c>
      <c r="B770" s="104" t="s">
        <v>1487</v>
      </c>
      <c r="C770" s="105">
        <v>6678.170000000001</v>
      </c>
    </row>
    <row r="771" spans="1:3">
      <c r="A771" s="104">
        <v>98401</v>
      </c>
      <c r="B771" s="104" t="s">
        <v>1488</v>
      </c>
      <c r="C771" s="105">
        <v>1479388.468752</v>
      </c>
    </row>
    <row r="772" spans="1:3">
      <c r="A772" s="104">
        <v>98404</v>
      </c>
      <c r="B772" s="104" t="s">
        <v>1489</v>
      </c>
      <c r="C772" s="105">
        <v>8376.9200000000019</v>
      </c>
    </row>
    <row r="773" spans="1:3">
      <c r="A773" s="104">
        <v>98411</v>
      </c>
      <c r="B773" s="104" t="s">
        <v>1490</v>
      </c>
      <c r="C773" s="105">
        <v>907144.48832900007</v>
      </c>
    </row>
    <row r="774" spans="1:3">
      <c r="A774" s="104">
        <v>98414</v>
      </c>
      <c r="B774" s="104" t="s">
        <v>1491</v>
      </c>
      <c r="C774" s="105">
        <v>18061.768465000001</v>
      </c>
    </row>
    <row r="775" spans="1:3">
      <c r="A775" s="104">
        <v>98417</v>
      </c>
      <c r="B775" s="104" t="s">
        <v>1492</v>
      </c>
      <c r="C775" s="105">
        <v>15438.2</v>
      </c>
    </row>
    <row r="776" spans="1:3">
      <c r="A776" s="104">
        <v>98421</v>
      </c>
      <c r="B776" s="104" t="s">
        <v>1493</v>
      </c>
      <c r="C776" s="105">
        <v>50452.712249000004</v>
      </c>
    </row>
    <row r="777" spans="1:3">
      <c r="A777" s="104">
        <v>98427</v>
      </c>
      <c r="B777" s="104" t="s">
        <v>1494</v>
      </c>
      <c r="C777" s="105">
        <v>3303.88</v>
      </c>
    </row>
    <row r="778" spans="1:3">
      <c r="A778" s="104">
        <v>98431</v>
      </c>
      <c r="B778" s="104" t="s">
        <v>1495</v>
      </c>
      <c r="C778" s="105">
        <v>82786.555381000013</v>
      </c>
    </row>
    <row r="779" spans="1:3">
      <c r="A779" s="104">
        <v>98441</v>
      </c>
      <c r="B779" s="104" t="s">
        <v>1496</v>
      </c>
      <c r="C779" s="105">
        <v>44922.586191000002</v>
      </c>
    </row>
    <row r="780" spans="1:3">
      <c r="A780" s="104">
        <v>98451</v>
      </c>
      <c r="B780" s="104" t="s">
        <v>1497</v>
      </c>
      <c r="C780" s="105">
        <v>26696.438054999999</v>
      </c>
    </row>
    <row r="781" spans="1:3">
      <c r="A781" s="104">
        <v>98471</v>
      </c>
      <c r="B781" s="104" t="s">
        <v>1642</v>
      </c>
      <c r="C781" s="105">
        <v>3934.46</v>
      </c>
    </row>
    <row r="782" spans="1:3">
      <c r="A782" s="104">
        <v>98481</v>
      </c>
      <c r="B782" s="104" t="s">
        <v>1498</v>
      </c>
      <c r="C782" s="105">
        <v>30725.660583000001</v>
      </c>
    </row>
    <row r="783" spans="1:3">
      <c r="A783" s="104">
        <v>98501</v>
      </c>
      <c r="B783" s="104" t="s">
        <v>1499</v>
      </c>
      <c r="C783" s="105">
        <v>837926.02255999984</v>
      </c>
    </row>
    <row r="784" spans="1:3">
      <c r="A784" s="104">
        <v>98511</v>
      </c>
      <c r="B784" s="104" t="s">
        <v>1500</v>
      </c>
      <c r="C784" s="105">
        <v>23329.99</v>
      </c>
    </row>
    <row r="785" spans="1:3">
      <c r="A785" s="104">
        <v>98517</v>
      </c>
      <c r="B785" s="104" t="s">
        <v>1501</v>
      </c>
      <c r="C785" s="105">
        <v>3273.8199999999997</v>
      </c>
    </row>
    <row r="786" spans="1:3">
      <c r="A786" s="104">
        <v>98521</v>
      </c>
      <c r="B786" s="104" t="s">
        <v>1502</v>
      </c>
      <c r="C786" s="105">
        <v>295494.87465499999</v>
      </c>
    </row>
    <row r="787" spans="1:3">
      <c r="A787" s="104">
        <v>98601</v>
      </c>
      <c r="B787" s="104" t="s">
        <v>1503</v>
      </c>
      <c r="C787" s="105">
        <v>1634846.488222</v>
      </c>
    </row>
    <row r="788" spans="1:3">
      <c r="A788" s="104">
        <v>98604</v>
      </c>
      <c r="B788" s="104" t="s">
        <v>1504</v>
      </c>
      <c r="C788" s="105">
        <v>7854.38</v>
      </c>
    </row>
    <row r="789" spans="1:3">
      <c r="A789" s="104">
        <v>98607</v>
      </c>
      <c r="B789" s="104" t="s">
        <v>1505</v>
      </c>
      <c r="C789" s="105">
        <v>4218.6099999999997</v>
      </c>
    </row>
    <row r="790" spans="1:3">
      <c r="A790" s="104">
        <v>98608</v>
      </c>
      <c r="B790" s="104" t="s">
        <v>1506</v>
      </c>
      <c r="C790" s="105">
        <v>25288.2</v>
      </c>
    </row>
    <row r="791" spans="1:3">
      <c r="A791" s="104">
        <v>98611</v>
      </c>
      <c r="B791" s="104" t="s">
        <v>1507</v>
      </c>
      <c r="C791" s="105">
        <v>57797.358418000003</v>
      </c>
    </row>
    <row r="792" spans="1:3">
      <c r="A792" s="104">
        <v>98621</v>
      </c>
      <c r="B792" s="104" t="s">
        <v>1508</v>
      </c>
      <c r="C792" s="105">
        <v>62283.899115000007</v>
      </c>
    </row>
    <row r="793" spans="1:3">
      <c r="A793" s="104">
        <v>98627</v>
      </c>
      <c r="B793" s="104" t="s">
        <v>1509</v>
      </c>
      <c r="C793" s="105">
        <v>3575.5699999999993</v>
      </c>
    </row>
    <row r="794" spans="1:3">
      <c r="A794" s="104">
        <v>98631</v>
      </c>
      <c r="B794" s="104" t="s">
        <v>1510</v>
      </c>
      <c r="C794" s="105">
        <v>508131.29309599998</v>
      </c>
    </row>
    <row r="795" spans="1:3">
      <c r="A795" s="104">
        <v>98637</v>
      </c>
      <c r="B795" s="104" t="s">
        <v>1511</v>
      </c>
      <c r="C795" s="105">
        <v>16672.61</v>
      </c>
    </row>
    <row r="796" spans="1:3">
      <c r="A796" s="104">
        <v>98641</v>
      </c>
      <c r="B796" s="104" t="s">
        <v>1512</v>
      </c>
      <c r="C796" s="105">
        <v>148772.99192100001</v>
      </c>
    </row>
    <row r="797" spans="1:3">
      <c r="A797" s="104">
        <v>98701</v>
      </c>
      <c r="B797" s="104" t="s">
        <v>1513</v>
      </c>
      <c r="C797" s="105">
        <v>523932.84547599999</v>
      </c>
    </row>
    <row r="798" spans="1:3">
      <c r="A798" s="104">
        <v>98711</v>
      </c>
      <c r="B798" s="104" t="s">
        <v>1514</v>
      </c>
      <c r="C798" s="105">
        <v>71577.823066000012</v>
      </c>
    </row>
    <row r="799" spans="1:3">
      <c r="A799" s="104">
        <v>98717</v>
      </c>
      <c r="B799" s="104" t="s">
        <v>1515</v>
      </c>
      <c r="C799" s="105">
        <v>8771.7100000000009</v>
      </c>
    </row>
    <row r="800" spans="1:3">
      <c r="A800" s="104">
        <v>98801</v>
      </c>
      <c r="B800" s="104" t="s">
        <v>1516</v>
      </c>
      <c r="C800" s="105">
        <v>1082761.0962100001</v>
      </c>
    </row>
    <row r="801" spans="1:3">
      <c r="A801" s="104">
        <v>98811</v>
      </c>
      <c r="B801" s="104" t="s">
        <v>1517</v>
      </c>
      <c r="C801" s="105">
        <v>335491.14703300002</v>
      </c>
    </row>
    <row r="802" spans="1:3">
      <c r="A802" s="104">
        <v>98817</v>
      </c>
      <c r="B802" s="104" t="s">
        <v>1518</v>
      </c>
      <c r="C802" s="105">
        <v>14010.05</v>
      </c>
    </row>
    <row r="803" spans="1:3">
      <c r="A803" s="104">
        <v>98901</v>
      </c>
      <c r="B803" s="104" t="s">
        <v>1519</v>
      </c>
      <c r="C803" s="105">
        <v>163215.02211299998</v>
      </c>
    </row>
    <row r="804" spans="1:3">
      <c r="A804" s="104">
        <v>98904</v>
      </c>
      <c r="B804" s="104" t="s">
        <v>1520</v>
      </c>
      <c r="C804" s="105">
        <v>1642.5600000000004</v>
      </c>
    </row>
    <row r="805" spans="1:3">
      <c r="A805" s="104">
        <v>98911</v>
      </c>
      <c r="B805" s="104" t="s">
        <v>1521</v>
      </c>
      <c r="C805" s="105">
        <v>20020.239999999998</v>
      </c>
    </row>
    <row r="806" spans="1:3">
      <c r="A806" s="104">
        <v>99001</v>
      </c>
      <c r="B806" s="104" t="s">
        <v>1522</v>
      </c>
      <c r="C806" s="105">
        <v>3958566.494459</v>
      </c>
    </row>
    <row r="807" spans="1:3">
      <c r="A807" s="104">
        <v>99011</v>
      </c>
      <c r="B807" s="104" t="s">
        <v>1523</v>
      </c>
      <c r="C807" s="105">
        <v>1899632.2208419999</v>
      </c>
    </row>
    <row r="808" spans="1:3">
      <c r="A808" s="104">
        <v>99013</v>
      </c>
      <c r="B808" s="104" t="s">
        <v>1524</v>
      </c>
      <c r="C808" s="105">
        <v>28477.32</v>
      </c>
    </row>
    <row r="809" spans="1:3">
      <c r="A809" s="104">
        <v>99014</v>
      </c>
      <c r="B809" s="104" t="s">
        <v>1525</v>
      </c>
      <c r="C809" s="105">
        <v>11820.69</v>
      </c>
    </row>
    <row r="810" spans="1:3">
      <c r="A810" s="104">
        <v>99017</v>
      </c>
      <c r="B810" s="104" t="s">
        <v>1526</v>
      </c>
      <c r="C810" s="105">
        <v>23294.35</v>
      </c>
    </row>
    <row r="811" spans="1:3">
      <c r="A811" s="104">
        <v>99021</v>
      </c>
      <c r="B811" s="104" t="s">
        <v>1527</v>
      </c>
      <c r="C811" s="105">
        <v>66405.295536000005</v>
      </c>
    </row>
    <row r="812" spans="1:3">
      <c r="A812" s="104">
        <v>99022</v>
      </c>
      <c r="B812" s="104" t="s">
        <v>211</v>
      </c>
      <c r="C812" s="105">
        <v>11974.439999999999</v>
      </c>
    </row>
    <row r="813" spans="1:3">
      <c r="A813" s="104">
        <v>99031</v>
      </c>
      <c r="B813" s="104" t="s">
        <v>1528</v>
      </c>
      <c r="C813" s="105">
        <v>59595.821819999997</v>
      </c>
    </row>
    <row r="814" spans="1:3">
      <c r="A814" s="104">
        <v>99041</v>
      </c>
      <c r="B814" s="104" t="s">
        <v>1529</v>
      </c>
      <c r="C814" s="105">
        <v>282617.76438100002</v>
      </c>
    </row>
    <row r="815" spans="1:3">
      <c r="A815" s="104">
        <v>99047</v>
      </c>
      <c r="B815" s="104" t="s">
        <v>1530</v>
      </c>
      <c r="C815" s="105">
        <v>9763.6999999999989</v>
      </c>
    </row>
    <row r="816" spans="1:3">
      <c r="A816" s="104">
        <v>99051</v>
      </c>
      <c r="B816" s="104" t="s">
        <v>1531</v>
      </c>
      <c r="C816" s="105">
        <v>158783.9</v>
      </c>
    </row>
    <row r="817" spans="1:3">
      <c r="A817" s="104">
        <v>99061</v>
      </c>
      <c r="B817" s="104" t="s">
        <v>1532</v>
      </c>
      <c r="C817" s="105">
        <v>8410.9900000000016</v>
      </c>
    </row>
    <row r="818" spans="1:3">
      <c r="A818" s="104">
        <v>99071</v>
      </c>
      <c r="B818" s="104" t="s">
        <v>1533</v>
      </c>
      <c r="C818" s="105">
        <v>13710.689999999999</v>
      </c>
    </row>
    <row r="819" spans="1:3">
      <c r="A819" s="104">
        <v>99081</v>
      </c>
      <c r="B819" s="104" t="s">
        <v>1534</v>
      </c>
      <c r="C819" s="105">
        <v>9239.989999999998</v>
      </c>
    </row>
    <row r="820" spans="1:3">
      <c r="A820" s="104">
        <v>99091</v>
      </c>
      <c r="B820" s="104" t="s">
        <v>1535</v>
      </c>
      <c r="C820" s="105">
        <v>4994.4399999999996</v>
      </c>
    </row>
    <row r="821" spans="1:3">
      <c r="A821" s="104">
        <v>99101</v>
      </c>
      <c r="B821" s="104" t="s">
        <v>1536</v>
      </c>
      <c r="C821" s="105">
        <v>1006565.2704879999</v>
      </c>
    </row>
    <row r="822" spans="1:3">
      <c r="A822" s="104">
        <v>99104</v>
      </c>
      <c r="B822" s="104" t="s">
        <v>1537</v>
      </c>
      <c r="C822" s="105">
        <v>25543.919999999998</v>
      </c>
    </row>
    <row r="823" spans="1:3">
      <c r="A823" s="104">
        <v>99109</v>
      </c>
      <c r="B823" s="104" t="s">
        <v>1538</v>
      </c>
      <c r="C823" s="105">
        <v>58597.740000000005</v>
      </c>
    </row>
    <row r="824" spans="1:3">
      <c r="A824" s="104">
        <v>99110</v>
      </c>
      <c r="B824" s="104" t="s">
        <v>1539</v>
      </c>
      <c r="C824" s="105">
        <v>123992.64999999998</v>
      </c>
    </row>
    <row r="825" spans="1:3">
      <c r="A825" s="104">
        <v>99111</v>
      </c>
      <c r="B825" s="104" t="s">
        <v>1540</v>
      </c>
      <c r="C825" s="105">
        <v>587063.10155899997</v>
      </c>
    </row>
    <row r="826" spans="1:3">
      <c r="A826" s="104">
        <v>99201</v>
      </c>
      <c r="B826" s="104" t="s">
        <v>1541</v>
      </c>
      <c r="C826" s="105">
        <v>16630537.853003003</v>
      </c>
    </row>
    <row r="827" spans="1:3">
      <c r="A827" s="104">
        <v>99202</v>
      </c>
      <c r="B827" s="104" t="s">
        <v>1542</v>
      </c>
      <c r="C827" s="105">
        <v>1207449.7444930002</v>
      </c>
    </row>
    <row r="828" spans="1:3">
      <c r="A828" s="104">
        <v>99203</v>
      </c>
      <c r="B828" s="104" t="s">
        <v>1543</v>
      </c>
      <c r="C828" s="105">
        <v>138128.78276</v>
      </c>
    </row>
    <row r="829" spans="1:3">
      <c r="A829" s="104">
        <v>99204</v>
      </c>
      <c r="B829" s="104" t="s">
        <v>1544</v>
      </c>
      <c r="C829" s="105">
        <v>441547.83713100001</v>
      </c>
    </row>
    <row r="830" spans="1:3">
      <c r="A830" s="104">
        <v>99206</v>
      </c>
      <c r="B830" s="104" t="s">
        <v>1545</v>
      </c>
      <c r="C830" s="105">
        <v>1331612.9225729997</v>
      </c>
    </row>
    <row r="831" spans="1:3">
      <c r="A831" s="104">
        <v>99207</v>
      </c>
      <c r="B831" s="104" t="s">
        <v>1546</v>
      </c>
      <c r="C831" s="105">
        <v>177544.7</v>
      </c>
    </row>
    <row r="832" spans="1:3">
      <c r="A832" s="104">
        <v>99208</v>
      </c>
      <c r="B832" s="104" t="s">
        <v>1547</v>
      </c>
      <c r="C832" s="105">
        <v>97509.21</v>
      </c>
    </row>
    <row r="833" spans="1:3">
      <c r="A833" s="104">
        <v>99210</v>
      </c>
      <c r="B833" s="104" t="s">
        <v>1548</v>
      </c>
      <c r="C833" s="105">
        <v>867924.78000000014</v>
      </c>
    </row>
    <row r="834" spans="1:3">
      <c r="A834" s="104">
        <v>99211</v>
      </c>
      <c r="B834" s="104" t="s">
        <v>1549</v>
      </c>
      <c r="C834" s="105">
        <v>18340588.707863003</v>
      </c>
    </row>
    <row r="835" spans="1:3">
      <c r="A835" s="104">
        <v>99212</v>
      </c>
      <c r="B835" s="104" t="s">
        <v>1550</v>
      </c>
      <c r="C835" s="105">
        <v>32043.030000000002</v>
      </c>
    </row>
    <row r="836" spans="1:3">
      <c r="A836" s="104">
        <v>99213</v>
      </c>
      <c r="B836" s="104" t="s">
        <v>1551</v>
      </c>
      <c r="C836" s="105">
        <v>380592.3</v>
      </c>
    </row>
    <row r="837" spans="1:3">
      <c r="A837" s="104">
        <v>99218</v>
      </c>
      <c r="B837" s="104" t="s">
        <v>1552</v>
      </c>
      <c r="C837" s="105">
        <v>1674667.3670470002</v>
      </c>
    </row>
    <row r="838" spans="1:3">
      <c r="A838" s="104">
        <v>99221</v>
      </c>
      <c r="B838" s="104" t="s">
        <v>1553</v>
      </c>
      <c r="C838" s="105">
        <v>6080354.9568809997</v>
      </c>
    </row>
    <row r="839" spans="1:3">
      <c r="A839" s="104">
        <v>99222</v>
      </c>
      <c r="B839" s="104" t="s">
        <v>1554</v>
      </c>
      <c r="C839" s="105">
        <v>16571.340000000004</v>
      </c>
    </row>
    <row r="840" spans="1:3">
      <c r="A840" s="104">
        <v>99231</v>
      </c>
      <c r="B840" s="104" t="s">
        <v>1555</v>
      </c>
      <c r="C840" s="105">
        <v>170674.69717500001</v>
      </c>
    </row>
    <row r="841" spans="1:3">
      <c r="A841" s="104">
        <v>99241</v>
      </c>
      <c r="B841" s="104" t="s">
        <v>1556</v>
      </c>
      <c r="C841" s="105">
        <v>256913.26326000004</v>
      </c>
    </row>
    <row r="842" spans="1:3">
      <c r="A842" s="104">
        <v>99251</v>
      </c>
      <c r="B842" s="104" t="s">
        <v>1557</v>
      </c>
      <c r="C842" s="105">
        <v>772183.60207700008</v>
      </c>
    </row>
    <row r="843" spans="1:3">
      <c r="A843" s="104">
        <v>99252</v>
      </c>
      <c r="B843" s="104" t="s">
        <v>1558</v>
      </c>
      <c r="C843" s="105">
        <v>237606.74</v>
      </c>
    </row>
    <row r="844" spans="1:3">
      <c r="A844" s="104">
        <v>99261</v>
      </c>
      <c r="B844" s="104" t="s">
        <v>1559</v>
      </c>
      <c r="C844" s="105">
        <v>905361.50458199997</v>
      </c>
    </row>
    <row r="845" spans="1:3">
      <c r="A845" s="104">
        <v>99271</v>
      </c>
      <c r="B845" s="104" t="s">
        <v>1560</v>
      </c>
      <c r="C845" s="105">
        <v>1965196.7309130002</v>
      </c>
    </row>
    <row r="846" spans="1:3">
      <c r="A846" s="104">
        <v>99281</v>
      </c>
      <c r="B846" s="104" t="s">
        <v>1561</v>
      </c>
      <c r="C846" s="105">
        <v>1110975.8299230002</v>
      </c>
    </row>
    <row r="847" spans="1:3">
      <c r="A847" s="104">
        <v>99291</v>
      </c>
      <c r="B847" s="104" t="s">
        <v>1562</v>
      </c>
      <c r="C847" s="105">
        <v>339511.85297300003</v>
      </c>
    </row>
    <row r="848" spans="1:3">
      <c r="A848" s="104">
        <v>99301</v>
      </c>
      <c r="B848" s="104" t="s">
        <v>1563</v>
      </c>
      <c r="C848" s="105">
        <v>823901.36969700002</v>
      </c>
    </row>
    <row r="849" spans="1:3">
      <c r="A849" s="104">
        <v>99304</v>
      </c>
      <c r="B849" s="104" t="s">
        <v>1564</v>
      </c>
      <c r="C849" s="105">
        <v>8236.340000000002</v>
      </c>
    </row>
    <row r="850" spans="1:3">
      <c r="A850" s="104">
        <v>99311</v>
      </c>
      <c r="B850" s="104" t="s">
        <v>1565</v>
      </c>
      <c r="C850" s="105">
        <v>29080.849220999997</v>
      </c>
    </row>
    <row r="851" spans="1:3">
      <c r="A851" s="104">
        <v>99321</v>
      </c>
      <c r="B851" s="104" t="s">
        <v>1566</v>
      </c>
      <c r="C851" s="105">
        <v>95723.904901999995</v>
      </c>
    </row>
    <row r="852" spans="1:3">
      <c r="A852" s="104">
        <v>99401</v>
      </c>
      <c r="B852" s="104" t="s">
        <v>1567</v>
      </c>
      <c r="C852" s="105">
        <v>413423.38850099995</v>
      </c>
    </row>
    <row r="853" spans="1:3">
      <c r="A853" s="104">
        <v>99404</v>
      </c>
      <c r="B853" s="104" t="s">
        <v>1568</v>
      </c>
      <c r="C853" s="105">
        <v>5670.5700000000006</v>
      </c>
    </row>
    <row r="854" spans="1:3">
      <c r="A854" s="104">
        <v>99405</v>
      </c>
      <c r="B854" s="104" t="s">
        <v>1569</v>
      </c>
      <c r="C854" s="105">
        <v>37755.47</v>
      </c>
    </row>
    <row r="855" spans="1:3">
      <c r="A855" s="104">
        <v>99411</v>
      </c>
      <c r="B855" s="104" t="s">
        <v>1570</v>
      </c>
      <c r="C855" s="105">
        <v>87340.425698000006</v>
      </c>
    </row>
    <row r="856" spans="1:3">
      <c r="A856" s="104">
        <v>99413</v>
      </c>
      <c r="B856" s="104" t="s">
        <v>1571</v>
      </c>
      <c r="C856" s="105">
        <v>15517.459999999997</v>
      </c>
    </row>
    <row r="857" spans="1:3">
      <c r="A857" s="104">
        <v>99421</v>
      </c>
      <c r="B857" s="104" t="s">
        <v>1572</v>
      </c>
      <c r="C857" s="105">
        <v>5425.83</v>
      </c>
    </row>
    <row r="858" spans="1:3">
      <c r="A858" s="104">
        <v>99431</v>
      </c>
      <c r="B858" s="104" t="s">
        <v>1573</v>
      </c>
      <c r="C858" s="105">
        <v>8235.1600000000017</v>
      </c>
    </row>
    <row r="859" spans="1:3">
      <c r="A859" s="104">
        <v>99501</v>
      </c>
      <c r="B859" s="104" t="s">
        <v>1574</v>
      </c>
      <c r="C859" s="105">
        <v>860942.16577800014</v>
      </c>
    </row>
    <row r="860" spans="1:3">
      <c r="A860" s="104">
        <v>99502</v>
      </c>
      <c r="B860" s="104" t="s">
        <v>1575</v>
      </c>
      <c r="C860" s="105">
        <v>70621.81</v>
      </c>
    </row>
    <row r="861" spans="1:3">
      <c r="A861" s="104">
        <v>99508</v>
      </c>
      <c r="B861" s="104" t="s">
        <v>1576</v>
      </c>
      <c r="C861" s="105">
        <v>10663.91</v>
      </c>
    </row>
    <row r="862" spans="1:3">
      <c r="A862" s="104">
        <v>99509</v>
      </c>
      <c r="B862" s="104" t="s">
        <v>1577</v>
      </c>
      <c r="C862" s="105">
        <v>12210.75</v>
      </c>
    </row>
    <row r="863" spans="1:3">
      <c r="A863" s="104">
        <v>99511</v>
      </c>
      <c r="B863" s="104" t="s">
        <v>1578</v>
      </c>
      <c r="C863" s="105">
        <v>608442.87239699997</v>
      </c>
    </row>
    <row r="864" spans="1:3">
      <c r="A864" s="104">
        <v>99521</v>
      </c>
      <c r="B864" s="104" t="s">
        <v>1579</v>
      </c>
      <c r="C864" s="105">
        <v>207271.33775300003</v>
      </c>
    </row>
    <row r="865" spans="1:3">
      <c r="A865" s="104">
        <v>99527</v>
      </c>
      <c r="B865" s="104" t="s">
        <v>1580</v>
      </c>
      <c r="C865" s="105">
        <v>6662.9900000000016</v>
      </c>
    </row>
    <row r="866" spans="1:3">
      <c r="A866" s="104">
        <v>99531</v>
      </c>
      <c r="B866" s="104" t="s">
        <v>1581</v>
      </c>
      <c r="C866" s="105">
        <v>76574.203280999995</v>
      </c>
    </row>
    <row r="867" spans="1:3">
      <c r="A867" s="104">
        <v>99601</v>
      </c>
      <c r="B867" s="104" t="s">
        <v>1582</v>
      </c>
      <c r="C867" s="105">
        <v>2762866.0642520003</v>
      </c>
    </row>
    <row r="868" spans="1:3">
      <c r="A868" s="104">
        <v>99602</v>
      </c>
      <c r="B868" s="104" t="s">
        <v>1583</v>
      </c>
      <c r="C868" s="105">
        <v>30210.42</v>
      </c>
    </row>
    <row r="869" spans="1:3">
      <c r="A869" s="104">
        <v>99603</v>
      </c>
      <c r="B869" s="104" t="s">
        <v>1584</v>
      </c>
      <c r="C869" s="105">
        <v>95619.120000000024</v>
      </c>
    </row>
    <row r="870" spans="1:3">
      <c r="A870" s="104">
        <v>99604</v>
      </c>
      <c r="B870" s="104" t="s">
        <v>1585</v>
      </c>
      <c r="C870" s="105">
        <v>60989.76599</v>
      </c>
    </row>
    <row r="871" spans="1:3">
      <c r="A871" s="104">
        <v>99609</v>
      </c>
      <c r="B871" s="104" t="s">
        <v>1586</v>
      </c>
      <c r="C871" s="105">
        <v>10625.980000000001</v>
      </c>
    </row>
    <row r="872" spans="1:3">
      <c r="A872" s="104">
        <v>99610</v>
      </c>
      <c r="B872" s="104" t="s">
        <v>1587</v>
      </c>
      <c r="C872" s="105">
        <v>91548.229999999981</v>
      </c>
    </row>
    <row r="873" spans="1:3">
      <c r="A873" s="104">
        <v>99611</v>
      </c>
      <c r="B873" s="104" t="s">
        <v>1588</v>
      </c>
      <c r="C873" s="105">
        <v>1569191.0500429999</v>
      </c>
    </row>
    <row r="874" spans="1:3">
      <c r="A874" s="104">
        <v>99613</v>
      </c>
      <c r="B874" s="104" t="s">
        <v>1589</v>
      </c>
      <c r="C874" s="105">
        <v>343923.36</v>
      </c>
    </row>
    <row r="875" spans="1:3">
      <c r="A875" s="104">
        <v>99621</v>
      </c>
      <c r="B875" s="104" t="s">
        <v>1590</v>
      </c>
      <c r="C875" s="105">
        <v>177823.09483700001</v>
      </c>
    </row>
    <row r="876" spans="1:3">
      <c r="A876" s="104">
        <v>99623</v>
      </c>
      <c r="B876" s="104" t="s">
        <v>1591</v>
      </c>
      <c r="C876" s="105">
        <v>9487.02</v>
      </c>
    </row>
    <row r="877" spans="1:3">
      <c r="A877" s="104">
        <v>99631</v>
      </c>
      <c r="B877" s="104" t="s">
        <v>1592</v>
      </c>
      <c r="C877" s="105">
        <v>51697.480938000008</v>
      </c>
    </row>
    <row r="878" spans="1:3">
      <c r="A878" s="104">
        <v>99651</v>
      </c>
      <c r="B878" s="104" t="s">
        <v>1593</v>
      </c>
      <c r="C878" s="105">
        <v>29238.939019000005</v>
      </c>
    </row>
    <row r="879" spans="1:3">
      <c r="A879" s="104">
        <v>99661</v>
      </c>
      <c r="B879" s="104" t="s">
        <v>1594</v>
      </c>
      <c r="C879" s="105">
        <v>43148.812318999997</v>
      </c>
    </row>
    <row r="880" spans="1:3">
      <c r="A880" s="104">
        <v>99701</v>
      </c>
      <c r="B880" s="104" t="s">
        <v>1595</v>
      </c>
      <c r="C880" s="105">
        <v>1391279.4990909998</v>
      </c>
    </row>
    <row r="881" spans="1:3">
      <c r="A881" s="104">
        <v>99705</v>
      </c>
      <c r="B881" s="104" t="s">
        <v>1596</v>
      </c>
      <c r="C881" s="105">
        <v>93269.37999999999</v>
      </c>
    </row>
    <row r="882" spans="1:3">
      <c r="A882" s="104">
        <v>99711</v>
      </c>
      <c r="B882" s="104" t="s">
        <v>1597</v>
      </c>
      <c r="C882" s="105">
        <v>225681.88054700001</v>
      </c>
    </row>
    <row r="883" spans="1:3">
      <c r="A883" s="104">
        <v>99717</v>
      </c>
      <c r="B883" s="104" t="s">
        <v>1598</v>
      </c>
      <c r="C883" s="105">
        <v>8973.93</v>
      </c>
    </row>
    <row r="884" spans="1:3">
      <c r="A884" s="104">
        <v>99721</v>
      </c>
      <c r="B884" s="104" t="s">
        <v>1599</v>
      </c>
      <c r="C884" s="105">
        <v>270994.72852900001</v>
      </c>
    </row>
    <row r="885" spans="1:3">
      <c r="A885" s="104">
        <v>99727</v>
      </c>
      <c r="B885" s="104" t="s">
        <v>1600</v>
      </c>
      <c r="C885" s="105">
        <v>49308.209999999992</v>
      </c>
    </row>
    <row r="886" spans="1:3">
      <c r="A886" s="104">
        <v>99801</v>
      </c>
      <c r="B886" s="104" t="s">
        <v>1601</v>
      </c>
      <c r="C886" s="105">
        <v>2325185.9260170003</v>
      </c>
    </row>
    <row r="887" spans="1:3">
      <c r="A887" s="104">
        <v>99802</v>
      </c>
      <c r="B887" s="104" t="s">
        <v>1602</v>
      </c>
      <c r="C887" s="105">
        <v>6755.72</v>
      </c>
    </row>
    <row r="888" spans="1:3">
      <c r="A888" s="104">
        <v>99804</v>
      </c>
      <c r="B888" s="104" t="s">
        <v>1603</v>
      </c>
      <c r="C888" s="105">
        <v>47970.469999999994</v>
      </c>
    </row>
    <row r="889" spans="1:3">
      <c r="A889" s="104">
        <v>99811</v>
      </c>
      <c r="B889" s="104" t="s">
        <v>1604</v>
      </c>
      <c r="C889" s="105">
        <v>3068778.4669929994</v>
      </c>
    </row>
    <row r="890" spans="1:3">
      <c r="A890" s="104">
        <v>99812</v>
      </c>
      <c r="B890" s="104" t="s">
        <v>1605</v>
      </c>
      <c r="C890" s="105">
        <v>21421.979999999992</v>
      </c>
    </row>
    <row r="891" spans="1:3">
      <c r="A891" s="104">
        <v>99818</v>
      </c>
      <c r="B891" s="104" t="s">
        <v>1606</v>
      </c>
      <c r="C891" s="105">
        <v>13445.47</v>
      </c>
    </row>
    <row r="892" spans="1:3">
      <c r="A892" s="104">
        <v>99821</v>
      </c>
      <c r="B892" s="104" t="s">
        <v>1607</v>
      </c>
      <c r="C892" s="105">
        <v>50520.730636000008</v>
      </c>
    </row>
    <row r="893" spans="1:3">
      <c r="A893" s="104">
        <v>99831</v>
      </c>
      <c r="B893" s="104" t="s">
        <v>1608</v>
      </c>
      <c r="C893" s="105">
        <v>27477.871489000001</v>
      </c>
    </row>
    <row r="894" spans="1:3">
      <c r="A894" s="104">
        <v>99841</v>
      </c>
      <c r="B894" s="104" t="s">
        <v>1609</v>
      </c>
      <c r="C894" s="105">
        <v>17368.88</v>
      </c>
    </row>
    <row r="895" spans="1:3">
      <c r="A895" s="104">
        <v>99851</v>
      </c>
      <c r="B895" s="104" t="s">
        <v>1610</v>
      </c>
      <c r="C895" s="105">
        <v>8025.38</v>
      </c>
    </row>
    <row r="896" spans="1:3">
      <c r="A896" s="104">
        <v>99901</v>
      </c>
      <c r="B896" s="104" t="s">
        <v>1611</v>
      </c>
      <c r="C896" s="105">
        <v>758558.04820900003</v>
      </c>
    </row>
    <row r="897" spans="1:4">
      <c r="A897" s="104">
        <v>99911</v>
      </c>
      <c r="B897" s="104" t="s">
        <v>1612</v>
      </c>
      <c r="C897" s="105">
        <v>126859.94261799997</v>
      </c>
    </row>
    <row r="898" spans="1:4">
      <c r="A898" s="104">
        <v>99921</v>
      </c>
      <c r="B898" s="104" t="s">
        <v>1613</v>
      </c>
      <c r="C898" s="105">
        <v>60518.37122500001</v>
      </c>
    </row>
    <row r="899" spans="1:4">
      <c r="A899" s="104">
        <v>99931</v>
      </c>
      <c r="B899" s="104" t="s">
        <v>1614</v>
      </c>
      <c r="C899" s="105">
        <v>9991.6402880000005</v>
      </c>
    </row>
    <row r="900" spans="1:4">
      <c r="A900" s="104">
        <v>99941</v>
      </c>
      <c r="B900" s="104" t="s">
        <v>1615</v>
      </c>
      <c r="C900" s="105">
        <v>34874.077293000002</v>
      </c>
    </row>
    <row r="901" spans="1:4">
      <c r="A901" s="104">
        <v>99991</v>
      </c>
      <c r="B901" s="104" t="s">
        <v>1616</v>
      </c>
      <c r="C901" s="245">
        <v>256527.41</v>
      </c>
    </row>
    <row r="902" spans="1:4">
      <c r="A902" s="104">
        <v>99999</v>
      </c>
      <c r="B902" s="104" t="s">
        <v>1617</v>
      </c>
      <c r="C902" s="105">
        <v>529104.24</v>
      </c>
      <c r="D902" s="229"/>
    </row>
    <row r="903" spans="1:4">
      <c r="A903" s="229"/>
      <c r="B903" s="229"/>
      <c r="D903" s="229"/>
    </row>
    <row r="904" spans="1:4">
      <c r="A904" s="229"/>
      <c r="B904" s="229"/>
      <c r="D904" s="229"/>
    </row>
    <row r="905" spans="1:4">
      <c r="A905" s="229"/>
      <c r="B905" s="229"/>
      <c r="D905" s="229"/>
    </row>
    <row r="906" spans="1:4">
      <c r="A906" s="229"/>
      <c r="B906" s="229"/>
      <c r="D906" s="229"/>
    </row>
    <row r="907" spans="1:4">
      <c r="A907" s="229"/>
      <c r="B907" s="229"/>
      <c r="D907" s="229"/>
    </row>
    <row r="908" spans="1:4">
      <c r="A908" s="229"/>
      <c r="B908" s="229"/>
      <c r="D908" s="229"/>
    </row>
    <row r="909" spans="1:4">
      <c r="A909" s="229"/>
      <c r="B909" s="229"/>
      <c r="D909" s="229"/>
    </row>
    <row r="910" spans="1:4">
      <c r="A910" s="229"/>
      <c r="B910" s="229"/>
      <c r="D910" s="229"/>
    </row>
    <row r="911" spans="1:4">
      <c r="A911" s="229"/>
      <c r="B911" s="229"/>
      <c r="D911" s="229"/>
    </row>
    <row r="912" spans="1:4">
      <c r="A912" s="229"/>
      <c r="B912" s="229"/>
    </row>
    <row r="914" spans="1:3">
      <c r="A914" s="104" t="s">
        <v>3511</v>
      </c>
    </row>
    <row r="915" spans="1:3">
      <c r="A915" s="104">
        <v>91119</v>
      </c>
      <c r="B915" s="104" t="s">
        <v>48</v>
      </c>
      <c r="C915" s="105">
        <v>0</v>
      </c>
    </row>
    <row r="916" spans="1:3">
      <c r="A916" s="104">
        <v>92414</v>
      </c>
      <c r="B916" s="104" t="s">
        <v>2060</v>
      </c>
      <c r="C916" s="105">
        <v>0</v>
      </c>
    </row>
    <row r="917" spans="1:3">
      <c r="A917" s="104">
        <v>92608</v>
      </c>
      <c r="B917" s="104" t="s">
        <v>972</v>
      </c>
      <c r="C917" s="105">
        <v>0</v>
      </c>
    </row>
    <row r="918" spans="1:3">
      <c r="A918" s="104">
        <v>93408</v>
      </c>
      <c r="B918" s="229" t="s">
        <v>1043</v>
      </c>
      <c r="C918" s="105">
        <v>0</v>
      </c>
    </row>
    <row r="919" spans="1:3">
      <c r="A919" s="229">
        <v>94402</v>
      </c>
      <c r="B919" s="229" t="s">
        <v>1139</v>
      </c>
      <c r="C919" s="105">
        <v>0</v>
      </c>
    </row>
    <row r="920" spans="1:3">
      <c r="A920" s="229">
        <v>95412</v>
      </c>
      <c r="B920" s="229" t="s">
        <v>1220</v>
      </c>
      <c r="C920" s="105">
        <v>0</v>
      </c>
    </row>
    <row r="921" spans="1:3">
      <c r="A921" s="229">
        <v>93202</v>
      </c>
      <c r="B921" s="229" t="s">
        <v>1022</v>
      </c>
      <c r="C921" s="105">
        <v>0</v>
      </c>
    </row>
    <row r="922" spans="1:3">
      <c r="A922" s="229">
        <v>93677</v>
      </c>
      <c r="B922" s="229" t="s">
        <v>98</v>
      </c>
      <c r="C922" s="105">
        <v>0</v>
      </c>
    </row>
    <row r="923" spans="1:3">
      <c r="A923" s="229">
        <v>94512</v>
      </c>
      <c r="B923" s="229" t="s">
        <v>1151</v>
      </c>
      <c r="C923" s="105">
        <v>0</v>
      </c>
    </row>
    <row r="924" spans="1:3">
      <c r="A924" s="229">
        <v>97010</v>
      </c>
      <c r="B924" s="229" t="s">
        <v>1351</v>
      </c>
      <c r="C924" s="105">
        <v>0</v>
      </c>
    </row>
    <row r="925" spans="1:3">
      <c r="A925" s="229">
        <v>97491</v>
      </c>
      <c r="B925" s="229" t="s">
        <v>3509</v>
      </c>
    </row>
    <row r="2352" spans="1:1">
      <c r="A2352" s="106"/>
    </row>
  </sheetData>
  <sheetProtection password="CEAA"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225A94-039F-4E8A-ACEC-6E90F0905C6A}">
  <ds:schemaRef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terms/"/>
    <ds:schemaRef ds:uri="d4ea4015-5b02-447c-9074-d5807a41497e"/>
    <ds:schemaRef ds:uri="b0d8bf0e-b15b-456f-8ae4-2bdf59acac1f"/>
    <ds:schemaRef ds:uri="http://purl.org/dc/elements/1.1/"/>
  </ds:schemaRefs>
</ds:datastoreItem>
</file>

<file path=customXml/itemProps2.xml><?xml version="1.0" encoding="utf-8"?>
<ds:datastoreItem xmlns:ds="http://schemas.openxmlformats.org/officeDocument/2006/customXml" ds:itemID="{53493DB8-B5E4-459F-B9C8-C2D84EE3D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F88404-3C9C-4304-965C-3C5BE9BBF2B7}">
  <ds:schemaRefs>
    <ds:schemaRef ds:uri="http://schemas.microsoft.com/sharepoint/events"/>
  </ds:schemaRefs>
</ds:datastoreItem>
</file>

<file path=customXml/itemProps4.xml><?xml version="1.0" encoding="utf-8"?>
<ds:datastoreItem xmlns:ds="http://schemas.openxmlformats.org/officeDocument/2006/customXml" ds:itemID="{90FCD502-94B4-4588-AA47-87587211E1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Info</vt:lpstr>
      <vt:lpstr>Changes to Update Template </vt:lpstr>
      <vt:lpstr>JE Template 2020</vt:lpstr>
      <vt:lpstr>2020 summary</vt:lpstr>
      <vt:lpstr>2019 summary</vt:lpstr>
      <vt:lpstr>2018 summary</vt:lpstr>
      <vt:lpstr>2017 summary</vt:lpstr>
      <vt:lpstr>LGERS Contributions FY 2019</vt:lpstr>
      <vt:lpstr>LGERS Contributions FY 2018</vt:lpstr>
      <vt:lpstr>LGERS Contributions FY 2017</vt:lpstr>
      <vt:lpstr>Deferred Amort MD 6-30-19</vt:lpstr>
      <vt:lpstr>'Deferred Amort MD 6-30-19'!Print_Area</vt:lpstr>
      <vt:lpstr>'JE Template 2020'!Print_Area</vt:lpstr>
      <vt:lpstr>'2017 summary'!Print_Titles</vt:lpstr>
      <vt:lpstr>'2018 summary'!Print_Titles</vt:lpstr>
      <vt:lpstr>'Deferred Amort MD 6-30-19'!Print_Titles</vt:lpstr>
      <vt:lpstr>Total_Summary_Data</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Kendra Boyle</cp:lastModifiedBy>
  <cp:lastPrinted>2020-05-28T20:15:02Z</cp:lastPrinted>
  <dcterms:created xsi:type="dcterms:W3CDTF">2015-01-07T18:39:17Z</dcterms:created>
  <dcterms:modified xsi:type="dcterms:W3CDTF">2020-05-28T21:08:29Z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